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3" i="1" l="1"/>
  <c r="R613" i="1" s="1"/>
  <c r="S613" i="1" s="1"/>
  <c r="L613" i="1" l="1"/>
  <c r="M613" i="1" s="1"/>
  <c r="G613" i="1"/>
  <c r="H613" i="1"/>
  <c r="I613" i="1" s="1"/>
  <c r="T613" i="1"/>
  <c r="U613" i="1" s="1"/>
  <c r="J613" i="1"/>
  <c r="K613" i="1" s="1"/>
  <c r="V613" i="1"/>
  <c r="W613" i="1" s="1"/>
  <c r="N613" i="1"/>
  <c r="O613" i="1" s="1"/>
  <c r="P613" i="1"/>
  <c r="Q613" i="1" s="1"/>
  <c r="F366" i="1"/>
  <c r="V366" i="1" s="1"/>
  <c r="W366" i="1" s="1"/>
  <c r="F441" i="1"/>
  <c r="F440" i="1"/>
  <c r="P440" i="1" s="1"/>
  <c r="Q440" i="1" s="1"/>
  <c r="F437" i="1"/>
  <c r="J437" i="1" s="1"/>
  <c r="K437" i="1" s="1"/>
  <c r="P437" i="1" l="1"/>
  <c r="Q437" i="1" s="1"/>
  <c r="N437" i="1"/>
  <c r="O437" i="1" s="1"/>
  <c r="N440" i="1"/>
  <c r="O440" i="1" s="1"/>
  <c r="T440" i="1"/>
  <c r="U440" i="1" s="1"/>
  <c r="J440" i="1"/>
  <c r="K440" i="1" s="1"/>
  <c r="L440" i="1"/>
  <c r="M440" i="1" s="1"/>
  <c r="L366" i="1"/>
  <c r="M366" i="1" s="1"/>
  <c r="V440" i="1"/>
  <c r="W440" i="1" s="1"/>
  <c r="V437" i="1"/>
  <c r="W437" i="1" s="1"/>
  <c r="H440" i="1"/>
  <c r="I440" i="1" s="1"/>
  <c r="P366" i="1"/>
  <c r="Q366" i="1" s="1"/>
  <c r="G366" i="1"/>
  <c r="T366" i="1"/>
  <c r="U366" i="1" s="1"/>
  <c r="N366" i="1"/>
  <c r="O366" i="1" s="1"/>
  <c r="R366" i="1"/>
  <c r="S366" i="1" s="1"/>
  <c r="R440" i="1"/>
  <c r="S440" i="1" s="1"/>
  <c r="G440" i="1"/>
  <c r="L437" i="1"/>
  <c r="M437" i="1" s="1"/>
  <c r="R437" i="1"/>
  <c r="S437" i="1" s="1"/>
  <c r="T437" i="1"/>
  <c r="U437" i="1" s="1"/>
  <c r="G437" i="1"/>
  <c r="H437" i="1"/>
  <c r="I437" i="1" s="1"/>
  <c r="F580" i="1" l="1"/>
  <c r="F232" i="1"/>
  <c r="F694" i="1"/>
  <c r="F692" i="1"/>
  <c r="F579" i="1"/>
  <c r="F370" i="1"/>
  <c r="F612" i="1" l="1"/>
  <c r="P612" i="1" s="1"/>
  <c r="Q612" i="1" s="1"/>
  <c r="R612" i="1" l="1"/>
  <c r="S612" i="1" s="1"/>
  <c r="G612" i="1"/>
  <c r="H612" i="1"/>
  <c r="I612" i="1" s="1"/>
  <c r="T612" i="1"/>
  <c r="U612" i="1" s="1"/>
  <c r="J612" i="1"/>
  <c r="K612" i="1" s="1"/>
  <c r="V612" i="1"/>
  <c r="W612" i="1" s="1"/>
  <c r="L612" i="1"/>
  <c r="M612" i="1" s="1"/>
  <c r="N612" i="1"/>
  <c r="O612" i="1" s="1"/>
  <c r="F350" i="1"/>
  <c r="F103" i="1" l="1"/>
  <c r="R103" i="1" s="1"/>
  <c r="S103" i="1" s="1"/>
  <c r="V103" i="1" l="1"/>
  <c r="W103" i="1" s="1"/>
  <c r="N103" i="1"/>
  <c r="O103" i="1" s="1"/>
  <c r="T103" i="1"/>
  <c r="U103" i="1" s="1"/>
  <c r="L103" i="1"/>
  <c r="M103" i="1" s="1"/>
  <c r="J103" i="1"/>
  <c r="K103" i="1" s="1"/>
  <c r="P103" i="1"/>
  <c r="Q103" i="1" s="1"/>
  <c r="G103" i="1"/>
  <c r="F172" i="1"/>
  <c r="F173" i="1"/>
  <c r="G173" i="1" s="1"/>
  <c r="N173" i="1" l="1"/>
  <c r="O173" i="1" s="1"/>
  <c r="P173" i="1"/>
  <c r="Q173" i="1" s="1"/>
  <c r="H173" i="1"/>
  <c r="I173" i="1" s="1"/>
  <c r="T173" i="1"/>
  <c r="U173" i="1" s="1"/>
  <c r="J173" i="1"/>
  <c r="K173" i="1" s="1"/>
  <c r="V173" i="1"/>
  <c r="W173" i="1" s="1"/>
  <c r="L173" i="1"/>
  <c r="M173" i="1" s="1"/>
  <c r="R173" i="1"/>
  <c r="S173" i="1" s="1"/>
  <c r="F167" i="1"/>
  <c r="P167" i="1" s="1"/>
  <c r="Q167" i="1" s="1"/>
  <c r="N167" i="1" l="1"/>
  <c r="O167" i="1" s="1"/>
  <c r="L167" i="1"/>
  <c r="M167" i="1" s="1"/>
  <c r="R167" i="1"/>
  <c r="S167" i="1" s="1"/>
  <c r="G167" i="1"/>
  <c r="H167" i="1"/>
  <c r="I167" i="1" s="1"/>
  <c r="T167" i="1"/>
  <c r="U167" i="1" s="1"/>
  <c r="J167" i="1"/>
  <c r="K167" i="1" s="1"/>
  <c r="V167" i="1"/>
  <c r="W167" i="1" s="1"/>
  <c r="V172" i="1"/>
  <c r="W172" i="1" s="1"/>
  <c r="F168" i="1"/>
  <c r="R168" i="1" s="1"/>
  <c r="S168" i="1" s="1"/>
  <c r="T168" i="1" l="1"/>
  <c r="U168" i="1" s="1"/>
  <c r="V168" i="1"/>
  <c r="W168" i="1" s="1"/>
  <c r="N168" i="1"/>
  <c r="O168" i="1" s="1"/>
  <c r="H168" i="1"/>
  <c r="I168" i="1" s="1"/>
  <c r="L168" i="1"/>
  <c r="M168" i="1" s="1"/>
  <c r="P168" i="1"/>
  <c r="Q168" i="1" s="1"/>
  <c r="J168" i="1"/>
  <c r="K168" i="1" s="1"/>
  <c r="P172" i="1"/>
  <c r="Q172" i="1" s="1"/>
  <c r="N172" i="1"/>
  <c r="O172" i="1" s="1"/>
  <c r="L172" i="1"/>
  <c r="M172" i="1" s="1"/>
  <c r="T172" i="1"/>
  <c r="U172" i="1" s="1"/>
  <c r="R172" i="1"/>
  <c r="S172" i="1" s="1"/>
  <c r="G172" i="1"/>
  <c r="H172" i="1"/>
  <c r="I172" i="1" s="1"/>
  <c r="J172" i="1"/>
  <c r="K172" i="1" s="1"/>
  <c r="G168" i="1"/>
  <c r="F551" i="1"/>
  <c r="T551" i="1" s="1"/>
  <c r="U551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G302" i="1"/>
  <c r="F222" i="1"/>
  <c r="V551" i="1" l="1"/>
  <c r="W551" i="1" s="1"/>
  <c r="L551" i="1"/>
  <c r="M551" i="1" s="1"/>
  <c r="N551" i="1"/>
  <c r="O551" i="1" s="1"/>
  <c r="R551" i="1"/>
  <c r="S551" i="1" s="1"/>
  <c r="G551" i="1"/>
  <c r="P551" i="1"/>
  <c r="Q551" i="1" s="1"/>
  <c r="F553" i="1" l="1"/>
  <c r="F412" i="1" l="1"/>
  <c r="F422" i="1"/>
  <c r="F595" i="1" l="1"/>
  <c r="N595" i="1" s="1"/>
  <c r="O595" i="1" s="1"/>
  <c r="P595" i="1" l="1"/>
  <c r="Q595" i="1" s="1"/>
  <c r="L595" i="1"/>
  <c r="M595" i="1" s="1"/>
  <c r="R595" i="1"/>
  <c r="S595" i="1" s="1"/>
  <c r="G595" i="1"/>
  <c r="H595" i="1"/>
  <c r="I595" i="1" s="1"/>
  <c r="T595" i="1"/>
  <c r="U595" i="1" s="1"/>
  <c r="J595" i="1"/>
  <c r="K595" i="1" s="1"/>
  <c r="V595" i="1"/>
  <c r="W595" i="1" s="1"/>
  <c r="F563" i="1" l="1"/>
  <c r="V562" i="1"/>
  <c r="W562" i="1" s="1"/>
  <c r="F436" i="1"/>
  <c r="P436" i="1" s="1"/>
  <c r="Q436" i="1" s="1"/>
  <c r="F435" i="1"/>
  <c r="P435" i="1" s="1"/>
  <c r="Q435" i="1" s="1"/>
  <c r="F196" i="1"/>
  <c r="N196" i="1" s="1"/>
  <c r="O196" i="1" s="1"/>
  <c r="R562" i="1" l="1"/>
  <c r="S562" i="1" s="1"/>
  <c r="T562" i="1"/>
  <c r="U562" i="1" s="1"/>
  <c r="G562" i="1"/>
  <c r="R436" i="1"/>
  <c r="S436" i="1" s="1"/>
  <c r="G436" i="1"/>
  <c r="H436" i="1"/>
  <c r="I436" i="1" s="1"/>
  <c r="T436" i="1"/>
  <c r="U436" i="1" s="1"/>
  <c r="J436" i="1"/>
  <c r="K436" i="1" s="1"/>
  <c r="V436" i="1"/>
  <c r="W436" i="1" s="1"/>
  <c r="L436" i="1"/>
  <c r="M436" i="1" s="1"/>
  <c r="N436" i="1"/>
  <c r="O436" i="1" s="1"/>
  <c r="L435" i="1"/>
  <c r="M435" i="1" s="1"/>
  <c r="N435" i="1"/>
  <c r="O435" i="1" s="1"/>
  <c r="R435" i="1"/>
  <c r="S435" i="1" s="1"/>
  <c r="G435" i="1"/>
  <c r="H435" i="1"/>
  <c r="I435" i="1" s="1"/>
  <c r="T435" i="1"/>
  <c r="U435" i="1" s="1"/>
  <c r="J435" i="1"/>
  <c r="K435" i="1" s="1"/>
  <c r="V435" i="1"/>
  <c r="W435" i="1" s="1"/>
  <c r="R196" i="1"/>
  <c r="S196" i="1" s="1"/>
  <c r="G196" i="1"/>
  <c r="H196" i="1"/>
  <c r="I196" i="1" s="1"/>
  <c r="T196" i="1"/>
  <c r="U196" i="1" s="1"/>
  <c r="J196" i="1"/>
  <c r="K196" i="1" s="1"/>
  <c r="V196" i="1"/>
  <c r="W196" i="1" s="1"/>
  <c r="L196" i="1"/>
  <c r="M196" i="1" s="1"/>
  <c r="P196" i="1"/>
  <c r="Q196" i="1" s="1"/>
  <c r="F195" i="1"/>
  <c r="N195" i="1" s="1"/>
  <c r="O195" i="1" s="1"/>
  <c r="F265" i="1"/>
  <c r="R265" i="1" s="1"/>
  <c r="S265" i="1" s="1"/>
  <c r="F165" i="1"/>
  <c r="P165" i="1" s="1"/>
  <c r="Q165" i="1" s="1"/>
  <c r="F166" i="1"/>
  <c r="P265" i="1" l="1"/>
  <c r="Q265" i="1" s="1"/>
  <c r="T195" i="1"/>
  <c r="U195" i="1" s="1"/>
  <c r="V195" i="1"/>
  <c r="W195" i="1" s="1"/>
  <c r="L195" i="1"/>
  <c r="M195" i="1" s="1"/>
  <c r="G195" i="1"/>
  <c r="H195" i="1"/>
  <c r="I195" i="1" s="1"/>
  <c r="J195" i="1"/>
  <c r="K195" i="1" s="1"/>
  <c r="P195" i="1"/>
  <c r="Q195" i="1" s="1"/>
  <c r="R195" i="1"/>
  <c r="S195" i="1" s="1"/>
  <c r="L265" i="1"/>
  <c r="M265" i="1" s="1"/>
  <c r="G265" i="1"/>
  <c r="H265" i="1"/>
  <c r="I265" i="1" s="1"/>
  <c r="T265" i="1"/>
  <c r="U265" i="1" s="1"/>
  <c r="J265" i="1"/>
  <c r="K265" i="1" s="1"/>
  <c r="V265" i="1"/>
  <c r="W265" i="1" s="1"/>
  <c r="N265" i="1"/>
  <c r="O265" i="1" s="1"/>
  <c r="V165" i="1"/>
  <c r="W165" i="1" s="1"/>
  <c r="L165" i="1"/>
  <c r="M165" i="1" s="1"/>
  <c r="N165" i="1"/>
  <c r="O165" i="1" s="1"/>
  <c r="R165" i="1"/>
  <c r="S165" i="1" s="1"/>
  <c r="G165" i="1"/>
  <c r="H165" i="1"/>
  <c r="I165" i="1" s="1"/>
  <c r="T165" i="1"/>
  <c r="U165" i="1" s="1"/>
  <c r="J165" i="1"/>
  <c r="K165" i="1" s="1"/>
  <c r="F676" i="1"/>
  <c r="N676" i="1" s="1"/>
  <c r="F669" i="1"/>
  <c r="P669" i="1" s="1"/>
  <c r="Q669" i="1" s="1"/>
  <c r="F680" i="1"/>
  <c r="N680" i="1" s="1"/>
  <c r="O680" i="1" s="1"/>
  <c r="F234" i="1"/>
  <c r="V234" i="1" s="1"/>
  <c r="W234" i="1" s="1"/>
  <c r="F235" i="1"/>
  <c r="L235" i="1" s="1"/>
  <c r="M235" i="1" s="1"/>
  <c r="F257" i="1"/>
  <c r="J257" i="1" s="1"/>
  <c r="K257" i="1" s="1"/>
  <c r="R235" i="1" l="1"/>
  <c r="S235" i="1" s="1"/>
  <c r="L257" i="1"/>
  <c r="M257" i="1" s="1"/>
  <c r="R676" i="1"/>
  <c r="S676" i="1" s="1"/>
  <c r="T676" i="1"/>
  <c r="U676" i="1" s="1"/>
  <c r="N257" i="1"/>
  <c r="O257" i="1" s="1"/>
  <c r="V676" i="1"/>
  <c r="W676" i="1" s="1"/>
  <c r="P257" i="1"/>
  <c r="Q257" i="1" s="1"/>
  <c r="P676" i="1"/>
  <c r="Q676" i="1" s="1"/>
  <c r="R257" i="1"/>
  <c r="S257" i="1" s="1"/>
  <c r="H257" i="1"/>
  <c r="I257" i="1" s="1"/>
  <c r="L676" i="1"/>
  <c r="M676" i="1" s="1"/>
  <c r="T257" i="1"/>
  <c r="U257" i="1" s="1"/>
  <c r="V257" i="1"/>
  <c r="W257" i="1" s="1"/>
  <c r="J676" i="1"/>
  <c r="K676" i="1" s="1"/>
  <c r="O676" i="1"/>
  <c r="G676" i="1"/>
  <c r="R669" i="1"/>
  <c r="S669" i="1" s="1"/>
  <c r="G669" i="1"/>
  <c r="H669" i="1"/>
  <c r="I669" i="1" s="1"/>
  <c r="T669" i="1"/>
  <c r="U669" i="1" s="1"/>
  <c r="J669" i="1"/>
  <c r="K669" i="1" s="1"/>
  <c r="V669" i="1"/>
  <c r="W669" i="1" s="1"/>
  <c r="L669" i="1"/>
  <c r="M669" i="1" s="1"/>
  <c r="N669" i="1"/>
  <c r="O669" i="1" s="1"/>
  <c r="H680" i="1"/>
  <c r="I680" i="1" s="1"/>
  <c r="V680" i="1"/>
  <c r="W680" i="1" s="1"/>
  <c r="L680" i="1"/>
  <c r="M680" i="1" s="1"/>
  <c r="P680" i="1"/>
  <c r="Q680" i="1" s="1"/>
  <c r="R680" i="1"/>
  <c r="S680" i="1" s="1"/>
  <c r="G680" i="1"/>
  <c r="T680" i="1"/>
  <c r="U680" i="1" s="1"/>
  <c r="J680" i="1"/>
  <c r="K680" i="1" s="1"/>
  <c r="G234" i="1"/>
  <c r="T234" i="1"/>
  <c r="U234" i="1" s="1"/>
  <c r="L234" i="1"/>
  <c r="M234" i="1" s="1"/>
  <c r="N234" i="1"/>
  <c r="O234" i="1" s="1"/>
  <c r="J234" i="1"/>
  <c r="K234" i="1" s="1"/>
  <c r="P234" i="1"/>
  <c r="Q234" i="1" s="1"/>
  <c r="R234" i="1"/>
  <c r="S234" i="1" s="1"/>
  <c r="H234" i="1"/>
  <c r="I234" i="1" s="1"/>
  <c r="V235" i="1"/>
  <c r="W235" i="1" s="1"/>
  <c r="N235" i="1"/>
  <c r="O235" i="1" s="1"/>
  <c r="G235" i="1"/>
  <c r="J235" i="1"/>
  <c r="K235" i="1" s="1"/>
  <c r="T235" i="1"/>
  <c r="U235" i="1" s="1"/>
  <c r="H235" i="1"/>
  <c r="I235" i="1" s="1"/>
  <c r="P235" i="1"/>
  <c r="Q235" i="1" s="1"/>
  <c r="F258" i="1" l="1"/>
  <c r="G257" i="1" l="1"/>
  <c r="F162" i="1"/>
  <c r="V162" i="1" s="1"/>
  <c r="W162" i="1" s="1"/>
  <c r="H162" i="1" l="1"/>
  <c r="I162" i="1" s="1"/>
  <c r="L162" i="1"/>
  <c r="M162" i="1" s="1"/>
  <c r="N162" i="1"/>
  <c r="O162" i="1" s="1"/>
  <c r="P162" i="1"/>
  <c r="Q162" i="1" s="1"/>
  <c r="R162" i="1"/>
  <c r="S162" i="1" s="1"/>
  <c r="G162" i="1"/>
  <c r="T162" i="1"/>
  <c r="U162" i="1" s="1"/>
  <c r="J162" i="1"/>
  <c r="K162" i="1" s="1"/>
  <c r="J153" i="1"/>
  <c r="K153" i="1" s="1"/>
  <c r="F610" i="1" l="1"/>
  <c r="F609" i="1"/>
  <c r="F608" i="1"/>
  <c r="F605" i="1"/>
  <c r="F604" i="1"/>
  <c r="F603" i="1"/>
  <c r="F602" i="1"/>
  <c r="F601" i="1"/>
  <c r="F597" i="1"/>
  <c r="F592" i="1"/>
  <c r="F584" i="1"/>
  <c r="F581" i="1"/>
  <c r="F573" i="1"/>
  <c r="F567" i="1"/>
  <c r="F564" i="1"/>
  <c r="F552" i="1"/>
  <c r="F533" i="1"/>
  <c r="F532" i="1"/>
  <c r="F531" i="1"/>
  <c r="F513" i="1"/>
  <c r="F512" i="1"/>
  <c r="F467" i="1"/>
  <c r="F459" i="1"/>
  <c r="F458" i="1"/>
  <c r="F454" i="1"/>
  <c r="F453" i="1"/>
  <c r="F439" i="1"/>
  <c r="H321" i="1"/>
  <c r="H322" i="1"/>
  <c r="H323" i="1"/>
  <c r="H299" i="1"/>
  <c r="H300" i="1"/>
  <c r="H301" i="1"/>
  <c r="H303" i="1"/>
  <c r="H304" i="1"/>
  <c r="H305" i="1"/>
  <c r="H310" i="1"/>
  <c r="H296" i="1"/>
  <c r="F163" i="1"/>
  <c r="P163" i="1" s="1"/>
  <c r="Q163" i="1" s="1"/>
  <c r="F596" i="1"/>
  <c r="V596" i="1" s="1"/>
  <c r="W596" i="1" s="1"/>
  <c r="N163" i="1" l="1"/>
  <c r="O163" i="1" s="1"/>
  <c r="R163" i="1"/>
  <c r="S163" i="1" s="1"/>
  <c r="G163" i="1"/>
  <c r="H163" i="1"/>
  <c r="I163" i="1" s="1"/>
  <c r="T163" i="1"/>
  <c r="U163" i="1" s="1"/>
  <c r="J163" i="1"/>
  <c r="K163" i="1" s="1"/>
  <c r="V163" i="1"/>
  <c r="W163" i="1" s="1"/>
  <c r="L163" i="1"/>
  <c r="M163" i="1" s="1"/>
  <c r="G596" i="1"/>
  <c r="H596" i="1"/>
  <c r="I596" i="1" s="1"/>
  <c r="T596" i="1"/>
  <c r="U596" i="1" s="1"/>
  <c r="P596" i="1"/>
  <c r="Q596" i="1" s="1"/>
  <c r="R596" i="1"/>
  <c r="S596" i="1" s="1"/>
  <c r="L596" i="1"/>
  <c r="M596" i="1" s="1"/>
  <c r="N596" i="1"/>
  <c r="O596" i="1" s="1"/>
  <c r="J596" i="1"/>
  <c r="K596" i="1" s="1"/>
  <c r="F423" i="1" l="1"/>
  <c r="H423" i="1" s="1"/>
  <c r="H356" i="1"/>
  <c r="F413" i="1"/>
  <c r="H413" i="1" s="1"/>
  <c r="F407" i="1"/>
  <c r="F406" i="1"/>
  <c r="F378" i="1"/>
  <c r="F376" i="1"/>
  <c r="F375" i="1"/>
  <c r="F374" i="1"/>
  <c r="F329" i="1"/>
  <c r="F270" i="1"/>
  <c r="F267" i="1"/>
  <c r="F266" i="1"/>
  <c r="F260" i="1"/>
  <c r="F259" i="1"/>
  <c r="F254" i="1"/>
  <c r="F253" i="1"/>
  <c r="F252" i="1"/>
  <c r="F251" i="1"/>
  <c r="F247" i="1"/>
  <c r="F230" i="1"/>
  <c r="F229" i="1"/>
  <c r="F228" i="1"/>
  <c r="V221" i="1"/>
  <c r="W221" i="1" s="1"/>
  <c r="T221" i="1"/>
  <c r="U221" i="1" s="1"/>
  <c r="R221" i="1"/>
  <c r="S221" i="1" s="1"/>
  <c r="P221" i="1"/>
  <c r="Q221" i="1" s="1"/>
  <c r="V220" i="1"/>
  <c r="W220" i="1" s="1"/>
  <c r="T220" i="1"/>
  <c r="U220" i="1" s="1"/>
  <c r="R220" i="1"/>
  <c r="S220" i="1" s="1"/>
  <c r="P220" i="1"/>
  <c r="Q220" i="1" s="1"/>
  <c r="V219" i="1"/>
  <c r="W219" i="1" s="1"/>
  <c r="T219" i="1"/>
  <c r="U219" i="1" s="1"/>
  <c r="R219" i="1"/>
  <c r="S219" i="1" s="1"/>
  <c r="P219" i="1"/>
  <c r="Q219" i="1" s="1"/>
  <c r="V218" i="1"/>
  <c r="W218" i="1" s="1"/>
  <c r="T218" i="1"/>
  <c r="U218" i="1" s="1"/>
  <c r="R218" i="1"/>
  <c r="S218" i="1" s="1"/>
  <c r="P218" i="1"/>
  <c r="Q218" i="1" s="1"/>
  <c r="V217" i="1"/>
  <c r="W217" i="1" s="1"/>
  <c r="T217" i="1"/>
  <c r="U217" i="1" s="1"/>
  <c r="R217" i="1"/>
  <c r="S217" i="1" s="1"/>
  <c r="P217" i="1"/>
  <c r="Q217" i="1" s="1"/>
  <c r="V216" i="1"/>
  <c r="T216" i="1"/>
  <c r="R216" i="1"/>
  <c r="P216" i="1"/>
  <c r="N216" i="1"/>
  <c r="N217" i="1"/>
  <c r="N218" i="1"/>
  <c r="N219" i="1"/>
  <c r="N220" i="1"/>
  <c r="N221" i="1"/>
  <c r="N215" i="1"/>
  <c r="L216" i="1"/>
  <c r="L217" i="1"/>
  <c r="L218" i="1"/>
  <c r="L219" i="1"/>
  <c r="L220" i="1"/>
  <c r="L221" i="1"/>
  <c r="L215" i="1"/>
  <c r="J215" i="1"/>
  <c r="J216" i="1"/>
  <c r="J217" i="1"/>
  <c r="J219" i="1"/>
  <c r="J220" i="1"/>
  <c r="J221" i="1"/>
  <c r="J218" i="1"/>
  <c r="F191" i="1"/>
  <c r="F192" i="1"/>
  <c r="F194" i="1"/>
  <c r="F197" i="1"/>
  <c r="H197" i="1" s="1"/>
  <c r="F170" i="1"/>
  <c r="G170" i="1" s="1"/>
  <c r="F171" i="1"/>
  <c r="F164" i="1"/>
  <c r="H164" i="1" s="1"/>
  <c r="J146" i="1"/>
  <c r="L146" i="1"/>
  <c r="N146" i="1"/>
  <c r="P146" i="1"/>
  <c r="R146" i="1"/>
  <c r="T146" i="1"/>
  <c r="V146" i="1"/>
  <c r="F104" i="1"/>
  <c r="F102" i="1"/>
  <c r="F101" i="1"/>
  <c r="N101" i="1" s="1"/>
  <c r="N105" i="1"/>
  <c r="F100" i="1"/>
  <c r="N100" i="1" s="1"/>
  <c r="F99" i="1"/>
  <c r="N99" i="1" s="1"/>
  <c r="P69" i="1"/>
  <c r="R69" i="1"/>
  <c r="T69" i="1"/>
  <c r="V69" i="1"/>
  <c r="N69" i="1"/>
  <c r="L69" i="1"/>
  <c r="J69" i="1"/>
  <c r="H69" i="1"/>
  <c r="F29" i="1"/>
  <c r="F15" i="1"/>
  <c r="R15" i="1" s="1"/>
  <c r="S15" i="1" s="1"/>
  <c r="F25" i="1"/>
  <c r="F28" i="1"/>
  <c r="T27" i="1"/>
  <c r="R27" i="1"/>
  <c r="P27" i="1"/>
  <c r="N27" i="1"/>
  <c r="L27" i="1"/>
  <c r="W46" i="1"/>
  <c r="U46" i="1"/>
  <c r="S46" i="1"/>
  <c r="Q46" i="1"/>
  <c r="O46" i="1"/>
  <c r="W45" i="1"/>
  <c r="U45" i="1"/>
  <c r="S45" i="1"/>
  <c r="Q45" i="1"/>
  <c r="O45" i="1"/>
  <c r="W126" i="1"/>
  <c r="U126" i="1"/>
  <c r="S126" i="1"/>
  <c r="Q126" i="1"/>
  <c r="O126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J170" i="1" l="1"/>
  <c r="K170" i="1" s="1"/>
  <c r="P170" i="1"/>
  <c r="Q170" i="1" s="1"/>
  <c r="V170" i="1"/>
  <c r="W170" i="1" s="1"/>
  <c r="T170" i="1"/>
  <c r="U170" i="1" s="1"/>
  <c r="L170" i="1"/>
  <c r="M170" i="1" s="1"/>
  <c r="N170" i="1"/>
  <c r="O170" i="1" s="1"/>
  <c r="R170" i="1"/>
  <c r="S170" i="1" s="1"/>
  <c r="H170" i="1"/>
  <c r="I170" i="1" s="1"/>
  <c r="H100" i="1"/>
  <c r="H99" i="1"/>
  <c r="H101" i="1"/>
  <c r="L15" i="1"/>
  <c r="M15" i="1" s="1"/>
  <c r="P15" i="1"/>
  <c r="Q15" i="1" s="1"/>
  <c r="T15" i="1"/>
  <c r="U15" i="1" s="1"/>
  <c r="G15" i="1"/>
  <c r="N15" i="1"/>
  <c r="O15" i="1" s="1"/>
  <c r="F206" i="1" l="1"/>
  <c r="F205" i="1"/>
  <c r="F129" i="1"/>
  <c r="F127" i="1"/>
  <c r="F128" i="1"/>
  <c r="W120" i="1"/>
  <c r="U120" i="1"/>
  <c r="S120" i="1"/>
  <c r="Q120" i="1"/>
  <c r="O120" i="1"/>
  <c r="M120" i="1"/>
  <c r="W115" i="1"/>
  <c r="U115" i="1"/>
  <c r="S115" i="1"/>
  <c r="Q115" i="1"/>
  <c r="O115" i="1"/>
  <c r="M115" i="1"/>
  <c r="P128" i="1" l="1"/>
  <c r="N128" i="1"/>
  <c r="P129" i="1"/>
  <c r="N129" i="1"/>
  <c r="P127" i="1"/>
  <c r="N127" i="1"/>
  <c r="F524" i="1"/>
  <c r="F521" i="1"/>
  <c r="F520" i="1"/>
  <c r="F529" i="1"/>
  <c r="F528" i="1"/>
  <c r="F527" i="1"/>
  <c r="F526" i="1"/>
  <c r="F431" i="1"/>
  <c r="H431" i="1" s="1"/>
  <c r="F430" i="1"/>
  <c r="H430" i="1" s="1"/>
  <c r="F428" i="1"/>
  <c r="H428" i="1" s="1"/>
  <c r="F429" i="1"/>
  <c r="H429" i="1" s="1"/>
  <c r="F427" i="1"/>
  <c r="H427" i="1" s="1"/>
  <c r="F426" i="1"/>
  <c r="H426" i="1" s="1"/>
  <c r="F415" i="1"/>
  <c r="H415" i="1" s="1"/>
  <c r="F414" i="1"/>
  <c r="H414" i="1" s="1"/>
  <c r="F424" i="1"/>
  <c r="H424" i="1" s="1"/>
  <c r="F359" i="1"/>
  <c r="F384" i="1"/>
  <c r="F408" i="1"/>
  <c r="F363" i="1"/>
  <c r="F381" i="1"/>
  <c r="F391" i="1"/>
  <c r="F393" i="1"/>
  <c r="F380" i="1"/>
  <c r="V281" i="1"/>
  <c r="T281" i="1"/>
  <c r="R281" i="1"/>
  <c r="P281" i="1"/>
  <c r="N281" i="1"/>
  <c r="L281" i="1"/>
  <c r="F325" i="1"/>
  <c r="H325" i="1" s="1"/>
  <c r="F294" i="1"/>
  <c r="H294" i="1" s="1"/>
  <c r="F312" i="1"/>
  <c r="T312" i="1" s="1"/>
  <c r="F309" i="1"/>
  <c r="F268" i="1"/>
  <c r="P268" i="1" s="1"/>
  <c r="Q268" i="1" s="1"/>
  <c r="F388" i="1"/>
  <c r="T388" i="1" s="1"/>
  <c r="U388" i="1" s="1"/>
  <c r="F389" i="1"/>
  <c r="V389" i="1" s="1"/>
  <c r="W389" i="1" s="1"/>
  <c r="F394" i="1"/>
  <c r="F420" i="1"/>
  <c r="F421" i="1"/>
  <c r="F425" i="1"/>
  <c r="N425" i="1" s="1"/>
  <c r="T309" i="1" l="1"/>
  <c r="U309" i="1" s="1"/>
  <c r="H309" i="1"/>
  <c r="I309" i="1" s="1"/>
  <c r="V312" i="1"/>
  <c r="W312" i="1" s="1"/>
  <c r="N312" i="1"/>
  <c r="O312" i="1" s="1"/>
  <c r="P312" i="1"/>
  <c r="Q312" i="1" s="1"/>
  <c r="T425" i="1"/>
  <c r="J312" i="1"/>
  <c r="K312" i="1" s="1"/>
  <c r="L312" i="1"/>
  <c r="M312" i="1" s="1"/>
  <c r="R312" i="1"/>
  <c r="S312" i="1" s="1"/>
  <c r="R425" i="1"/>
  <c r="P425" i="1"/>
  <c r="H312" i="1"/>
  <c r="I312" i="1" s="1"/>
  <c r="G312" i="1"/>
  <c r="U312" i="1"/>
  <c r="J309" i="1"/>
  <c r="K309" i="1" s="1"/>
  <c r="N309" i="1"/>
  <c r="O309" i="1" s="1"/>
  <c r="P309" i="1"/>
  <c r="Q309" i="1" s="1"/>
  <c r="R309" i="1"/>
  <c r="S309" i="1" s="1"/>
  <c r="V309" i="1"/>
  <c r="W309" i="1" s="1"/>
  <c r="L309" i="1"/>
  <c r="M309" i="1" s="1"/>
  <c r="G309" i="1"/>
  <c r="V425" i="1"/>
  <c r="H425" i="1"/>
  <c r="J425" i="1"/>
  <c r="L425" i="1"/>
  <c r="N268" i="1"/>
  <c r="O268" i="1" s="1"/>
  <c r="R268" i="1"/>
  <c r="S268" i="1" s="1"/>
  <c r="G268" i="1"/>
  <c r="T268" i="1"/>
  <c r="U268" i="1" s="1"/>
  <c r="J268" i="1"/>
  <c r="K268" i="1" s="1"/>
  <c r="V268" i="1"/>
  <c r="W268" i="1" s="1"/>
  <c r="L268" i="1"/>
  <c r="M268" i="1" s="1"/>
  <c r="V388" i="1"/>
  <c r="W388" i="1" s="1"/>
  <c r="R388" i="1"/>
  <c r="S388" i="1" s="1"/>
  <c r="G388" i="1"/>
  <c r="L388" i="1"/>
  <c r="M388" i="1" s="1"/>
  <c r="N388" i="1"/>
  <c r="O388" i="1" s="1"/>
  <c r="P388" i="1"/>
  <c r="Q388" i="1" s="1"/>
  <c r="G389" i="1"/>
  <c r="L389" i="1"/>
  <c r="M389" i="1" s="1"/>
  <c r="N389" i="1"/>
  <c r="O389" i="1" s="1"/>
  <c r="P389" i="1"/>
  <c r="Q389" i="1" s="1"/>
  <c r="R389" i="1"/>
  <c r="S389" i="1" s="1"/>
  <c r="T389" i="1"/>
  <c r="U389" i="1" s="1"/>
  <c r="Q425" i="1" l="1"/>
  <c r="M425" i="1"/>
  <c r="O425" i="1"/>
  <c r="S425" i="1" l="1"/>
  <c r="G425" i="1"/>
  <c r="I425" i="1"/>
  <c r="U425" i="1"/>
  <c r="K425" i="1"/>
  <c r="W425" i="1"/>
  <c r="F460" i="1" l="1"/>
  <c r="F475" i="1"/>
  <c r="F474" i="1"/>
  <c r="F483" i="1"/>
  <c r="F507" i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G503" i="1"/>
  <c r="F500" i="1"/>
  <c r="T500" i="1" s="1"/>
  <c r="U500" i="1" s="1"/>
  <c r="F499" i="1"/>
  <c r="P499" i="1" s="1"/>
  <c r="Q499" i="1" s="1"/>
  <c r="F671" i="1"/>
  <c r="J671" i="1" s="1"/>
  <c r="K671" i="1" s="1"/>
  <c r="J689" i="1"/>
  <c r="J688" i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H689" i="1"/>
  <c r="H688" i="1"/>
  <c r="V689" i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F682" i="1"/>
  <c r="F681" i="1"/>
  <c r="V681" i="1" s="1"/>
  <c r="W681" i="1" s="1"/>
  <c r="F679" i="1"/>
  <c r="P679" i="1" s="1"/>
  <c r="R675" i="1"/>
  <c r="R674" i="1"/>
  <c r="T674" i="1"/>
  <c r="T675" i="1"/>
  <c r="V675" i="1"/>
  <c r="V674" i="1"/>
  <c r="P675" i="1"/>
  <c r="P674" i="1"/>
  <c r="N675" i="1"/>
  <c r="N674" i="1"/>
  <c r="L674" i="1"/>
  <c r="L675" i="1"/>
  <c r="J674" i="1"/>
  <c r="J675" i="1"/>
  <c r="H675" i="1"/>
  <c r="H674" i="1"/>
  <c r="J682" i="1" l="1"/>
  <c r="K682" i="1" s="1"/>
  <c r="L682" i="1"/>
  <c r="T682" i="1"/>
  <c r="R682" i="1"/>
  <c r="P682" i="1"/>
  <c r="N682" i="1"/>
  <c r="L679" i="1"/>
  <c r="V679" i="1"/>
  <c r="J679" i="1"/>
  <c r="K679" i="1" s="1"/>
  <c r="T679" i="1"/>
  <c r="J500" i="1"/>
  <c r="K500" i="1" s="1"/>
  <c r="V500" i="1"/>
  <c r="W500" i="1" s="1"/>
  <c r="L500" i="1"/>
  <c r="M500" i="1" s="1"/>
  <c r="N500" i="1"/>
  <c r="O500" i="1" s="1"/>
  <c r="P500" i="1"/>
  <c r="Q500" i="1" s="1"/>
  <c r="R500" i="1"/>
  <c r="S500" i="1" s="1"/>
  <c r="G500" i="1"/>
  <c r="H500" i="1"/>
  <c r="I500" i="1" s="1"/>
  <c r="G499" i="1"/>
  <c r="R499" i="1"/>
  <c r="S499" i="1" s="1"/>
  <c r="T499" i="1"/>
  <c r="U499" i="1" s="1"/>
  <c r="V499" i="1"/>
  <c r="W499" i="1" s="1"/>
  <c r="H499" i="1"/>
  <c r="I499" i="1" s="1"/>
  <c r="J499" i="1"/>
  <c r="K499" i="1" s="1"/>
  <c r="L499" i="1"/>
  <c r="M499" i="1" s="1"/>
  <c r="N499" i="1"/>
  <c r="O499" i="1" s="1"/>
  <c r="L671" i="1"/>
  <c r="M671" i="1" s="1"/>
  <c r="P671" i="1"/>
  <c r="Q671" i="1" s="1"/>
  <c r="N671" i="1"/>
  <c r="O671" i="1" s="1"/>
  <c r="R671" i="1"/>
  <c r="S671" i="1" s="1"/>
  <c r="G671" i="1"/>
  <c r="H671" i="1"/>
  <c r="I671" i="1" s="1"/>
  <c r="T671" i="1"/>
  <c r="U671" i="1" s="1"/>
  <c r="V671" i="1"/>
  <c r="W671" i="1" s="1"/>
  <c r="R679" i="1"/>
  <c r="H681" i="1"/>
  <c r="I681" i="1" s="1"/>
  <c r="N679" i="1"/>
  <c r="J681" i="1"/>
  <c r="K681" i="1" s="1"/>
  <c r="L681" i="1"/>
  <c r="M681" i="1" s="1"/>
  <c r="N681" i="1"/>
  <c r="O681" i="1" s="1"/>
  <c r="P681" i="1"/>
  <c r="Q681" i="1" s="1"/>
  <c r="R681" i="1"/>
  <c r="S681" i="1" s="1"/>
  <c r="T681" i="1"/>
  <c r="U681" i="1" s="1"/>
  <c r="G681" i="1"/>
  <c r="F611" i="1" l="1"/>
  <c r="P611" i="1" s="1"/>
  <c r="Q611" i="1" s="1"/>
  <c r="F311" i="1"/>
  <c r="H311" i="1" s="1"/>
  <c r="F14" i="1"/>
  <c r="R611" i="1" l="1"/>
  <c r="S611" i="1" s="1"/>
  <c r="G611" i="1"/>
  <c r="H611" i="1"/>
  <c r="I611" i="1" s="1"/>
  <c r="T611" i="1"/>
  <c r="U611" i="1" s="1"/>
  <c r="J611" i="1"/>
  <c r="K611" i="1" s="1"/>
  <c r="V611" i="1"/>
  <c r="W611" i="1" s="1"/>
  <c r="L611" i="1"/>
  <c r="M611" i="1" s="1"/>
  <c r="N611" i="1"/>
  <c r="O611" i="1" s="1"/>
  <c r="T415" i="1"/>
  <c r="U415" i="1" s="1"/>
  <c r="G462" i="1"/>
  <c r="P415" i="1" l="1"/>
  <c r="Q415" i="1" s="1"/>
  <c r="G415" i="1"/>
  <c r="I415" i="1"/>
  <c r="J415" i="1"/>
  <c r="K415" i="1" s="1"/>
  <c r="V415" i="1"/>
  <c r="W415" i="1" s="1"/>
  <c r="L415" i="1"/>
  <c r="M415" i="1" s="1"/>
  <c r="N415" i="1"/>
  <c r="O415" i="1" s="1"/>
  <c r="R415" i="1"/>
  <c r="S415" i="1" s="1"/>
  <c r="G461" i="1"/>
  <c r="F328" i="1"/>
  <c r="G328" i="1" l="1"/>
  <c r="P230" i="1" l="1"/>
  <c r="Q230" i="1" s="1"/>
  <c r="T230" i="1" l="1"/>
  <c r="U230" i="1" s="1"/>
  <c r="G230" i="1"/>
  <c r="L230" i="1"/>
  <c r="M230" i="1" s="1"/>
  <c r="N230" i="1"/>
  <c r="O230" i="1" s="1"/>
  <c r="R230" i="1"/>
  <c r="S230" i="1" s="1"/>
  <c r="J230" i="1"/>
  <c r="K230" i="1" s="1"/>
  <c r="V230" i="1"/>
  <c r="W230" i="1" s="1"/>
  <c r="F208" i="1"/>
  <c r="P534" i="1" l="1"/>
  <c r="Q534" i="1" s="1"/>
  <c r="N534" i="1"/>
  <c r="O534" i="1" s="1"/>
  <c r="V534" i="1" l="1"/>
  <c r="W534" i="1" s="1"/>
  <c r="R534" i="1"/>
  <c r="S534" i="1" s="1"/>
  <c r="G534" i="1"/>
  <c r="H534" i="1"/>
  <c r="I534" i="1" s="1"/>
  <c r="T534" i="1"/>
  <c r="U534" i="1" s="1"/>
  <c r="J534" i="1"/>
  <c r="K534" i="1" s="1"/>
  <c r="L534" i="1"/>
  <c r="M534" i="1" s="1"/>
  <c r="F288" i="1"/>
  <c r="V288" i="1" l="1"/>
  <c r="W288" i="1" s="1"/>
  <c r="H288" i="1"/>
  <c r="I288" i="1" s="1"/>
  <c r="J288" i="1"/>
  <c r="K288" i="1" s="1"/>
  <c r="N288" i="1"/>
  <c r="O288" i="1" s="1"/>
  <c r="P288" i="1"/>
  <c r="Q288" i="1" s="1"/>
  <c r="R288" i="1"/>
  <c r="S288" i="1" s="1"/>
  <c r="G288" i="1"/>
  <c r="L288" i="1"/>
  <c r="M288" i="1" s="1"/>
  <c r="T288" i="1"/>
  <c r="U288" i="1" s="1"/>
  <c r="J266" i="1" l="1"/>
  <c r="K266" i="1" s="1"/>
  <c r="T266" i="1" l="1"/>
  <c r="U266" i="1" s="1"/>
  <c r="N266" i="1"/>
  <c r="O266" i="1" s="1"/>
  <c r="P266" i="1"/>
  <c r="Q266" i="1" s="1"/>
  <c r="L266" i="1"/>
  <c r="M266" i="1" s="1"/>
  <c r="V266" i="1"/>
  <c r="W266" i="1" s="1"/>
  <c r="R266" i="1"/>
  <c r="S266" i="1" s="1"/>
  <c r="G266" i="1"/>
  <c r="H266" i="1"/>
  <c r="I266" i="1" s="1"/>
  <c r="T442" i="1"/>
  <c r="R442" i="1"/>
  <c r="P442" i="1"/>
  <c r="N442" i="1"/>
  <c r="L442" i="1"/>
  <c r="T443" i="1"/>
  <c r="R443" i="1"/>
  <c r="P443" i="1"/>
  <c r="N443" i="1"/>
  <c r="L443" i="1"/>
  <c r="J443" i="1"/>
  <c r="H443" i="1"/>
  <c r="F434" i="1" l="1"/>
  <c r="F418" i="1"/>
  <c r="P418" i="1" s="1"/>
  <c r="Q418" i="1" s="1"/>
  <c r="N434" i="1" l="1"/>
  <c r="O434" i="1" s="1"/>
  <c r="H434" i="1"/>
  <c r="I434" i="1" s="1"/>
  <c r="R434" i="1"/>
  <c r="S434" i="1" s="1"/>
  <c r="G434" i="1"/>
  <c r="T434" i="1"/>
  <c r="U434" i="1" s="1"/>
  <c r="J434" i="1"/>
  <c r="K434" i="1" s="1"/>
  <c r="V434" i="1"/>
  <c r="W434" i="1" s="1"/>
  <c r="L434" i="1"/>
  <c r="M434" i="1" s="1"/>
  <c r="P434" i="1"/>
  <c r="Q434" i="1" s="1"/>
  <c r="R418" i="1"/>
  <c r="S418" i="1" s="1"/>
  <c r="G418" i="1"/>
  <c r="T418" i="1"/>
  <c r="U418" i="1" s="1"/>
  <c r="V418" i="1"/>
  <c r="W418" i="1" s="1"/>
  <c r="L418" i="1"/>
  <c r="M418" i="1" s="1"/>
  <c r="H418" i="1"/>
  <c r="I418" i="1" s="1"/>
  <c r="J418" i="1"/>
  <c r="K418" i="1" s="1"/>
  <c r="N418" i="1"/>
  <c r="O418" i="1" s="1"/>
  <c r="V564" i="1"/>
  <c r="W564" i="1" s="1"/>
  <c r="F245" i="1"/>
  <c r="P245" i="1" s="1"/>
  <c r="Q245" i="1" s="1"/>
  <c r="J488" i="1"/>
  <c r="K488" i="1" s="1"/>
  <c r="V488" i="1"/>
  <c r="W488" i="1" s="1"/>
  <c r="T488" i="1"/>
  <c r="U488" i="1" s="1"/>
  <c r="R488" i="1"/>
  <c r="S488" i="1" s="1"/>
  <c r="P488" i="1"/>
  <c r="Q488" i="1" s="1"/>
  <c r="N488" i="1"/>
  <c r="O488" i="1" s="1"/>
  <c r="L488" i="1"/>
  <c r="M488" i="1" s="1"/>
  <c r="G488" i="1"/>
  <c r="F419" i="1"/>
  <c r="V419" i="1" s="1"/>
  <c r="W419" i="1" s="1"/>
  <c r="V585" i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H568" i="1"/>
  <c r="I568" i="1" s="1"/>
  <c r="J568" i="1"/>
  <c r="K568" i="1" s="1"/>
  <c r="L568" i="1"/>
  <c r="M568" i="1" s="1"/>
  <c r="N568" i="1"/>
  <c r="O568" i="1" s="1"/>
  <c r="P568" i="1"/>
  <c r="Q568" i="1" s="1"/>
  <c r="R568" i="1"/>
  <c r="S568" i="1" s="1"/>
  <c r="T568" i="1"/>
  <c r="U568" i="1" s="1"/>
  <c r="V568" i="1"/>
  <c r="W568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L539" i="1"/>
  <c r="M539" i="1" s="1"/>
  <c r="J539" i="1"/>
  <c r="K539" i="1" s="1"/>
  <c r="H538" i="1"/>
  <c r="I538" i="1" s="1"/>
  <c r="H539" i="1"/>
  <c r="N538" i="1"/>
  <c r="O538" i="1" s="1"/>
  <c r="L538" i="1"/>
  <c r="M538" i="1" s="1"/>
  <c r="J538" i="1"/>
  <c r="K538" i="1" s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H622" i="1"/>
  <c r="I622" i="1" s="1"/>
  <c r="H625" i="1"/>
  <c r="I625" i="1" s="1"/>
  <c r="H626" i="1"/>
  <c r="I626" i="1" s="1"/>
  <c r="H621" i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V628" i="1"/>
  <c r="W628" i="1" s="1"/>
  <c r="T628" i="1"/>
  <c r="U628" i="1" s="1"/>
  <c r="R628" i="1"/>
  <c r="S628" i="1" s="1"/>
  <c r="P628" i="1"/>
  <c r="Q628" i="1" s="1"/>
  <c r="N628" i="1"/>
  <c r="O628" i="1" s="1"/>
  <c r="L628" i="1"/>
  <c r="M628" i="1" s="1"/>
  <c r="J628" i="1"/>
  <c r="K628" i="1" s="1"/>
  <c r="V627" i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J627" i="1"/>
  <c r="K627" i="1" s="1"/>
  <c r="V626" i="1"/>
  <c r="W626" i="1" s="1"/>
  <c r="T626" i="1"/>
  <c r="U626" i="1" s="1"/>
  <c r="R626" i="1"/>
  <c r="S626" i="1" s="1"/>
  <c r="P626" i="1"/>
  <c r="Q626" i="1" s="1"/>
  <c r="N626" i="1"/>
  <c r="O626" i="1" s="1"/>
  <c r="L626" i="1"/>
  <c r="M626" i="1" s="1"/>
  <c r="J626" i="1"/>
  <c r="K626" i="1" s="1"/>
  <c r="V625" i="1"/>
  <c r="W625" i="1" s="1"/>
  <c r="T625" i="1"/>
  <c r="U625" i="1" s="1"/>
  <c r="R625" i="1"/>
  <c r="S625" i="1" s="1"/>
  <c r="P625" i="1"/>
  <c r="Q625" i="1" s="1"/>
  <c r="N625" i="1"/>
  <c r="O625" i="1" s="1"/>
  <c r="L625" i="1"/>
  <c r="M625" i="1" s="1"/>
  <c r="J625" i="1"/>
  <c r="K625" i="1" s="1"/>
  <c r="V624" i="1"/>
  <c r="W624" i="1" s="1"/>
  <c r="T624" i="1"/>
  <c r="U624" i="1" s="1"/>
  <c r="R624" i="1"/>
  <c r="S624" i="1" s="1"/>
  <c r="P624" i="1"/>
  <c r="Q624" i="1" s="1"/>
  <c r="N624" i="1"/>
  <c r="O624" i="1" s="1"/>
  <c r="L624" i="1"/>
  <c r="M624" i="1" s="1"/>
  <c r="J624" i="1"/>
  <c r="K624" i="1" s="1"/>
  <c r="V623" i="1"/>
  <c r="W623" i="1" s="1"/>
  <c r="T623" i="1"/>
  <c r="U623" i="1" s="1"/>
  <c r="R623" i="1"/>
  <c r="S623" i="1" s="1"/>
  <c r="P623" i="1"/>
  <c r="Q623" i="1" s="1"/>
  <c r="N623" i="1"/>
  <c r="O623" i="1" s="1"/>
  <c r="L623" i="1"/>
  <c r="M623" i="1" s="1"/>
  <c r="J623" i="1"/>
  <c r="K623" i="1" s="1"/>
  <c r="V622" i="1"/>
  <c r="W622" i="1" s="1"/>
  <c r="T622" i="1"/>
  <c r="U622" i="1" s="1"/>
  <c r="R622" i="1"/>
  <c r="S622" i="1" s="1"/>
  <c r="P622" i="1"/>
  <c r="Q622" i="1" s="1"/>
  <c r="N622" i="1"/>
  <c r="O622" i="1" s="1"/>
  <c r="L622" i="1"/>
  <c r="M622" i="1" s="1"/>
  <c r="J622" i="1"/>
  <c r="K622" i="1" s="1"/>
  <c r="V621" i="1"/>
  <c r="W621" i="1" s="1"/>
  <c r="T621" i="1"/>
  <c r="U621" i="1" s="1"/>
  <c r="R621" i="1"/>
  <c r="S621" i="1" s="1"/>
  <c r="P621" i="1"/>
  <c r="Q621" i="1" s="1"/>
  <c r="N621" i="1"/>
  <c r="O621" i="1" s="1"/>
  <c r="L621" i="1"/>
  <c r="M621" i="1" s="1"/>
  <c r="J621" i="1"/>
  <c r="K621" i="1" s="1"/>
  <c r="V619" i="1"/>
  <c r="T619" i="1"/>
  <c r="R619" i="1"/>
  <c r="P619" i="1"/>
  <c r="N619" i="1"/>
  <c r="L619" i="1"/>
  <c r="J619" i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H498" i="1"/>
  <c r="H497" i="1"/>
  <c r="J498" i="1"/>
  <c r="J497" i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J496" i="1"/>
  <c r="K496" i="1" s="1"/>
  <c r="H496" i="1"/>
  <c r="I496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J495" i="1"/>
  <c r="K495" i="1" s="1"/>
  <c r="H495" i="1"/>
  <c r="I495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J494" i="1"/>
  <c r="K494" i="1" s="1"/>
  <c r="H494" i="1"/>
  <c r="I494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2" i="1"/>
  <c r="W492" i="1" s="1"/>
  <c r="T492" i="1"/>
  <c r="U492" i="1" s="1"/>
  <c r="R492" i="1"/>
  <c r="S492" i="1" s="1"/>
  <c r="P492" i="1"/>
  <c r="Q492" i="1" s="1"/>
  <c r="N492" i="1"/>
  <c r="O492" i="1" s="1"/>
  <c r="L492" i="1"/>
  <c r="M492" i="1" s="1"/>
  <c r="J492" i="1"/>
  <c r="K492" i="1" s="1"/>
  <c r="H492" i="1"/>
  <c r="I492" i="1" s="1"/>
  <c r="J491" i="1"/>
  <c r="H491" i="1"/>
  <c r="L491" i="1"/>
  <c r="N491" i="1"/>
  <c r="P491" i="1"/>
  <c r="R491" i="1"/>
  <c r="T491" i="1"/>
  <c r="V491" i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V489" i="1"/>
  <c r="W489" i="1" s="1"/>
  <c r="T489" i="1"/>
  <c r="U489" i="1" s="1"/>
  <c r="R489" i="1"/>
  <c r="S489" i="1" s="1"/>
  <c r="P489" i="1"/>
  <c r="Q489" i="1" s="1"/>
  <c r="N489" i="1"/>
  <c r="O489" i="1" s="1"/>
  <c r="L489" i="1"/>
  <c r="M489" i="1" s="1"/>
  <c r="V487" i="1"/>
  <c r="W487" i="1" s="1"/>
  <c r="T487" i="1"/>
  <c r="U487" i="1" s="1"/>
  <c r="R487" i="1"/>
  <c r="S487" i="1" s="1"/>
  <c r="P487" i="1"/>
  <c r="Q487" i="1" s="1"/>
  <c r="N487" i="1"/>
  <c r="O487" i="1" s="1"/>
  <c r="L487" i="1"/>
  <c r="M487" i="1" s="1"/>
  <c r="V486" i="1"/>
  <c r="W486" i="1" s="1"/>
  <c r="T486" i="1"/>
  <c r="U486" i="1" s="1"/>
  <c r="R486" i="1"/>
  <c r="S486" i="1" s="1"/>
  <c r="P486" i="1"/>
  <c r="Q486" i="1" s="1"/>
  <c r="N486" i="1"/>
  <c r="O486" i="1" s="1"/>
  <c r="L486" i="1"/>
  <c r="M486" i="1" s="1"/>
  <c r="V485" i="1"/>
  <c r="W485" i="1" s="1"/>
  <c r="T485" i="1"/>
  <c r="U485" i="1" s="1"/>
  <c r="R485" i="1"/>
  <c r="S485" i="1" s="1"/>
  <c r="P485" i="1"/>
  <c r="Q485" i="1" s="1"/>
  <c r="N485" i="1"/>
  <c r="O485" i="1" s="1"/>
  <c r="L485" i="1"/>
  <c r="M485" i="1" s="1"/>
  <c r="L484" i="1"/>
  <c r="N484" i="1"/>
  <c r="P484" i="1"/>
  <c r="R484" i="1"/>
  <c r="T484" i="1"/>
  <c r="V484" i="1"/>
  <c r="V481" i="1"/>
  <c r="W481" i="1" s="1"/>
  <c r="T481" i="1"/>
  <c r="U481" i="1" s="1"/>
  <c r="R481" i="1"/>
  <c r="S481" i="1" s="1"/>
  <c r="P481" i="1"/>
  <c r="Q481" i="1" s="1"/>
  <c r="N481" i="1"/>
  <c r="O481" i="1" s="1"/>
  <c r="L481" i="1"/>
  <c r="M481" i="1" s="1"/>
  <c r="J481" i="1"/>
  <c r="K481" i="1" s="1"/>
  <c r="F455" i="1"/>
  <c r="H455" i="1" s="1"/>
  <c r="N564" i="1" l="1"/>
  <c r="O564" i="1" s="1"/>
  <c r="P564" i="1"/>
  <c r="Q564" i="1" s="1"/>
  <c r="T564" i="1"/>
  <c r="U564" i="1" s="1"/>
  <c r="G564" i="1"/>
  <c r="R564" i="1"/>
  <c r="S564" i="1" s="1"/>
  <c r="P455" i="1"/>
  <c r="Q455" i="1" s="1"/>
  <c r="L455" i="1"/>
  <c r="M455" i="1" s="1"/>
  <c r="N245" i="1"/>
  <c r="O245" i="1" s="1"/>
  <c r="R245" i="1"/>
  <c r="S245" i="1" s="1"/>
  <c r="G245" i="1"/>
  <c r="H245" i="1"/>
  <c r="I245" i="1" s="1"/>
  <c r="T245" i="1"/>
  <c r="U245" i="1" s="1"/>
  <c r="J245" i="1"/>
  <c r="K245" i="1" s="1"/>
  <c r="V245" i="1"/>
  <c r="W245" i="1" s="1"/>
  <c r="L245" i="1"/>
  <c r="M245" i="1" s="1"/>
  <c r="N455" i="1"/>
  <c r="O455" i="1" s="1"/>
  <c r="V455" i="1"/>
  <c r="W455" i="1" s="1"/>
  <c r="T455" i="1"/>
  <c r="U455" i="1" s="1"/>
  <c r="R455" i="1"/>
  <c r="S455" i="1" s="1"/>
  <c r="J419" i="1"/>
  <c r="K419" i="1" s="1"/>
  <c r="H419" i="1"/>
  <c r="I419" i="1" s="1"/>
  <c r="L419" i="1"/>
  <c r="M419" i="1" s="1"/>
  <c r="N419" i="1"/>
  <c r="O419" i="1" s="1"/>
  <c r="P419" i="1"/>
  <c r="Q419" i="1" s="1"/>
  <c r="R419" i="1"/>
  <c r="S419" i="1" s="1"/>
  <c r="J455" i="1"/>
  <c r="K455" i="1" s="1"/>
  <c r="T419" i="1"/>
  <c r="U419" i="1" s="1"/>
  <c r="G419" i="1"/>
  <c r="G455" i="1"/>
  <c r="I455" i="1"/>
  <c r="P460" i="1"/>
  <c r="V166" i="1"/>
  <c r="W166" i="1" s="1"/>
  <c r="J460" i="1" l="1"/>
  <c r="K460" i="1" s="1"/>
  <c r="L460" i="1"/>
  <c r="M460" i="1" s="1"/>
  <c r="N460" i="1"/>
  <c r="O460" i="1" s="1"/>
  <c r="V460" i="1"/>
  <c r="W460" i="1" s="1"/>
  <c r="T460" i="1"/>
  <c r="U460" i="1" s="1"/>
  <c r="R460" i="1"/>
  <c r="S460" i="1" s="1"/>
  <c r="T166" i="1"/>
  <c r="U166" i="1" s="1"/>
  <c r="J166" i="1"/>
  <c r="K166" i="1" s="1"/>
  <c r="L166" i="1"/>
  <c r="M166" i="1" s="1"/>
  <c r="G166" i="1"/>
  <c r="N166" i="1"/>
  <c r="O166" i="1" s="1"/>
  <c r="P166" i="1"/>
  <c r="Q166" i="1" s="1"/>
  <c r="R166" i="1"/>
  <c r="S166" i="1" s="1"/>
  <c r="H166" i="1"/>
  <c r="I166" i="1" s="1"/>
  <c r="Q460" i="1"/>
  <c r="G460" i="1"/>
  <c r="L252" i="1"/>
  <c r="M252" i="1" s="1"/>
  <c r="N252" i="1" l="1"/>
  <c r="O252" i="1" s="1"/>
  <c r="P252" i="1"/>
  <c r="Q252" i="1" s="1"/>
  <c r="V252" i="1"/>
  <c r="W252" i="1" s="1"/>
  <c r="T252" i="1"/>
  <c r="U252" i="1" s="1"/>
  <c r="J252" i="1"/>
  <c r="K252" i="1" s="1"/>
  <c r="R252" i="1"/>
  <c r="S252" i="1" s="1"/>
  <c r="G252" i="1"/>
  <c r="H252" i="1"/>
  <c r="I252" i="1" s="1"/>
  <c r="F367" i="1"/>
  <c r="R367" i="1" l="1"/>
  <c r="S367" i="1" s="1"/>
  <c r="L367" i="1"/>
  <c r="M367" i="1" s="1"/>
  <c r="T367" i="1"/>
  <c r="U367" i="1" s="1"/>
  <c r="V367" i="1"/>
  <c r="W367" i="1" s="1"/>
  <c r="G367" i="1"/>
  <c r="N367" i="1"/>
  <c r="O367" i="1" s="1"/>
  <c r="P367" i="1"/>
  <c r="Q367" i="1" s="1"/>
  <c r="F387" i="1"/>
  <c r="F357" i="1"/>
  <c r="N597" i="1" l="1"/>
  <c r="O597" i="1" s="1"/>
  <c r="P597" i="1"/>
  <c r="Q597" i="1" s="1"/>
  <c r="R597" i="1"/>
  <c r="S597" i="1" s="1"/>
  <c r="T597" i="1"/>
  <c r="U597" i="1" s="1"/>
  <c r="H597" i="1"/>
  <c r="I597" i="1" s="1"/>
  <c r="J597" i="1"/>
  <c r="K597" i="1" s="1"/>
  <c r="L597" i="1"/>
  <c r="M597" i="1" s="1"/>
  <c r="V597" i="1"/>
  <c r="W597" i="1" s="1"/>
  <c r="G597" i="1"/>
  <c r="F571" i="1"/>
  <c r="F574" i="1"/>
  <c r="F569" i="1"/>
  <c r="F576" i="1"/>
  <c r="F577" i="1"/>
  <c r="F587" i="1"/>
  <c r="F593" i="1"/>
  <c r="F578" i="1"/>
  <c r="F589" i="1"/>
  <c r="N567" i="1" l="1"/>
  <c r="O567" i="1" s="1"/>
  <c r="P567" i="1"/>
  <c r="Q567" i="1" s="1"/>
  <c r="R567" i="1"/>
  <c r="S567" i="1" s="1"/>
  <c r="T567" i="1"/>
  <c r="U567" i="1" s="1"/>
  <c r="V567" i="1"/>
  <c r="W567" i="1" s="1"/>
  <c r="H567" i="1"/>
  <c r="I567" i="1" s="1"/>
  <c r="J567" i="1"/>
  <c r="K567" i="1" s="1"/>
  <c r="L567" i="1"/>
  <c r="M567" i="1" s="1"/>
  <c r="P578" i="1"/>
  <c r="Q578" i="1" s="1"/>
  <c r="R578" i="1"/>
  <c r="S578" i="1" s="1"/>
  <c r="T578" i="1"/>
  <c r="U578" i="1" s="1"/>
  <c r="V578" i="1"/>
  <c r="W578" i="1" s="1"/>
  <c r="H578" i="1"/>
  <c r="I578" i="1" s="1"/>
  <c r="J578" i="1"/>
  <c r="K578" i="1" s="1"/>
  <c r="L578" i="1"/>
  <c r="M578" i="1" s="1"/>
  <c r="N578" i="1"/>
  <c r="O578" i="1" s="1"/>
  <c r="H602" i="1"/>
  <c r="I602" i="1" s="1"/>
  <c r="V602" i="1"/>
  <c r="W602" i="1" s="1"/>
  <c r="T602" i="1"/>
  <c r="U602" i="1" s="1"/>
  <c r="R602" i="1"/>
  <c r="S602" i="1" s="1"/>
  <c r="P602" i="1"/>
  <c r="Q602" i="1" s="1"/>
  <c r="N602" i="1"/>
  <c r="O602" i="1" s="1"/>
  <c r="L602" i="1"/>
  <c r="M602" i="1" s="1"/>
  <c r="J602" i="1"/>
  <c r="K602" i="1" s="1"/>
  <c r="N589" i="1"/>
  <c r="O589" i="1" s="1"/>
  <c r="P589" i="1"/>
  <c r="Q589" i="1" s="1"/>
  <c r="R589" i="1"/>
  <c r="S589" i="1" s="1"/>
  <c r="T589" i="1"/>
  <c r="U589" i="1" s="1"/>
  <c r="H589" i="1"/>
  <c r="I589" i="1" s="1"/>
  <c r="J589" i="1"/>
  <c r="K589" i="1" s="1"/>
  <c r="L589" i="1"/>
  <c r="M589" i="1" s="1"/>
  <c r="V589" i="1"/>
  <c r="W589" i="1" s="1"/>
  <c r="H571" i="1"/>
  <c r="I571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G593" i="1"/>
  <c r="N593" i="1"/>
  <c r="O593" i="1" s="1"/>
  <c r="P593" i="1"/>
  <c r="Q593" i="1" s="1"/>
  <c r="R593" i="1"/>
  <c r="S593" i="1" s="1"/>
  <c r="T593" i="1"/>
  <c r="U593" i="1" s="1"/>
  <c r="H593" i="1"/>
  <c r="I593" i="1" s="1"/>
  <c r="J593" i="1"/>
  <c r="K593" i="1" s="1"/>
  <c r="L593" i="1"/>
  <c r="M593" i="1" s="1"/>
  <c r="V593" i="1"/>
  <c r="W593" i="1" s="1"/>
  <c r="R576" i="1"/>
  <c r="S576" i="1" s="1"/>
  <c r="T576" i="1"/>
  <c r="U576" i="1" s="1"/>
  <c r="V576" i="1"/>
  <c r="W576" i="1" s="1"/>
  <c r="H576" i="1"/>
  <c r="I576" i="1" s="1"/>
  <c r="L576" i="1"/>
  <c r="M576" i="1" s="1"/>
  <c r="N576" i="1"/>
  <c r="O576" i="1" s="1"/>
  <c r="J576" i="1"/>
  <c r="K576" i="1" s="1"/>
  <c r="P576" i="1"/>
  <c r="Q576" i="1" s="1"/>
  <c r="T574" i="1"/>
  <c r="U574" i="1" s="1"/>
  <c r="V574" i="1"/>
  <c r="W574" i="1" s="1"/>
  <c r="H574" i="1"/>
  <c r="I574" i="1" s="1"/>
  <c r="J574" i="1"/>
  <c r="K574" i="1" s="1"/>
  <c r="L574" i="1"/>
  <c r="M574" i="1" s="1"/>
  <c r="N574" i="1"/>
  <c r="O574" i="1" s="1"/>
  <c r="P574" i="1"/>
  <c r="Q574" i="1" s="1"/>
  <c r="R574" i="1"/>
  <c r="S574" i="1" s="1"/>
  <c r="V601" i="1"/>
  <c r="W601" i="1" s="1"/>
  <c r="T601" i="1"/>
  <c r="U601" i="1" s="1"/>
  <c r="R601" i="1"/>
  <c r="S601" i="1" s="1"/>
  <c r="P601" i="1"/>
  <c r="Q601" i="1" s="1"/>
  <c r="N601" i="1"/>
  <c r="O601" i="1" s="1"/>
  <c r="L601" i="1"/>
  <c r="M601" i="1" s="1"/>
  <c r="J601" i="1"/>
  <c r="K601" i="1" s="1"/>
  <c r="H601" i="1"/>
  <c r="I601" i="1" s="1"/>
  <c r="L608" i="1"/>
  <c r="M608" i="1" s="1"/>
  <c r="J608" i="1"/>
  <c r="K608" i="1" s="1"/>
  <c r="H608" i="1"/>
  <c r="I608" i="1" s="1"/>
  <c r="V608" i="1"/>
  <c r="W608" i="1" s="1"/>
  <c r="T608" i="1"/>
  <c r="U608" i="1" s="1"/>
  <c r="R608" i="1"/>
  <c r="S608" i="1" s="1"/>
  <c r="N608" i="1"/>
  <c r="O608" i="1" s="1"/>
  <c r="P608" i="1"/>
  <c r="Q608" i="1" s="1"/>
  <c r="N587" i="1"/>
  <c r="O587" i="1" s="1"/>
  <c r="P587" i="1"/>
  <c r="Q587" i="1" s="1"/>
  <c r="R587" i="1"/>
  <c r="S587" i="1" s="1"/>
  <c r="T587" i="1"/>
  <c r="U587" i="1" s="1"/>
  <c r="H587" i="1"/>
  <c r="I587" i="1" s="1"/>
  <c r="J587" i="1"/>
  <c r="K587" i="1" s="1"/>
  <c r="L587" i="1"/>
  <c r="M587" i="1" s="1"/>
  <c r="V587" i="1"/>
  <c r="W587" i="1" s="1"/>
  <c r="P577" i="1"/>
  <c r="Q577" i="1" s="1"/>
  <c r="R577" i="1"/>
  <c r="S577" i="1" s="1"/>
  <c r="T577" i="1"/>
  <c r="U577" i="1" s="1"/>
  <c r="H577" i="1"/>
  <c r="I577" i="1" s="1"/>
  <c r="V577" i="1"/>
  <c r="W577" i="1" s="1"/>
  <c r="J577" i="1"/>
  <c r="K577" i="1" s="1"/>
  <c r="L577" i="1"/>
  <c r="M577" i="1" s="1"/>
  <c r="N577" i="1"/>
  <c r="O577" i="1" s="1"/>
  <c r="J569" i="1"/>
  <c r="K569" i="1" s="1"/>
  <c r="L569" i="1"/>
  <c r="M569" i="1" s="1"/>
  <c r="N569" i="1"/>
  <c r="O569" i="1" s="1"/>
  <c r="P569" i="1"/>
  <c r="Q569" i="1" s="1"/>
  <c r="R569" i="1"/>
  <c r="S569" i="1" s="1"/>
  <c r="T569" i="1"/>
  <c r="U569" i="1" s="1"/>
  <c r="V569" i="1"/>
  <c r="W569" i="1" s="1"/>
  <c r="H569" i="1"/>
  <c r="I569" i="1" s="1"/>
  <c r="G578" i="1"/>
  <c r="G574" i="1"/>
  <c r="G571" i="1"/>
  <c r="G589" i="1" l="1"/>
  <c r="F313" i="1" l="1"/>
  <c r="H313" i="1" s="1"/>
  <c r="F295" i="1"/>
  <c r="H295" i="1" s="1"/>
  <c r="F290" i="1"/>
  <c r="H290" i="1" s="1"/>
  <c r="F289" i="1"/>
  <c r="H289" i="1" s="1"/>
  <c r="F276" i="1"/>
  <c r="F280" i="1"/>
  <c r="P280" i="1" s="1"/>
  <c r="Q280" i="1" s="1"/>
  <c r="F243" i="1"/>
  <c r="J243" i="1" s="1"/>
  <c r="K243" i="1" s="1"/>
  <c r="F272" i="1"/>
  <c r="F263" i="1"/>
  <c r="F262" i="1"/>
  <c r="F256" i="1"/>
  <c r="F255" i="1"/>
  <c r="F246" i="1"/>
  <c r="F586" i="1"/>
  <c r="F227" i="1"/>
  <c r="H222" i="1"/>
  <c r="F193" i="1"/>
  <c r="F169" i="1"/>
  <c r="H169" i="1" s="1"/>
  <c r="F161" i="1"/>
  <c r="F155" i="1"/>
  <c r="F154" i="1"/>
  <c r="V123" i="1"/>
  <c r="W123" i="1" s="1"/>
  <c r="T123" i="1"/>
  <c r="U123" i="1" s="1"/>
  <c r="R123" i="1"/>
  <c r="S123" i="1" s="1"/>
  <c r="P123" i="1"/>
  <c r="Q123" i="1" s="1"/>
  <c r="N123" i="1"/>
  <c r="O123" i="1" s="1"/>
  <c r="L123" i="1"/>
  <c r="M123" i="1" s="1"/>
  <c r="J123" i="1"/>
  <c r="K123" i="1" s="1"/>
  <c r="L95" i="1"/>
  <c r="J95" i="1"/>
  <c r="V105" i="1"/>
  <c r="W105" i="1" s="1"/>
  <c r="T105" i="1"/>
  <c r="U105" i="1" s="1"/>
  <c r="R105" i="1"/>
  <c r="S105" i="1" s="1"/>
  <c r="P105" i="1"/>
  <c r="Q105" i="1" s="1"/>
  <c r="O105" i="1"/>
  <c r="L105" i="1"/>
  <c r="M105" i="1" s="1"/>
  <c r="J105" i="1"/>
  <c r="K105" i="1" s="1"/>
  <c r="F550" i="1"/>
  <c r="J550" i="1" s="1"/>
  <c r="K550" i="1" s="1"/>
  <c r="N586" i="1" l="1"/>
  <c r="O586" i="1" s="1"/>
  <c r="L586" i="1"/>
  <c r="M586" i="1" s="1"/>
  <c r="J586" i="1"/>
  <c r="K586" i="1" s="1"/>
  <c r="H586" i="1"/>
  <c r="I586" i="1" s="1"/>
  <c r="V586" i="1"/>
  <c r="W586" i="1" s="1"/>
  <c r="T586" i="1"/>
  <c r="U586" i="1" s="1"/>
  <c r="R586" i="1"/>
  <c r="S586" i="1" s="1"/>
  <c r="P586" i="1"/>
  <c r="Q586" i="1" s="1"/>
  <c r="V550" i="1"/>
  <c r="W550" i="1" s="1"/>
  <c r="T550" i="1"/>
  <c r="U550" i="1" s="1"/>
  <c r="N550" i="1"/>
  <c r="O550" i="1" s="1"/>
  <c r="P550" i="1"/>
  <c r="Q550" i="1" s="1"/>
  <c r="R550" i="1"/>
  <c r="S550" i="1" s="1"/>
  <c r="L550" i="1"/>
  <c r="M550" i="1" s="1"/>
  <c r="L280" i="1"/>
  <c r="M280" i="1" s="1"/>
  <c r="G280" i="1"/>
  <c r="H280" i="1"/>
  <c r="I280" i="1" s="1"/>
  <c r="T280" i="1"/>
  <c r="U280" i="1" s="1"/>
  <c r="J280" i="1"/>
  <c r="K280" i="1" s="1"/>
  <c r="V280" i="1"/>
  <c r="W280" i="1" s="1"/>
  <c r="R280" i="1"/>
  <c r="S280" i="1" s="1"/>
  <c r="N280" i="1"/>
  <c r="O280" i="1" s="1"/>
  <c r="G243" i="1"/>
  <c r="V243" i="1"/>
  <c r="W243" i="1" s="1"/>
  <c r="L243" i="1"/>
  <c r="M243" i="1" s="1"/>
  <c r="P243" i="1"/>
  <c r="Q243" i="1" s="1"/>
  <c r="T243" i="1"/>
  <c r="U243" i="1" s="1"/>
  <c r="N243" i="1"/>
  <c r="O243" i="1" s="1"/>
  <c r="R243" i="1"/>
  <c r="S243" i="1" s="1"/>
  <c r="H243" i="1"/>
  <c r="I243" i="1" s="1"/>
  <c r="G550" i="1"/>
  <c r="P380" i="1" l="1"/>
  <c r="Q380" i="1" s="1"/>
  <c r="V380" i="1" l="1"/>
  <c r="W380" i="1" s="1"/>
  <c r="G380" i="1"/>
  <c r="L380" i="1"/>
  <c r="M380" i="1" s="1"/>
  <c r="R380" i="1"/>
  <c r="S380" i="1" s="1"/>
  <c r="T380" i="1"/>
  <c r="U380" i="1" s="1"/>
  <c r="N380" i="1"/>
  <c r="O380" i="1" s="1"/>
  <c r="F555" i="1" l="1"/>
  <c r="V555" i="1" l="1"/>
  <c r="W555" i="1" s="1"/>
  <c r="T555" i="1"/>
  <c r="U555" i="1" s="1"/>
  <c r="H555" i="1"/>
  <c r="R555" i="1"/>
  <c r="S555" i="1" s="1"/>
  <c r="P555" i="1"/>
  <c r="Q555" i="1" s="1"/>
  <c r="L555" i="1"/>
  <c r="M555" i="1" s="1"/>
  <c r="J555" i="1"/>
  <c r="N555" i="1"/>
  <c r="O555" i="1" s="1"/>
  <c r="F693" i="1"/>
  <c r="F691" i="1"/>
  <c r="W619" i="1"/>
  <c r="U619" i="1"/>
  <c r="S619" i="1"/>
  <c r="Q619" i="1"/>
  <c r="O619" i="1"/>
  <c r="M619" i="1"/>
  <c r="K619" i="1"/>
  <c r="R609" i="1" l="1"/>
  <c r="S609" i="1" s="1"/>
  <c r="P609" i="1"/>
  <c r="Q609" i="1" s="1"/>
  <c r="N609" i="1"/>
  <c r="O609" i="1" s="1"/>
  <c r="L609" i="1"/>
  <c r="M609" i="1" s="1"/>
  <c r="J609" i="1"/>
  <c r="K609" i="1" s="1"/>
  <c r="H609" i="1"/>
  <c r="I609" i="1" s="1"/>
  <c r="V609" i="1"/>
  <c r="W609" i="1" s="1"/>
  <c r="T609" i="1"/>
  <c r="U609" i="1" s="1"/>
  <c r="T610" i="1"/>
  <c r="U610" i="1" s="1"/>
  <c r="R610" i="1"/>
  <c r="S610" i="1" s="1"/>
  <c r="P610" i="1"/>
  <c r="Q610" i="1" s="1"/>
  <c r="N610" i="1"/>
  <c r="O610" i="1" s="1"/>
  <c r="L610" i="1"/>
  <c r="M610" i="1" s="1"/>
  <c r="J610" i="1"/>
  <c r="K610" i="1" s="1"/>
  <c r="H610" i="1"/>
  <c r="I610" i="1" s="1"/>
  <c r="V610" i="1"/>
  <c r="W610" i="1" s="1"/>
  <c r="N453" i="1"/>
  <c r="O453" i="1" s="1"/>
  <c r="L453" i="1"/>
  <c r="M453" i="1" s="1"/>
  <c r="J453" i="1"/>
  <c r="K453" i="1" s="1"/>
  <c r="H453" i="1"/>
  <c r="I453" i="1" s="1"/>
  <c r="V453" i="1"/>
  <c r="W453" i="1" s="1"/>
  <c r="T453" i="1"/>
  <c r="U453" i="1" s="1"/>
  <c r="R453" i="1"/>
  <c r="S453" i="1" s="1"/>
  <c r="P453" i="1"/>
  <c r="Q453" i="1" s="1"/>
  <c r="R454" i="1"/>
  <c r="S454" i="1" s="1"/>
  <c r="P454" i="1"/>
  <c r="Q454" i="1" s="1"/>
  <c r="J454" i="1"/>
  <c r="K454" i="1" s="1"/>
  <c r="N454" i="1"/>
  <c r="O454" i="1" s="1"/>
  <c r="L454" i="1"/>
  <c r="M454" i="1" s="1"/>
  <c r="V454" i="1"/>
  <c r="W454" i="1" s="1"/>
  <c r="T454" i="1"/>
  <c r="U454" i="1" s="1"/>
  <c r="H454" i="1"/>
  <c r="I454" i="1" s="1"/>
  <c r="G311" i="1"/>
  <c r="F314" i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I323" i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I322" i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I321" i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I310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I303" i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I301" i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I300" i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I299" i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I296" i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W281" i="1"/>
  <c r="U281" i="1"/>
  <c r="S281" i="1"/>
  <c r="Q281" i="1"/>
  <c r="O281" i="1"/>
  <c r="M281" i="1"/>
  <c r="J281" i="1"/>
  <c r="K281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L233" i="1"/>
  <c r="J233" i="1"/>
  <c r="H233" i="1"/>
  <c r="N233" i="1"/>
  <c r="T233" i="1"/>
  <c r="R233" i="1"/>
  <c r="P233" i="1"/>
  <c r="V233" i="1"/>
  <c r="L224" i="1"/>
  <c r="N223" i="1"/>
  <c r="O223" i="1" s="1"/>
  <c r="L223" i="1"/>
  <c r="M223" i="1" s="1"/>
  <c r="J223" i="1"/>
  <c r="K223" i="1" s="1"/>
  <c r="V212" i="1"/>
  <c r="W212" i="1" s="1"/>
  <c r="T212" i="1"/>
  <c r="U212" i="1" s="1"/>
  <c r="V211" i="1"/>
  <c r="W211" i="1" s="1"/>
  <c r="T211" i="1"/>
  <c r="U211" i="1" s="1"/>
  <c r="O221" i="1"/>
  <c r="M221" i="1"/>
  <c r="K221" i="1"/>
  <c r="O220" i="1"/>
  <c r="M220" i="1"/>
  <c r="K220" i="1"/>
  <c r="O219" i="1"/>
  <c r="M219" i="1"/>
  <c r="K219" i="1"/>
  <c r="O218" i="1"/>
  <c r="M218" i="1"/>
  <c r="K218" i="1"/>
  <c r="O217" i="1"/>
  <c r="M217" i="1"/>
  <c r="K217" i="1"/>
  <c r="W216" i="1"/>
  <c r="U216" i="1"/>
  <c r="S216" i="1"/>
  <c r="Q216" i="1"/>
  <c r="O216" i="1"/>
  <c r="M216" i="1"/>
  <c r="K216" i="1"/>
  <c r="V210" i="1"/>
  <c r="W210" i="1" s="1"/>
  <c r="T210" i="1"/>
  <c r="U210" i="1" s="1"/>
  <c r="R210" i="1"/>
  <c r="S210" i="1" s="1"/>
  <c r="P210" i="1"/>
  <c r="Q210" i="1" s="1"/>
  <c r="N210" i="1"/>
  <c r="O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V190" i="1"/>
  <c r="T190" i="1"/>
  <c r="R190" i="1"/>
  <c r="P190" i="1"/>
  <c r="N190" i="1"/>
  <c r="L190" i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5" i="1"/>
  <c r="T185" i="1"/>
  <c r="R185" i="1"/>
  <c r="P185" i="1"/>
  <c r="N185" i="1"/>
  <c r="L185" i="1"/>
  <c r="V183" i="1"/>
  <c r="W183" i="1" s="1"/>
  <c r="T183" i="1"/>
  <c r="U183" i="1" s="1"/>
  <c r="R183" i="1"/>
  <c r="S183" i="1" s="1"/>
  <c r="P183" i="1"/>
  <c r="Q183" i="1" s="1"/>
  <c r="N183" i="1"/>
  <c r="O183" i="1" s="1"/>
  <c r="V182" i="1"/>
  <c r="W182" i="1" s="1"/>
  <c r="T182" i="1"/>
  <c r="U182" i="1" s="1"/>
  <c r="R182" i="1"/>
  <c r="S182" i="1" s="1"/>
  <c r="P182" i="1"/>
  <c r="Q182" i="1" s="1"/>
  <c r="N182" i="1"/>
  <c r="O182" i="1" s="1"/>
  <c r="V181" i="1"/>
  <c r="W181" i="1" s="1"/>
  <c r="T181" i="1"/>
  <c r="U181" i="1" s="1"/>
  <c r="R181" i="1"/>
  <c r="S181" i="1" s="1"/>
  <c r="P181" i="1"/>
  <c r="Q181" i="1" s="1"/>
  <c r="N181" i="1"/>
  <c r="O181" i="1" s="1"/>
  <c r="V180" i="1"/>
  <c r="T180" i="1"/>
  <c r="R180" i="1"/>
  <c r="P180" i="1"/>
  <c r="N180" i="1"/>
  <c r="N153" i="1"/>
  <c r="O153" i="1" s="1"/>
  <c r="P153" i="1"/>
  <c r="Q153" i="1" s="1"/>
  <c r="R153" i="1"/>
  <c r="S153" i="1" s="1"/>
  <c r="T153" i="1"/>
  <c r="U153" i="1" s="1"/>
  <c r="V153" i="1"/>
  <c r="W153" i="1" s="1"/>
  <c r="L153" i="1"/>
  <c r="M153" i="1" s="1"/>
  <c r="G314" i="1" l="1"/>
  <c r="H314" i="1"/>
  <c r="I314" i="1" s="1"/>
  <c r="R314" i="1"/>
  <c r="S314" i="1" s="1"/>
  <c r="T311" i="1"/>
  <c r="U311" i="1" s="1"/>
  <c r="V311" i="1"/>
  <c r="W311" i="1" s="1"/>
  <c r="I311" i="1"/>
  <c r="J311" i="1"/>
  <c r="K311" i="1" s="1"/>
  <c r="L311" i="1"/>
  <c r="M311" i="1" s="1"/>
  <c r="N311" i="1"/>
  <c r="O311" i="1" s="1"/>
  <c r="P311" i="1"/>
  <c r="Q311" i="1" s="1"/>
  <c r="R311" i="1"/>
  <c r="S311" i="1" s="1"/>
  <c r="T314" i="1"/>
  <c r="U314" i="1" s="1"/>
  <c r="V314" i="1"/>
  <c r="W314" i="1" s="1"/>
  <c r="L314" i="1"/>
  <c r="M314" i="1" s="1"/>
  <c r="J314" i="1"/>
  <c r="K314" i="1" s="1"/>
  <c r="N314" i="1"/>
  <c r="O314" i="1" s="1"/>
  <c r="P314" i="1"/>
  <c r="Q314" i="1" s="1"/>
  <c r="T258" i="1" l="1"/>
  <c r="U258" i="1" s="1"/>
  <c r="R258" i="1"/>
  <c r="S258" i="1" s="1"/>
  <c r="H258" i="1"/>
  <c r="I258" i="1" s="1"/>
  <c r="P258" i="1"/>
  <c r="Q258" i="1" s="1"/>
  <c r="N258" i="1"/>
  <c r="O258" i="1" s="1"/>
  <c r="L258" i="1"/>
  <c r="M258" i="1" s="1"/>
  <c r="J258" i="1"/>
  <c r="K258" i="1" s="1"/>
  <c r="V258" i="1"/>
  <c r="W258" i="1" s="1"/>
  <c r="H247" i="1"/>
  <c r="I247" i="1" s="1"/>
  <c r="V247" i="1"/>
  <c r="W247" i="1" s="1"/>
  <c r="J247" i="1"/>
  <c r="K247" i="1" s="1"/>
  <c r="T247" i="1"/>
  <c r="U247" i="1" s="1"/>
  <c r="R247" i="1"/>
  <c r="S247" i="1" s="1"/>
  <c r="P247" i="1"/>
  <c r="Q247" i="1" s="1"/>
  <c r="N247" i="1"/>
  <c r="O247" i="1" s="1"/>
  <c r="L247" i="1"/>
  <c r="M247" i="1" s="1"/>
  <c r="T413" i="1"/>
  <c r="U413" i="1" s="1"/>
  <c r="F482" i="1"/>
  <c r="F152" i="1"/>
  <c r="P482" i="1" l="1"/>
  <c r="Q482" i="1" s="1"/>
  <c r="V482" i="1"/>
  <c r="W482" i="1" s="1"/>
  <c r="T482" i="1"/>
  <c r="U482" i="1" s="1"/>
  <c r="R482" i="1"/>
  <c r="S482" i="1" s="1"/>
  <c r="N482" i="1"/>
  <c r="O482" i="1" s="1"/>
  <c r="L482" i="1"/>
  <c r="M482" i="1" s="1"/>
  <c r="J482" i="1"/>
  <c r="K482" i="1" s="1"/>
  <c r="H482" i="1"/>
  <c r="I482" i="1" s="1"/>
  <c r="J573" i="1"/>
  <c r="K573" i="1" s="1"/>
  <c r="H573" i="1"/>
  <c r="I573" i="1" s="1"/>
  <c r="T573" i="1"/>
  <c r="U573" i="1" s="1"/>
  <c r="R573" i="1"/>
  <c r="S573" i="1" s="1"/>
  <c r="P573" i="1"/>
  <c r="Q573" i="1" s="1"/>
  <c r="N573" i="1"/>
  <c r="O573" i="1" s="1"/>
  <c r="L573" i="1"/>
  <c r="M573" i="1" s="1"/>
  <c r="V573" i="1"/>
  <c r="W573" i="1" s="1"/>
  <c r="V152" i="1"/>
  <c r="W152" i="1" s="1"/>
  <c r="T152" i="1"/>
  <c r="U152" i="1" s="1"/>
  <c r="R152" i="1"/>
  <c r="S152" i="1" s="1"/>
  <c r="P152" i="1"/>
  <c r="Q152" i="1" s="1"/>
  <c r="N152" i="1"/>
  <c r="O152" i="1" s="1"/>
  <c r="L152" i="1"/>
  <c r="M152" i="1" s="1"/>
  <c r="L205" i="1"/>
  <c r="M205" i="1" s="1"/>
  <c r="J205" i="1"/>
  <c r="K205" i="1" s="1"/>
  <c r="N205" i="1"/>
  <c r="O205" i="1" s="1"/>
  <c r="V205" i="1"/>
  <c r="W205" i="1" s="1"/>
  <c r="T205" i="1"/>
  <c r="U205" i="1" s="1"/>
  <c r="R205" i="1"/>
  <c r="S205" i="1" s="1"/>
  <c r="P205" i="1"/>
  <c r="Q205" i="1" s="1"/>
  <c r="V229" i="1"/>
  <c r="W229" i="1" s="1"/>
  <c r="T229" i="1"/>
  <c r="U229" i="1" s="1"/>
  <c r="R229" i="1"/>
  <c r="S229" i="1" s="1"/>
  <c r="P229" i="1"/>
  <c r="Q229" i="1" s="1"/>
  <c r="N229" i="1"/>
  <c r="O229" i="1" s="1"/>
  <c r="J229" i="1"/>
  <c r="K229" i="1" s="1"/>
  <c r="L229" i="1"/>
  <c r="M229" i="1" s="1"/>
  <c r="T254" i="1"/>
  <c r="U254" i="1" s="1"/>
  <c r="R254" i="1"/>
  <c r="S254" i="1" s="1"/>
  <c r="P254" i="1"/>
  <c r="Q254" i="1" s="1"/>
  <c r="V254" i="1"/>
  <c r="W254" i="1" s="1"/>
  <c r="N254" i="1"/>
  <c r="O254" i="1" s="1"/>
  <c r="L254" i="1"/>
  <c r="M254" i="1" s="1"/>
  <c r="J254" i="1"/>
  <c r="K254" i="1" s="1"/>
  <c r="H254" i="1"/>
  <c r="I254" i="1" s="1"/>
  <c r="J413" i="1"/>
  <c r="K413" i="1" s="1"/>
  <c r="P413" i="1"/>
  <c r="Q413" i="1" s="1"/>
  <c r="V413" i="1"/>
  <c r="W413" i="1" s="1"/>
  <c r="L413" i="1"/>
  <c r="M413" i="1" s="1"/>
  <c r="N413" i="1"/>
  <c r="O413" i="1" s="1"/>
  <c r="R413" i="1"/>
  <c r="S413" i="1" s="1"/>
  <c r="G413" i="1"/>
  <c r="I413" i="1"/>
  <c r="F505" i="1" l="1"/>
  <c r="F504" i="1"/>
  <c r="N504" i="1" l="1"/>
  <c r="J504" i="1"/>
  <c r="H504" i="1"/>
  <c r="P504" i="1"/>
  <c r="R504" i="1"/>
  <c r="T504" i="1"/>
  <c r="V504" i="1"/>
  <c r="L504" i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I356" i="1"/>
  <c r="J356" i="1"/>
  <c r="K356" i="1" s="1"/>
  <c r="L356" i="1"/>
  <c r="M356" i="1" s="1"/>
  <c r="N356" i="1"/>
  <c r="O356" i="1" s="1"/>
  <c r="V451" i="1"/>
  <c r="W451" i="1" s="1"/>
  <c r="T451" i="1"/>
  <c r="U451" i="1" s="1"/>
  <c r="R451" i="1"/>
  <c r="S451" i="1" s="1"/>
  <c r="P451" i="1"/>
  <c r="Q451" i="1" s="1"/>
  <c r="N451" i="1"/>
  <c r="O451" i="1" s="1"/>
  <c r="L451" i="1"/>
  <c r="M451" i="1" s="1"/>
  <c r="J451" i="1"/>
  <c r="K451" i="1" s="1"/>
  <c r="L448" i="1"/>
  <c r="T447" i="1"/>
  <c r="U447" i="1" s="1"/>
  <c r="R447" i="1"/>
  <c r="S447" i="1" s="1"/>
  <c r="P447" i="1"/>
  <c r="Q447" i="1" s="1"/>
  <c r="N447" i="1"/>
  <c r="O447" i="1" s="1"/>
  <c r="L447" i="1"/>
  <c r="M447" i="1" s="1"/>
  <c r="T446" i="1"/>
  <c r="U446" i="1" s="1"/>
  <c r="R446" i="1"/>
  <c r="S446" i="1" s="1"/>
  <c r="P446" i="1"/>
  <c r="Q446" i="1" s="1"/>
  <c r="N446" i="1"/>
  <c r="O446" i="1" s="1"/>
  <c r="L446" i="1"/>
  <c r="M446" i="1" s="1"/>
  <c r="T445" i="1"/>
  <c r="U445" i="1" s="1"/>
  <c r="R445" i="1"/>
  <c r="S445" i="1" s="1"/>
  <c r="P445" i="1"/>
  <c r="Q445" i="1" s="1"/>
  <c r="N445" i="1"/>
  <c r="O445" i="1" s="1"/>
  <c r="L445" i="1"/>
  <c r="M445" i="1" s="1"/>
  <c r="T444" i="1"/>
  <c r="R444" i="1"/>
  <c r="P444" i="1"/>
  <c r="N444" i="1"/>
  <c r="L444" i="1"/>
  <c r="L409" i="1"/>
  <c r="M409" i="1" s="1"/>
  <c r="N409" i="1"/>
  <c r="O409" i="1" s="1"/>
  <c r="P409" i="1"/>
  <c r="Q409" i="1" s="1"/>
  <c r="R409" i="1"/>
  <c r="S409" i="1" s="1"/>
  <c r="T409" i="1"/>
  <c r="U409" i="1" s="1"/>
  <c r="V409" i="1"/>
  <c r="W409" i="1" s="1"/>
  <c r="V379" i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J327" i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G570" i="1" l="1"/>
  <c r="F554" i="1"/>
  <c r="L552" i="1" l="1"/>
  <c r="M552" i="1" s="1"/>
  <c r="V552" i="1"/>
  <c r="W552" i="1" s="1"/>
  <c r="T552" i="1"/>
  <c r="U552" i="1" s="1"/>
  <c r="R552" i="1"/>
  <c r="S552" i="1" s="1"/>
  <c r="P552" i="1"/>
  <c r="Q552" i="1" s="1"/>
  <c r="N552" i="1"/>
  <c r="O552" i="1" s="1"/>
  <c r="P553" i="1"/>
  <c r="Q553" i="1" s="1"/>
  <c r="N553" i="1"/>
  <c r="O553" i="1" s="1"/>
  <c r="L553" i="1"/>
  <c r="M553" i="1" s="1"/>
  <c r="V553" i="1"/>
  <c r="W553" i="1" s="1"/>
  <c r="T553" i="1"/>
  <c r="U553" i="1" s="1"/>
  <c r="R553" i="1"/>
  <c r="S553" i="1" s="1"/>
  <c r="T554" i="1"/>
  <c r="U554" i="1" s="1"/>
  <c r="R554" i="1"/>
  <c r="S554" i="1" s="1"/>
  <c r="P554" i="1"/>
  <c r="Q554" i="1" s="1"/>
  <c r="N554" i="1"/>
  <c r="O554" i="1" s="1"/>
  <c r="V554" i="1"/>
  <c r="W554" i="1" s="1"/>
  <c r="L554" i="1"/>
  <c r="M554" i="1" s="1"/>
  <c r="G554" i="1"/>
  <c r="G553" i="1"/>
  <c r="G552" i="1"/>
  <c r="W471" i="1"/>
  <c r="U471" i="1"/>
  <c r="S471" i="1"/>
  <c r="Q471" i="1"/>
  <c r="O471" i="1"/>
  <c r="W470" i="1"/>
  <c r="U470" i="1"/>
  <c r="S470" i="1"/>
  <c r="Q470" i="1"/>
  <c r="O470" i="1"/>
  <c r="W465" i="1"/>
  <c r="U465" i="1"/>
  <c r="S465" i="1"/>
  <c r="Q465" i="1"/>
  <c r="O465" i="1"/>
  <c r="W464" i="1"/>
  <c r="U464" i="1"/>
  <c r="S464" i="1"/>
  <c r="Q464" i="1"/>
  <c r="O464" i="1"/>
  <c r="F575" i="1"/>
  <c r="R575" i="1" l="1"/>
  <c r="S575" i="1" s="1"/>
  <c r="T575" i="1"/>
  <c r="U575" i="1" s="1"/>
  <c r="V575" i="1"/>
  <c r="W575" i="1" s="1"/>
  <c r="H575" i="1"/>
  <c r="I575" i="1" s="1"/>
  <c r="J575" i="1"/>
  <c r="K575" i="1" s="1"/>
  <c r="L575" i="1"/>
  <c r="M575" i="1" s="1"/>
  <c r="N575" i="1"/>
  <c r="O575" i="1" s="1"/>
  <c r="P575" i="1"/>
  <c r="Q575" i="1" s="1"/>
  <c r="H483" i="1"/>
  <c r="I483" i="1" s="1"/>
  <c r="V483" i="1"/>
  <c r="W483" i="1" s="1"/>
  <c r="T483" i="1"/>
  <c r="U483" i="1" s="1"/>
  <c r="P483" i="1"/>
  <c r="Q483" i="1" s="1"/>
  <c r="N483" i="1"/>
  <c r="O483" i="1" s="1"/>
  <c r="L483" i="1"/>
  <c r="M483" i="1" s="1"/>
  <c r="R483" i="1"/>
  <c r="S483" i="1" s="1"/>
  <c r="J483" i="1"/>
  <c r="K483" i="1" s="1"/>
  <c r="G575" i="1"/>
  <c r="F654" i="1" l="1"/>
  <c r="F670" i="1"/>
  <c r="V654" i="1" l="1"/>
  <c r="T654" i="1"/>
  <c r="R654" i="1"/>
  <c r="P654" i="1"/>
  <c r="N654" i="1"/>
  <c r="L654" i="1"/>
  <c r="J654" i="1"/>
  <c r="H654" i="1"/>
  <c r="R670" i="1"/>
  <c r="P670" i="1"/>
  <c r="N670" i="1"/>
  <c r="L670" i="1"/>
  <c r="J670" i="1"/>
  <c r="H670" i="1"/>
  <c r="I670" i="1" s="1"/>
  <c r="V670" i="1"/>
  <c r="T670" i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H422" i="1"/>
  <c r="F395" i="1"/>
  <c r="F248" i="1"/>
  <c r="F274" i="1"/>
  <c r="F456" i="1"/>
  <c r="F672" i="1"/>
  <c r="F648" i="1"/>
  <c r="V127" i="1"/>
  <c r="W127" i="1" s="1"/>
  <c r="G153" i="1"/>
  <c r="J648" i="1" l="1"/>
  <c r="K648" i="1" s="1"/>
  <c r="N648" i="1"/>
  <c r="O648" i="1" s="1"/>
  <c r="L648" i="1"/>
  <c r="M648" i="1" s="1"/>
  <c r="V672" i="1"/>
  <c r="W672" i="1" s="1"/>
  <c r="T672" i="1"/>
  <c r="U672" i="1" s="1"/>
  <c r="H672" i="1"/>
  <c r="I672" i="1" s="1"/>
  <c r="R672" i="1"/>
  <c r="S672" i="1" s="1"/>
  <c r="P672" i="1"/>
  <c r="Q672" i="1" s="1"/>
  <c r="N672" i="1"/>
  <c r="O672" i="1" s="1"/>
  <c r="L672" i="1"/>
  <c r="M672" i="1" s="1"/>
  <c r="J672" i="1"/>
  <c r="K672" i="1" s="1"/>
  <c r="V648" i="1"/>
  <c r="W648" i="1" s="1"/>
  <c r="R648" i="1"/>
  <c r="S648" i="1" s="1"/>
  <c r="T648" i="1"/>
  <c r="P648" i="1"/>
  <c r="Q648" i="1" s="1"/>
  <c r="R456" i="1"/>
  <c r="S456" i="1" s="1"/>
  <c r="J456" i="1"/>
  <c r="K456" i="1" s="1"/>
  <c r="P456" i="1"/>
  <c r="Q456" i="1" s="1"/>
  <c r="N456" i="1"/>
  <c r="O456" i="1" s="1"/>
  <c r="L456" i="1"/>
  <c r="M456" i="1" s="1"/>
  <c r="H456" i="1"/>
  <c r="I456" i="1" s="1"/>
  <c r="V456" i="1"/>
  <c r="W456" i="1" s="1"/>
  <c r="T456" i="1"/>
  <c r="U456" i="1" s="1"/>
  <c r="T208" i="1"/>
  <c r="U208" i="1" s="1"/>
  <c r="R208" i="1"/>
  <c r="S208" i="1" s="1"/>
  <c r="P208" i="1"/>
  <c r="Q208" i="1" s="1"/>
  <c r="N208" i="1"/>
  <c r="O208" i="1" s="1"/>
  <c r="V208" i="1"/>
  <c r="W208" i="1" s="1"/>
  <c r="L208" i="1"/>
  <c r="M208" i="1" s="1"/>
  <c r="J208" i="1"/>
  <c r="K208" i="1" s="1"/>
  <c r="H208" i="1"/>
  <c r="I208" i="1" s="1"/>
  <c r="N274" i="1"/>
  <c r="O274" i="1" s="1"/>
  <c r="L274" i="1"/>
  <c r="M274" i="1" s="1"/>
  <c r="J274" i="1"/>
  <c r="K274" i="1" s="1"/>
  <c r="H274" i="1"/>
  <c r="I274" i="1" s="1"/>
  <c r="V274" i="1"/>
  <c r="W274" i="1" s="1"/>
  <c r="T274" i="1"/>
  <c r="U274" i="1" s="1"/>
  <c r="P274" i="1"/>
  <c r="Q274" i="1" s="1"/>
  <c r="R274" i="1"/>
  <c r="S274" i="1" s="1"/>
  <c r="J248" i="1"/>
  <c r="K248" i="1" s="1"/>
  <c r="H248" i="1"/>
  <c r="I248" i="1" s="1"/>
  <c r="V248" i="1"/>
  <c r="W248" i="1" s="1"/>
  <c r="T248" i="1"/>
  <c r="U248" i="1" s="1"/>
  <c r="R248" i="1"/>
  <c r="S248" i="1" s="1"/>
  <c r="P248" i="1"/>
  <c r="Q248" i="1" s="1"/>
  <c r="L248" i="1"/>
  <c r="M248" i="1" s="1"/>
  <c r="N248" i="1"/>
  <c r="O248" i="1" s="1"/>
  <c r="P164" i="1"/>
  <c r="Q164" i="1" s="1"/>
  <c r="N164" i="1"/>
  <c r="O164" i="1" s="1"/>
  <c r="L164" i="1"/>
  <c r="M164" i="1" s="1"/>
  <c r="J164" i="1"/>
  <c r="K164" i="1" s="1"/>
  <c r="V164" i="1"/>
  <c r="W164" i="1" s="1"/>
  <c r="T164" i="1"/>
  <c r="U164" i="1" s="1"/>
  <c r="R164" i="1"/>
  <c r="S164" i="1" s="1"/>
  <c r="I164" i="1"/>
  <c r="V289" i="1"/>
  <c r="T289" i="1"/>
  <c r="R289" i="1"/>
  <c r="P289" i="1"/>
  <c r="N289" i="1"/>
  <c r="L289" i="1"/>
  <c r="J289" i="1"/>
  <c r="L395" i="1"/>
  <c r="M395" i="1" s="1"/>
  <c r="N395" i="1"/>
  <c r="O395" i="1" s="1"/>
  <c r="P395" i="1"/>
  <c r="Q395" i="1" s="1"/>
  <c r="R395" i="1"/>
  <c r="S395" i="1" s="1"/>
  <c r="T395" i="1"/>
  <c r="U395" i="1" s="1"/>
  <c r="V395" i="1"/>
  <c r="W395" i="1" s="1"/>
  <c r="L394" i="1"/>
  <c r="M394" i="1" s="1"/>
  <c r="N394" i="1"/>
  <c r="O394" i="1" s="1"/>
  <c r="P394" i="1"/>
  <c r="Q394" i="1" s="1"/>
  <c r="R394" i="1"/>
  <c r="S394" i="1" s="1"/>
  <c r="T394" i="1"/>
  <c r="U394" i="1" s="1"/>
  <c r="V394" i="1"/>
  <c r="W394" i="1" s="1"/>
  <c r="V422" i="1"/>
  <c r="W422" i="1" s="1"/>
  <c r="T422" i="1"/>
  <c r="U422" i="1" s="1"/>
  <c r="R422" i="1"/>
  <c r="S422" i="1" s="1"/>
  <c r="P422" i="1"/>
  <c r="Q422" i="1" s="1"/>
  <c r="N422" i="1"/>
  <c r="O422" i="1" s="1"/>
  <c r="L422" i="1"/>
  <c r="M422" i="1" s="1"/>
  <c r="J422" i="1"/>
  <c r="K422" i="1" s="1"/>
  <c r="I422" i="1"/>
  <c r="G394" i="1"/>
  <c r="G395" i="1"/>
  <c r="G248" i="1"/>
  <c r="U648" i="1"/>
  <c r="G672" i="1"/>
  <c r="G648" i="1"/>
  <c r="R127" i="1"/>
  <c r="S127" i="1" s="1"/>
  <c r="T127" i="1"/>
  <c r="U127" i="1" s="1"/>
  <c r="L127" i="1"/>
  <c r="M127" i="1" s="1"/>
  <c r="O127" i="1"/>
  <c r="Q127" i="1"/>
  <c r="G127" i="1"/>
  <c r="J127" i="1"/>
  <c r="K127" i="1" s="1"/>
  <c r="H420" i="1" l="1"/>
  <c r="I420" i="1" s="1"/>
  <c r="N420" i="1"/>
  <c r="L420" i="1"/>
  <c r="P420" i="1"/>
  <c r="Q420" i="1" s="1"/>
  <c r="R420" i="1"/>
  <c r="S420" i="1" s="1"/>
  <c r="T420" i="1"/>
  <c r="U420" i="1" s="1"/>
  <c r="J420" i="1"/>
  <c r="V420" i="1"/>
  <c r="W420" i="1" s="1"/>
  <c r="O420" i="1"/>
  <c r="M420" i="1"/>
  <c r="K420" i="1"/>
  <c r="P414" i="1"/>
  <c r="Q414" i="1" s="1"/>
  <c r="N414" i="1"/>
  <c r="O414" i="1" s="1"/>
  <c r="L414" i="1"/>
  <c r="M414" i="1" s="1"/>
  <c r="J414" i="1"/>
  <c r="K414" i="1" s="1"/>
  <c r="I414" i="1"/>
  <c r="T414" i="1"/>
  <c r="U414" i="1" s="1"/>
  <c r="V414" i="1"/>
  <c r="W414" i="1" s="1"/>
  <c r="R414" i="1"/>
  <c r="S414" i="1" s="1"/>
  <c r="F308" i="1"/>
  <c r="H308" i="1" s="1"/>
  <c r="R308" i="1" l="1"/>
  <c r="S308" i="1" s="1"/>
  <c r="P308" i="1"/>
  <c r="Q308" i="1" s="1"/>
  <c r="N308" i="1"/>
  <c r="O308" i="1" s="1"/>
  <c r="L308" i="1"/>
  <c r="M308" i="1" s="1"/>
  <c r="T308" i="1"/>
  <c r="U308" i="1" s="1"/>
  <c r="J308" i="1"/>
  <c r="K308" i="1" s="1"/>
  <c r="I308" i="1"/>
  <c r="V308" i="1"/>
  <c r="W308" i="1" s="1"/>
  <c r="G308" i="1"/>
  <c r="F264" i="1"/>
  <c r="U289" i="1"/>
  <c r="V264" i="1" l="1"/>
  <c r="W264" i="1" s="1"/>
  <c r="T264" i="1"/>
  <c r="U264" i="1" s="1"/>
  <c r="R264" i="1"/>
  <c r="S264" i="1" s="1"/>
  <c r="H264" i="1"/>
  <c r="I264" i="1" s="1"/>
  <c r="P264" i="1"/>
  <c r="Q264" i="1" s="1"/>
  <c r="N264" i="1"/>
  <c r="O264" i="1" s="1"/>
  <c r="L264" i="1"/>
  <c r="M264" i="1" s="1"/>
  <c r="J264" i="1"/>
  <c r="K264" i="1" s="1"/>
  <c r="G264" i="1"/>
  <c r="W289" i="1"/>
  <c r="M289" i="1"/>
  <c r="O289" i="1"/>
  <c r="Q289" i="1"/>
  <c r="S289" i="1"/>
  <c r="G289" i="1"/>
  <c r="I289" i="1"/>
  <c r="K289" i="1"/>
  <c r="V256" i="1" l="1"/>
  <c r="W256" i="1" s="1"/>
  <c r="H256" i="1"/>
  <c r="I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G256" i="1"/>
  <c r="F650" i="1"/>
  <c r="F607" i="1"/>
  <c r="H650" i="1" l="1"/>
  <c r="I650" i="1" s="1"/>
  <c r="J650" i="1"/>
  <c r="N650" i="1"/>
  <c r="O650" i="1" s="1"/>
  <c r="L650" i="1"/>
  <c r="M650" i="1" s="1"/>
  <c r="P650" i="1"/>
  <c r="R650" i="1"/>
  <c r="T650" i="1"/>
  <c r="U650" i="1" s="1"/>
  <c r="V650" i="1"/>
  <c r="W650" i="1" s="1"/>
  <c r="S650" i="1"/>
  <c r="K650" i="1"/>
  <c r="V607" i="1"/>
  <c r="W607" i="1" s="1"/>
  <c r="T607" i="1"/>
  <c r="U607" i="1" s="1"/>
  <c r="R607" i="1"/>
  <c r="S607" i="1" s="1"/>
  <c r="P607" i="1"/>
  <c r="Q607" i="1" s="1"/>
  <c r="N607" i="1"/>
  <c r="O607" i="1" s="1"/>
  <c r="L607" i="1"/>
  <c r="M607" i="1" s="1"/>
  <c r="J607" i="1"/>
  <c r="K607" i="1" s="1"/>
  <c r="H607" i="1"/>
  <c r="I607" i="1" s="1"/>
  <c r="Q650" i="1"/>
  <c r="G650" i="1"/>
  <c r="G607" i="1"/>
  <c r="F297" i="1" l="1"/>
  <c r="H297" i="1" s="1"/>
  <c r="V297" i="1" l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I297" i="1"/>
  <c r="I294" i="1" l="1"/>
  <c r="J294" i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K294" i="1"/>
  <c r="G294" i="1"/>
  <c r="F348" i="1"/>
  <c r="F347" i="1"/>
  <c r="G274" i="1"/>
  <c r="R347" i="1" l="1"/>
  <c r="S347" i="1" s="1"/>
  <c r="P347" i="1"/>
  <c r="Q347" i="1" s="1"/>
  <c r="N347" i="1"/>
  <c r="O347" i="1" s="1"/>
  <c r="L347" i="1"/>
  <c r="M347" i="1" s="1"/>
  <c r="V347" i="1"/>
  <c r="W347" i="1" s="1"/>
  <c r="T347" i="1"/>
  <c r="U347" i="1" s="1"/>
  <c r="V348" i="1"/>
  <c r="W348" i="1" s="1"/>
  <c r="T348" i="1"/>
  <c r="U348" i="1" s="1"/>
  <c r="R348" i="1"/>
  <c r="S348" i="1" s="1"/>
  <c r="P348" i="1"/>
  <c r="Q348" i="1" s="1"/>
  <c r="N348" i="1"/>
  <c r="O348" i="1" s="1"/>
  <c r="L348" i="1"/>
  <c r="M348" i="1" s="1"/>
  <c r="G348" i="1"/>
  <c r="F516" i="1"/>
  <c r="F515" i="1"/>
  <c r="F514" i="1"/>
  <c r="J514" i="1" l="1"/>
  <c r="K514" i="1" s="1"/>
  <c r="H514" i="1"/>
  <c r="L514" i="1"/>
  <c r="M514" i="1" s="1"/>
  <c r="V515" i="1"/>
  <c r="W515" i="1" s="1"/>
  <c r="H515" i="1"/>
  <c r="I515" i="1" s="1"/>
  <c r="T515" i="1"/>
  <c r="U515" i="1" s="1"/>
  <c r="R515" i="1"/>
  <c r="S515" i="1" s="1"/>
  <c r="N515" i="1"/>
  <c r="O515" i="1" s="1"/>
  <c r="L515" i="1"/>
  <c r="M515" i="1" s="1"/>
  <c r="J515" i="1"/>
  <c r="K515" i="1" s="1"/>
  <c r="P515" i="1"/>
  <c r="Q515" i="1" s="1"/>
  <c r="H516" i="1"/>
  <c r="L516" i="1"/>
  <c r="M516" i="1" s="1"/>
  <c r="J516" i="1"/>
  <c r="K516" i="1" s="1"/>
  <c r="J512" i="1"/>
  <c r="L512" i="1"/>
  <c r="N512" i="1"/>
  <c r="P512" i="1"/>
  <c r="H512" i="1"/>
  <c r="R512" i="1"/>
  <c r="T512" i="1"/>
  <c r="V512" i="1"/>
  <c r="L513" i="1"/>
  <c r="J513" i="1"/>
  <c r="H513" i="1"/>
  <c r="R363" i="1"/>
  <c r="S363" i="1" s="1"/>
  <c r="P363" i="1"/>
  <c r="Q363" i="1" s="1"/>
  <c r="N363" i="1"/>
  <c r="O363" i="1" s="1"/>
  <c r="L363" i="1"/>
  <c r="M363" i="1" s="1"/>
  <c r="T363" i="1"/>
  <c r="U363" i="1" s="1"/>
  <c r="V363" i="1"/>
  <c r="W363" i="1" s="1"/>
  <c r="G363" i="1"/>
  <c r="G685" i="1"/>
  <c r="G684" i="1"/>
  <c r="F306" i="1"/>
  <c r="H306" i="1" s="1"/>
  <c r="F315" i="1"/>
  <c r="H315" i="1" s="1"/>
  <c r="F649" i="1"/>
  <c r="F377" i="1"/>
  <c r="G496" i="1"/>
  <c r="H439" i="1"/>
  <c r="F368" i="1"/>
  <c r="F369" i="1"/>
  <c r="F372" i="1"/>
  <c r="V649" i="1" l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J649" i="1"/>
  <c r="K649" i="1" s="1"/>
  <c r="H649" i="1"/>
  <c r="I649" i="1" s="1"/>
  <c r="R372" i="1"/>
  <c r="S372" i="1" s="1"/>
  <c r="P372" i="1"/>
  <c r="Q372" i="1" s="1"/>
  <c r="T372" i="1"/>
  <c r="U372" i="1" s="1"/>
  <c r="V372" i="1"/>
  <c r="W372" i="1" s="1"/>
  <c r="P579" i="1"/>
  <c r="Q579" i="1" s="1"/>
  <c r="R579" i="1"/>
  <c r="S579" i="1" s="1"/>
  <c r="T579" i="1"/>
  <c r="U579" i="1" s="1"/>
  <c r="V579" i="1"/>
  <c r="W579" i="1" s="1"/>
  <c r="H579" i="1"/>
  <c r="I579" i="1" s="1"/>
  <c r="J579" i="1"/>
  <c r="K579" i="1" s="1"/>
  <c r="L579" i="1"/>
  <c r="M579" i="1" s="1"/>
  <c r="N579" i="1"/>
  <c r="O579" i="1" s="1"/>
  <c r="P290" i="1"/>
  <c r="Q290" i="1" s="1"/>
  <c r="N290" i="1"/>
  <c r="O290" i="1" s="1"/>
  <c r="L290" i="1"/>
  <c r="M290" i="1" s="1"/>
  <c r="R290" i="1"/>
  <c r="S290" i="1" s="1"/>
  <c r="J290" i="1"/>
  <c r="K290" i="1" s="1"/>
  <c r="I290" i="1"/>
  <c r="V290" i="1"/>
  <c r="W290" i="1" s="1"/>
  <c r="T290" i="1"/>
  <c r="U290" i="1" s="1"/>
  <c r="P306" i="1"/>
  <c r="Q306" i="1" s="1"/>
  <c r="N306" i="1"/>
  <c r="O306" i="1" s="1"/>
  <c r="L306" i="1"/>
  <c r="M306" i="1" s="1"/>
  <c r="J306" i="1"/>
  <c r="K306" i="1" s="1"/>
  <c r="I306" i="1"/>
  <c r="V306" i="1"/>
  <c r="W306" i="1" s="1"/>
  <c r="T306" i="1"/>
  <c r="U306" i="1" s="1"/>
  <c r="R306" i="1"/>
  <c r="S306" i="1" s="1"/>
  <c r="P251" i="1"/>
  <c r="Q251" i="1" s="1"/>
  <c r="N251" i="1"/>
  <c r="O251" i="1" s="1"/>
  <c r="L251" i="1"/>
  <c r="M251" i="1" s="1"/>
  <c r="J251" i="1"/>
  <c r="K251" i="1" s="1"/>
  <c r="H251" i="1"/>
  <c r="I251" i="1" s="1"/>
  <c r="R251" i="1"/>
  <c r="S251" i="1" s="1"/>
  <c r="V251" i="1"/>
  <c r="W251" i="1" s="1"/>
  <c r="T251" i="1"/>
  <c r="U251" i="1" s="1"/>
  <c r="V270" i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H270" i="1"/>
  <c r="I270" i="1" s="1"/>
  <c r="T315" i="1"/>
  <c r="U315" i="1" s="1"/>
  <c r="R315" i="1"/>
  <c r="S315" i="1" s="1"/>
  <c r="P315" i="1"/>
  <c r="Q315" i="1" s="1"/>
  <c r="N315" i="1"/>
  <c r="O315" i="1" s="1"/>
  <c r="L315" i="1"/>
  <c r="M315" i="1" s="1"/>
  <c r="J315" i="1"/>
  <c r="K315" i="1" s="1"/>
  <c r="I315" i="1"/>
  <c r="V315" i="1"/>
  <c r="W315" i="1" s="1"/>
  <c r="P206" i="1"/>
  <c r="Q206" i="1" s="1"/>
  <c r="N206" i="1"/>
  <c r="O206" i="1" s="1"/>
  <c r="L206" i="1"/>
  <c r="M206" i="1" s="1"/>
  <c r="J206" i="1"/>
  <c r="K206" i="1" s="1"/>
  <c r="R206" i="1"/>
  <c r="S206" i="1" s="1"/>
  <c r="V206" i="1"/>
  <c r="W206" i="1" s="1"/>
  <c r="T206" i="1"/>
  <c r="U206" i="1" s="1"/>
  <c r="L412" i="1"/>
  <c r="M412" i="1" s="1"/>
  <c r="N412" i="1"/>
  <c r="O412" i="1" s="1"/>
  <c r="P412" i="1"/>
  <c r="Q412" i="1" s="1"/>
  <c r="R412" i="1"/>
  <c r="S412" i="1" s="1"/>
  <c r="T412" i="1"/>
  <c r="U412" i="1" s="1"/>
  <c r="V412" i="1"/>
  <c r="W412" i="1" s="1"/>
  <c r="I428" i="1"/>
  <c r="L428" i="1"/>
  <c r="M428" i="1" s="1"/>
  <c r="V428" i="1"/>
  <c r="W428" i="1" s="1"/>
  <c r="T428" i="1"/>
  <c r="U428" i="1" s="1"/>
  <c r="R428" i="1"/>
  <c r="S428" i="1" s="1"/>
  <c r="P428" i="1"/>
  <c r="Q428" i="1" s="1"/>
  <c r="N428" i="1"/>
  <c r="O428" i="1" s="1"/>
  <c r="J428" i="1"/>
  <c r="K428" i="1" s="1"/>
  <c r="T374" i="1"/>
  <c r="U374" i="1" s="1"/>
  <c r="J374" i="1"/>
  <c r="R374" i="1"/>
  <c r="S374" i="1" s="1"/>
  <c r="P374" i="1"/>
  <c r="Q374" i="1" s="1"/>
  <c r="N374" i="1"/>
  <c r="O374" i="1" s="1"/>
  <c r="L374" i="1"/>
  <c r="M374" i="1" s="1"/>
  <c r="V374" i="1"/>
  <c r="W374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L408" i="1"/>
  <c r="M408" i="1" s="1"/>
  <c r="N408" i="1"/>
  <c r="O408" i="1" s="1"/>
  <c r="P408" i="1"/>
  <c r="Q408" i="1" s="1"/>
  <c r="R408" i="1"/>
  <c r="S408" i="1" s="1"/>
  <c r="V439" i="1"/>
  <c r="W439" i="1" s="1"/>
  <c r="T439" i="1"/>
  <c r="U439" i="1" s="1"/>
  <c r="R439" i="1"/>
  <c r="S439" i="1" s="1"/>
  <c r="P439" i="1"/>
  <c r="Q439" i="1" s="1"/>
  <c r="N439" i="1"/>
  <c r="O439" i="1" s="1"/>
  <c r="L439" i="1"/>
  <c r="M439" i="1" s="1"/>
  <c r="J439" i="1"/>
  <c r="K439" i="1" s="1"/>
  <c r="I439" i="1"/>
  <c r="L391" i="1"/>
  <c r="M391" i="1" s="1"/>
  <c r="N391" i="1"/>
  <c r="O391" i="1" s="1"/>
  <c r="P391" i="1"/>
  <c r="Q391" i="1" s="1"/>
  <c r="R391" i="1"/>
  <c r="S391" i="1" s="1"/>
  <c r="T391" i="1"/>
  <c r="U391" i="1" s="1"/>
  <c r="V391" i="1"/>
  <c r="W391" i="1" s="1"/>
  <c r="T381" i="1"/>
  <c r="U381" i="1" s="1"/>
  <c r="R381" i="1"/>
  <c r="S381" i="1" s="1"/>
  <c r="P381" i="1"/>
  <c r="Q381" i="1" s="1"/>
  <c r="N381" i="1"/>
  <c r="O381" i="1" s="1"/>
  <c r="L381" i="1"/>
  <c r="M381" i="1" s="1"/>
  <c r="V381" i="1"/>
  <c r="W381" i="1" s="1"/>
  <c r="L393" i="1"/>
  <c r="M393" i="1" s="1"/>
  <c r="N393" i="1"/>
  <c r="O393" i="1" s="1"/>
  <c r="P393" i="1"/>
  <c r="Q393" i="1" s="1"/>
  <c r="R393" i="1"/>
  <c r="S393" i="1" s="1"/>
  <c r="T393" i="1"/>
  <c r="U393" i="1" s="1"/>
  <c r="V393" i="1"/>
  <c r="W393" i="1" s="1"/>
  <c r="T378" i="1"/>
  <c r="U378" i="1" s="1"/>
  <c r="R378" i="1"/>
  <c r="S378" i="1" s="1"/>
  <c r="P378" i="1"/>
  <c r="Q378" i="1" s="1"/>
  <c r="N378" i="1"/>
  <c r="O378" i="1" s="1"/>
  <c r="L378" i="1"/>
  <c r="M378" i="1" s="1"/>
  <c r="V378" i="1"/>
  <c r="W378" i="1" s="1"/>
  <c r="N372" i="1"/>
  <c r="O372" i="1" s="1"/>
  <c r="L372" i="1"/>
  <c r="M372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N369" i="1"/>
  <c r="O369" i="1" s="1"/>
  <c r="L369" i="1"/>
  <c r="M369" i="1" s="1"/>
  <c r="V369" i="1"/>
  <c r="W369" i="1" s="1"/>
  <c r="T369" i="1"/>
  <c r="U369" i="1" s="1"/>
  <c r="R369" i="1"/>
  <c r="S369" i="1" s="1"/>
  <c r="P369" i="1"/>
  <c r="Q369" i="1" s="1"/>
  <c r="V368" i="1"/>
  <c r="W368" i="1" s="1"/>
  <c r="T368" i="1"/>
  <c r="U368" i="1" s="1"/>
  <c r="R368" i="1"/>
  <c r="S368" i="1" s="1"/>
  <c r="P368" i="1"/>
  <c r="Q368" i="1" s="1"/>
  <c r="N368" i="1"/>
  <c r="O368" i="1" s="1"/>
  <c r="G123" i="1" l="1"/>
  <c r="G428" i="1" l="1"/>
  <c r="F326" i="1"/>
  <c r="F677" i="1"/>
  <c r="F647" i="1"/>
  <c r="F600" i="1"/>
  <c r="F599" i="1"/>
  <c r="F598" i="1"/>
  <c r="F594" i="1"/>
  <c r="F591" i="1"/>
  <c r="F566" i="1"/>
  <c r="F517" i="1"/>
  <c r="N647" i="1" l="1"/>
  <c r="O647" i="1" s="1"/>
  <c r="L647" i="1"/>
  <c r="M647" i="1" s="1"/>
  <c r="J647" i="1"/>
  <c r="K647" i="1" s="1"/>
  <c r="T647" i="1"/>
  <c r="U647" i="1" s="1"/>
  <c r="R647" i="1"/>
  <c r="S647" i="1" s="1"/>
  <c r="H647" i="1"/>
  <c r="I647" i="1" s="1"/>
  <c r="P647" i="1"/>
  <c r="Q647" i="1" s="1"/>
  <c r="V647" i="1"/>
  <c r="W647" i="1" s="1"/>
  <c r="P677" i="1"/>
  <c r="Q677" i="1" s="1"/>
  <c r="N677" i="1"/>
  <c r="O677" i="1" s="1"/>
  <c r="L677" i="1"/>
  <c r="M677" i="1" s="1"/>
  <c r="R677" i="1"/>
  <c r="S677" i="1" s="1"/>
  <c r="V677" i="1"/>
  <c r="W677" i="1" s="1"/>
  <c r="T677" i="1"/>
  <c r="U677" i="1" s="1"/>
  <c r="N594" i="1"/>
  <c r="O594" i="1" s="1"/>
  <c r="P594" i="1"/>
  <c r="Q594" i="1" s="1"/>
  <c r="R594" i="1"/>
  <c r="S594" i="1" s="1"/>
  <c r="T594" i="1"/>
  <c r="U594" i="1" s="1"/>
  <c r="H594" i="1"/>
  <c r="I594" i="1" s="1"/>
  <c r="J594" i="1"/>
  <c r="K594" i="1" s="1"/>
  <c r="V594" i="1"/>
  <c r="W594" i="1" s="1"/>
  <c r="L594" i="1"/>
  <c r="M594" i="1" s="1"/>
  <c r="N599" i="1"/>
  <c r="O599" i="1" s="1"/>
  <c r="P599" i="1"/>
  <c r="Q599" i="1" s="1"/>
  <c r="R599" i="1"/>
  <c r="S599" i="1" s="1"/>
  <c r="T599" i="1"/>
  <c r="U599" i="1" s="1"/>
  <c r="H599" i="1"/>
  <c r="I599" i="1" s="1"/>
  <c r="J599" i="1"/>
  <c r="K599" i="1" s="1"/>
  <c r="L599" i="1"/>
  <c r="M599" i="1" s="1"/>
  <c r="V599" i="1"/>
  <c r="W599" i="1" s="1"/>
  <c r="J603" i="1"/>
  <c r="K603" i="1" s="1"/>
  <c r="H603" i="1"/>
  <c r="I603" i="1" s="1"/>
  <c r="V603" i="1"/>
  <c r="W603" i="1" s="1"/>
  <c r="T603" i="1"/>
  <c r="U603" i="1" s="1"/>
  <c r="R603" i="1"/>
  <c r="S603" i="1" s="1"/>
  <c r="L603" i="1"/>
  <c r="M603" i="1" s="1"/>
  <c r="P603" i="1"/>
  <c r="Q603" i="1" s="1"/>
  <c r="N603" i="1"/>
  <c r="O603" i="1" s="1"/>
  <c r="L521" i="1"/>
  <c r="M521" i="1" s="1"/>
  <c r="J521" i="1"/>
  <c r="K521" i="1" s="1"/>
  <c r="H521" i="1"/>
  <c r="N598" i="1"/>
  <c r="O598" i="1" s="1"/>
  <c r="P598" i="1"/>
  <c r="Q598" i="1" s="1"/>
  <c r="R598" i="1"/>
  <c r="S598" i="1" s="1"/>
  <c r="T598" i="1"/>
  <c r="U598" i="1" s="1"/>
  <c r="H598" i="1"/>
  <c r="I598" i="1" s="1"/>
  <c r="J598" i="1"/>
  <c r="K598" i="1" s="1"/>
  <c r="L598" i="1"/>
  <c r="M598" i="1" s="1"/>
  <c r="V598" i="1"/>
  <c r="W598" i="1" s="1"/>
  <c r="H524" i="1"/>
  <c r="J524" i="1"/>
  <c r="K524" i="1" s="1"/>
  <c r="L524" i="1"/>
  <c r="M524" i="1" s="1"/>
  <c r="J566" i="1"/>
  <c r="K566" i="1" s="1"/>
  <c r="V566" i="1"/>
  <c r="W566" i="1" s="1"/>
  <c r="H566" i="1"/>
  <c r="I566" i="1" s="1"/>
  <c r="T566" i="1"/>
  <c r="U566" i="1" s="1"/>
  <c r="P566" i="1"/>
  <c r="Q566" i="1" s="1"/>
  <c r="N566" i="1"/>
  <c r="O566" i="1" s="1"/>
  <c r="L566" i="1"/>
  <c r="M566" i="1" s="1"/>
  <c r="R566" i="1"/>
  <c r="S566" i="1" s="1"/>
  <c r="R600" i="1"/>
  <c r="S600" i="1" s="1"/>
  <c r="P600" i="1"/>
  <c r="Q600" i="1" s="1"/>
  <c r="N600" i="1"/>
  <c r="O600" i="1" s="1"/>
  <c r="L600" i="1"/>
  <c r="M600" i="1" s="1"/>
  <c r="J600" i="1"/>
  <c r="K600" i="1" s="1"/>
  <c r="H600" i="1"/>
  <c r="I600" i="1" s="1"/>
  <c r="V600" i="1"/>
  <c r="W600" i="1" s="1"/>
  <c r="T600" i="1"/>
  <c r="U600" i="1" s="1"/>
  <c r="L517" i="1"/>
  <c r="M517" i="1" s="1"/>
  <c r="H517" i="1"/>
  <c r="J517" i="1"/>
  <c r="K517" i="1" s="1"/>
  <c r="P520" i="1"/>
  <c r="Q520" i="1" s="1"/>
  <c r="H520" i="1"/>
  <c r="I520" i="1" s="1"/>
  <c r="N520" i="1"/>
  <c r="O520" i="1" s="1"/>
  <c r="L520" i="1"/>
  <c r="M520" i="1" s="1"/>
  <c r="J520" i="1"/>
  <c r="K520" i="1" s="1"/>
  <c r="V520" i="1"/>
  <c r="W520" i="1" s="1"/>
  <c r="T520" i="1"/>
  <c r="U520" i="1" s="1"/>
  <c r="R520" i="1"/>
  <c r="S520" i="1" s="1"/>
  <c r="H529" i="1"/>
  <c r="L529" i="1"/>
  <c r="M529" i="1" s="1"/>
  <c r="J529" i="1"/>
  <c r="K529" i="1" s="1"/>
  <c r="N591" i="1"/>
  <c r="O591" i="1" s="1"/>
  <c r="P591" i="1"/>
  <c r="Q591" i="1" s="1"/>
  <c r="R591" i="1"/>
  <c r="S591" i="1" s="1"/>
  <c r="T591" i="1"/>
  <c r="U591" i="1" s="1"/>
  <c r="H591" i="1"/>
  <c r="I591" i="1" s="1"/>
  <c r="J591" i="1"/>
  <c r="K591" i="1" s="1"/>
  <c r="L591" i="1"/>
  <c r="M591" i="1" s="1"/>
  <c r="V591" i="1"/>
  <c r="W591" i="1" s="1"/>
  <c r="V101" i="1"/>
  <c r="W101" i="1" s="1"/>
  <c r="T101" i="1"/>
  <c r="U101" i="1" s="1"/>
  <c r="R101" i="1"/>
  <c r="S101" i="1" s="1"/>
  <c r="P101" i="1"/>
  <c r="Q101" i="1" s="1"/>
  <c r="O101" i="1"/>
  <c r="L101" i="1"/>
  <c r="M101" i="1" s="1"/>
  <c r="I101" i="1"/>
  <c r="J101" i="1"/>
  <c r="K101" i="1" s="1"/>
  <c r="L407" i="1"/>
  <c r="M407" i="1" s="1"/>
  <c r="N407" i="1"/>
  <c r="O407" i="1" s="1"/>
  <c r="P407" i="1"/>
  <c r="Q407" i="1" s="1"/>
  <c r="R407" i="1"/>
  <c r="S407" i="1" s="1"/>
  <c r="T407" i="1"/>
  <c r="U407" i="1" s="1"/>
  <c r="V407" i="1"/>
  <c r="W407" i="1" s="1"/>
  <c r="N326" i="1"/>
  <c r="L326" i="1"/>
  <c r="V326" i="1"/>
  <c r="T326" i="1"/>
  <c r="P326" i="1"/>
  <c r="R326" i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V467" i="1"/>
  <c r="W467" i="1" s="1"/>
  <c r="F543" i="1"/>
  <c r="F542" i="1"/>
  <c r="F438" i="1"/>
  <c r="H438" i="1" s="1"/>
  <c r="F432" i="1"/>
  <c r="H432" i="1" s="1"/>
  <c r="F416" i="1"/>
  <c r="F410" i="1"/>
  <c r="F333" i="1"/>
  <c r="F332" i="1"/>
  <c r="F331" i="1"/>
  <c r="F336" i="1"/>
  <c r="F338" i="1"/>
  <c r="F340" i="1"/>
  <c r="F352" i="1"/>
  <c r="F335" i="1"/>
  <c r="F334" i="1"/>
  <c r="F342" i="1"/>
  <c r="F345" i="1"/>
  <c r="F346" i="1"/>
  <c r="F353" i="1"/>
  <c r="F386" i="1"/>
  <c r="F390" i="1"/>
  <c r="F402" i="1"/>
  <c r="F403" i="1"/>
  <c r="F355" i="1"/>
  <c r="H355" i="1" s="1"/>
  <c r="F358" i="1"/>
  <c r="F361" i="1"/>
  <c r="F364" i="1"/>
  <c r="F383" i="1"/>
  <c r="F382" i="1"/>
  <c r="F351" i="1"/>
  <c r="F349" i="1"/>
  <c r="F330" i="1"/>
  <c r="F324" i="1"/>
  <c r="H324" i="1" s="1"/>
  <c r="F213" i="1"/>
  <c r="J213" i="1" l="1"/>
  <c r="H213" i="1"/>
  <c r="N421" i="1"/>
  <c r="O421" i="1" s="1"/>
  <c r="L421" i="1"/>
  <c r="M421" i="1" s="1"/>
  <c r="J421" i="1"/>
  <c r="K421" i="1" s="1"/>
  <c r="V421" i="1"/>
  <c r="W421" i="1" s="1"/>
  <c r="H421" i="1"/>
  <c r="I421" i="1" s="1"/>
  <c r="T421" i="1"/>
  <c r="U421" i="1" s="1"/>
  <c r="R421" i="1"/>
  <c r="S421" i="1" s="1"/>
  <c r="P421" i="1"/>
  <c r="Q421" i="1" s="1"/>
  <c r="T542" i="1"/>
  <c r="U542" i="1" s="1"/>
  <c r="R542" i="1"/>
  <c r="S542" i="1" s="1"/>
  <c r="P542" i="1"/>
  <c r="Q542" i="1" s="1"/>
  <c r="H542" i="1"/>
  <c r="I542" i="1" s="1"/>
  <c r="N542" i="1"/>
  <c r="O542" i="1" s="1"/>
  <c r="L542" i="1"/>
  <c r="M542" i="1" s="1"/>
  <c r="V542" i="1"/>
  <c r="W542" i="1" s="1"/>
  <c r="J542" i="1"/>
  <c r="K542" i="1" s="1"/>
  <c r="H543" i="1"/>
  <c r="L543" i="1"/>
  <c r="M543" i="1" s="1"/>
  <c r="J543" i="1"/>
  <c r="K543" i="1" s="1"/>
  <c r="L386" i="1"/>
  <c r="M386" i="1" s="1"/>
  <c r="H386" i="1"/>
  <c r="I386" i="1" s="1"/>
  <c r="J386" i="1"/>
  <c r="K386" i="1" s="1"/>
  <c r="P213" i="1"/>
  <c r="Q213" i="1" s="1"/>
  <c r="N213" i="1"/>
  <c r="O213" i="1" s="1"/>
  <c r="L213" i="1"/>
  <c r="M213" i="1" s="1"/>
  <c r="R213" i="1"/>
  <c r="S213" i="1" s="1"/>
  <c r="K213" i="1"/>
  <c r="I213" i="1"/>
  <c r="V213" i="1"/>
  <c r="W213" i="1" s="1"/>
  <c r="T213" i="1"/>
  <c r="U213" i="1" s="1"/>
  <c r="L338" i="1"/>
  <c r="M338" i="1" s="1"/>
  <c r="V338" i="1"/>
  <c r="W338" i="1" s="1"/>
  <c r="T338" i="1"/>
  <c r="U338" i="1" s="1"/>
  <c r="R338" i="1"/>
  <c r="S338" i="1" s="1"/>
  <c r="N338" i="1"/>
  <c r="O338" i="1" s="1"/>
  <c r="P338" i="1"/>
  <c r="Q338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N324" i="1"/>
  <c r="O324" i="1" s="1"/>
  <c r="L324" i="1"/>
  <c r="M324" i="1" s="1"/>
  <c r="J324" i="1"/>
  <c r="K324" i="1" s="1"/>
  <c r="I324" i="1"/>
  <c r="V324" i="1"/>
  <c r="W324" i="1" s="1"/>
  <c r="T324" i="1"/>
  <c r="U324" i="1" s="1"/>
  <c r="R324" i="1"/>
  <c r="S324" i="1" s="1"/>
  <c r="P324" i="1"/>
  <c r="Q324" i="1" s="1"/>
  <c r="L330" i="1"/>
  <c r="M330" i="1" s="1"/>
  <c r="V330" i="1"/>
  <c r="W330" i="1" s="1"/>
  <c r="T330" i="1"/>
  <c r="U330" i="1" s="1"/>
  <c r="R330" i="1"/>
  <c r="S330" i="1" s="1"/>
  <c r="P330" i="1"/>
  <c r="Q330" i="1" s="1"/>
  <c r="N330" i="1"/>
  <c r="O330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N349" i="1"/>
  <c r="O349" i="1" s="1"/>
  <c r="L349" i="1"/>
  <c r="M349" i="1" s="1"/>
  <c r="V349" i="1"/>
  <c r="W349" i="1" s="1"/>
  <c r="T349" i="1"/>
  <c r="U349" i="1" s="1"/>
  <c r="R349" i="1"/>
  <c r="S349" i="1" s="1"/>
  <c r="P349" i="1"/>
  <c r="Q349" i="1" s="1"/>
  <c r="T331" i="1"/>
  <c r="U331" i="1" s="1"/>
  <c r="R331" i="1"/>
  <c r="S331" i="1" s="1"/>
  <c r="P331" i="1"/>
  <c r="Q331" i="1" s="1"/>
  <c r="N331" i="1"/>
  <c r="O331" i="1" s="1"/>
  <c r="L331" i="1"/>
  <c r="M331" i="1" s="1"/>
  <c r="V331" i="1"/>
  <c r="W331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V346" i="1"/>
  <c r="W346" i="1" s="1"/>
  <c r="T346" i="1"/>
  <c r="U346" i="1" s="1"/>
  <c r="R346" i="1"/>
  <c r="S346" i="1" s="1"/>
  <c r="P346" i="1"/>
  <c r="Q346" i="1" s="1"/>
  <c r="N346" i="1"/>
  <c r="O346" i="1" s="1"/>
  <c r="L346" i="1"/>
  <c r="M346" i="1" s="1"/>
  <c r="T383" i="1"/>
  <c r="U383" i="1" s="1"/>
  <c r="R383" i="1"/>
  <c r="S383" i="1" s="1"/>
  <c r="P383" i="1"/>
  <c r="Q383" i="1" s="1"/>
  <c r="N383" i="1"/>
  <c r="O383" i="1" s="1"/>
  <c r="L383" i="1"/>
  <c r="M383" i="1" s="1"/>
  <c r="V383" i="1"/>
  <c r="W383" i="1" s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T342" i="1"/>
  <c r="U342" i="1" s="1"/>
  <c r="R342" i="1"/>
  <c r="S342" i="1" s="1"/>
  <c r="P342" i="1"/>
  <c r="Q342" i="1" s="1"/>
  <c r="N342" i="1"/>
  <c r="O342" i="1" s="1"/>
  <c r="L342" i="1"/>
  <c r="M342" i="1" s="1"/>
  <c r="V342" i="1"/>
  <c r="W342" i="1" s="1"/>
  <c r="L410" i="1"/>
  <c r="M410" i="1" s="1"/>
  <c r="N410" i="1"/>
  <c r="O410" i="1" s="1"/>
  <c r="P410" i="1"/>
  <c r="Q410" i="1" s="1"/>
  <c r="R410" i="1"/>
  <c r="S410" i="1" s="1"/>
  <c r="T410" i="1"/>
  <c r="U410" i="1" s="1"/>
  <c r="V410" i="1"/>
  <c r="W410" i="1" s="1"/>
  <c r="L402" i="1"/>
  <c r="M402" i="1" s="1"/>
  <c r="N402" i="1"/>
  <c r="O402" i="1" s="1"/>
  <c r="P402" i="1"/>
  <c r="Q402" i="1" s="1"/>
  <c r="R402" i="1"/>
  <c r="S402" i="1" s="1"/>
  <c r="T402" i="1"/>
  <c r="U402" i="1" s="1"/>
  <c r="V402" i="1"/>
  <c r="W402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V416" i="1"/>
  <c r="W416" i="1" s="1"/>
  <c r="T416" i="1"/>
  <c r="U416" i="1" s="1"/>
  <c r="R416" i="1"/>
  <c r="S416" i="1" s="1"/>
  <c r="P416" i="1"/>
  <c r="Q416" i="1" s="1"/>
  <c r="N416" i="1"/>
  <c r="O416" i="1" s="1"/>
  <c r="L416" i="1"/>
  <c r="M416" i="1" s="1"/>
  <c r="J416" i="1"/>
  <c r="K416" i="1" s="1"/>
  <c r="H416" i="1"/>
  <c r="I416" i="1" s="1"/>
  <c r="N429" i="1"/>
  <c r="O429" i="1" s="1"/>
  <c r="L429" i="1"/>
  <c r="M429" i="1" s="1"/>
  <c r="J429" i="1"/>
  <c r="K429" i="1" s="1"/>
  <c r="P429" i="1"/>
  <c r="Q429" i="1" s="1"/>
  <c r="I429" i="1"/>
  <c r="V429" i="1"/>
  <c r="W429" i="1" s="1"/>
  <c r="T429" i="1"/>
  <c r="U429" i="1" s="1"/>
  <c r="R429" i="1"/>
  <c r="S429" i="1" s="1"/>
  <c r="N438" i="1"/>
  <c r="R438" i="1"/>
  <c r="L438" i="1"/>
  <c r="J438" i="1"/>
  <c r="V438" i="1"/>
  <c r="T438" i="1"/>
  <c r="P438" i="1"/>
  <c r="R333" i="1"/>
  <c r="S333" i="1" s="1"/>
  <c r="P333" i="1"/>
  <c r="Q333" i="1" s="1"/>
  <c r="N333" i="1"/>
  <c r="O333" i="1" s="1"/>
  <c r="L333" i="1"/>
  <c r="M333" i="1" s="1"/>
  <c r="V333" i="1"/>
  <c r="W333" i="1" s="1"/>
  <c r="T333" i="1"/>
  <c r="U333" i="1" s="1"/>
  <c r="T345" i="1"/>
  <c r="U345" i="1" s="1"/>
  <c r="R345" i="1"/>
  <c r="S345" i="1" s="1"/>
  <c r="P345" i="1"/>
  <c r="Q345" i="1" s="1"/>
  <c r="N345" i="1"/>
  <c r="O345" i="1" s="1"/>
  <c r="L345" i="1"/>
  <c r="M345" i="1" s="1"/>
  <c r="V345" i="1"/>
  <c r="W345" i="1" s="1"/>
  <c r="L406" i="1"/>
  <c r="M406" i="1" s="1"/>
  <c r="N406" i="1"/>
  <c r="O406" i="1" s="1"/>
  <c r="P406" i="1"/>
  <c r="Q406" i="1" s="1"/>
  <c r="R406" i="1"/>
  <c r="S406" i="1" s="1"/>
  <c r="T406" i="1"/>
  <c r="U406" i="1" s="1"/>
  <c r="V406" i="1"/>
  <c r="W406" i="1" s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L361" i="1"/>
  <c r="M361" i="1" s="1"/>
  <c r="V361" i="1"/>
  <c r="W361" i="1" s="1"/>
  <c r="T361" i="1"/>
  <c r="U361" i="1" s="1"/>
  <c r="R361" i="1"/>
  <c r="S361" i="1" s="1"/>
  <c r="P361" i="1"/>
  <c r="Q361" i="1" s="1"/>
  <c r="N361" i="1"/>
  <c r="O361" i="1" s="1"/>
  <c r="L335" i="1"/>
  <c r="M335" i="1" s="1"/>
  <c r="V335" i="1"/>
  <c r="W335" i="1" s="1"/>
  <c r="T335" i="1"/>
  <c r="U335" i="1" s="1"/>
  <c r="R335" i="1"/>
  <c r="S335" i="1" s="1"/>
  <c r="P335" i="1"/>
  <c r="Q335" i="1" s="1"/>
  <c r="N335" i="1"/>
  <c r="O335" i="1" s="1"/>
  <c r="I432" i="1"/>
  <c r="V432" i="1"/>
  <c r="W432" i="1" s="1"/>
  <c r="T432" i="1"/>
  <c r="U432" i="1" s="1"/>
  <c r="R432" i="1"/>
  <c r="S432" i="1" s="1"/>
  <c r="P432" i="1"/>
  <c r="Q432" i="1" s="1"/>
  <c r="N432" i="1"/>
  <c r="O432" i="1" s="1"/>
  <c r="L432" i="1"/>
  <c r="M432" i="1" s="1"/>
  <c r="J432" i="1"/>
  <c r="K432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J355" i="1"/>
  <c r="K355" i="1" s="1"/>
  <c r="I355" i="1"/>
  <c r="L403" i="1"/>
  <c r="M403" i="1" s="1"/>
  <c r="N403" i="1"/>
  <c r="O403" i="1" s="1"/>
  <c r="P403" i="1"/>
  <c r="Q403" i="1" s="1"/>
  <c r="R403" i="1"/>
  <c r="S403" i="1" s="1"/>
  <c r="T403" i="1"/>
  <c r="U403" i="1" s="1"/>
  <c r="V403" i="1"/>
  <c r="W403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V390" i="1"/>
  <c r="W390" i="1" s="1"/>
  <c r="T390" i="1"/>
  <c r="U390" i="1" s="1"/>
  <c r="R390" i="1"/>
  <c r="S390" i="1" s="1"/>
  <c r="P390" i="1"/>
  <c r="Q390" i="1" s="1"/>
  <c r="N390" i="1"/>
  <c r="O390" i="1" s="1"/>
  <c r="L390" i="1"/>
  <c r="M390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N358" i="1"/>
  <c r="O358" i="1" s="1"/>
  <c r="L358" i="1"/>
  <c r="M358" i="1" s="1"/>
  <c r="V358" i="1"/>
  <c r="W358" i="1" s="1"/>
  <c r="T358" i="1"/>
  <c r="U358" i="1" s="1"/>
  <c r="P358" i="1"/>
  <c r="Q358" i="1" s="1"/>
  <c r="R358" i="1"/>
  <c r="S358" i="1" s="1"/>
  <c r="T352" i="1"/>
  <c r="U352" i="1" s="1"/>
  <c r="R352" i="1"/>
  <c r="S352" i="1" s="1"/>
  <c r="P352" i="1"/>
  <c r="Q352" i="1" s="1"/>
  <c r="N352" i="1"/>
  <c r="O352" i="1" s="1"/>
  <c r="L352" i="1"/>
  <c r="M352" i="1" s="1"/>
  <c r="V352" i="1"/>
  <c r="W352" i="1" s="1"/>
  <c r="F298" i="1"/>
  <c r="H298" i="1" s="1"/>
  <c r="I298" i="1" l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F249" i="1"/>
  <c r="F242" i="1"/>
  <c r="G291" i="1"/>
  <c r="V58" i="1"/>
  <c r="T58" i="1"/>
  <c r="P58" i="1"/>
  <c r="R58" i="1"/>
  <c r="N58" i="1"/>
  <c r="L58" i="1"/>
  <c r="J58" i="1"/>
  <c r="R253" i="1" l="1"/>
  <c r="S253" i="1" s="1"/>
  <c r="P253" i="1"/>
  <c r="Q253" i="1" s="1"/>
  <c r="N253" i="1"/>
  <c r="O253" i="1" s="1"/>
  <c r="L253" i="1"/>
  <c r="M253" i="1" s="1"/>
  <c r="J253" i="1"/>
  <c r="K253" i="1" s="1"/>
  <c r="H253" i="1"/>
  <c r="I253" i="1" s="1"/>
  <c r="T253" i="1"/>
  <c r="U253" i="1" s="1"/>
  <c r="V253" i="1"/>
  <c r="W253" i="1" s="1"/>
  <c r="L249" i="1"/>
  <c r="M249" i="1" s="1"/>
  <c r="J249" i="1"/>
  <c r="K249" i="1" s="1"/>
  <c r="V249" i="1"/>
  <c r="W249" i="1" s="1"/>
  <c r="H249" i="1"/>
  <c r="I249" i="1" s="1"/>
  <c r="N249" i="1"/>
  <c r="O249" i="1" s="1"/>
  <c r="T249" i="1"/>
  <c r="U249" i="1" s="1"/>
  <c r="R249" i="1"/>
  <c r="S249" i="1" s="1"/>
  <c r="P249" i="1"/>
  <c r="Q249" i="1" s="1"/>
  <c r="H260" i="1"/>
  <c r="I260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42" i="1"/>
  <c r="I242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F385" i="1" l="1"/>
  <c r="F279" i="1"/>
  <c r="F261" i="1"/>
  <c r="F411" i="1"/>
  <c r="F278" i="1"/>
  <c r="F269" i="1"/>
  <c r="F405" i="1"/>
  <c r="F433" i="1"/>
  <c r="H433" i="1" s="1"/>
  <c r="F271" i="1"/>
  <c r="F404" i="1"/>
  <c r="F401" i="1"/>
  <c r="H475" i="1" l="1"/>
  <c r="I475" i="1" s="1"/>
  <c r="L475" i="1"/>
  <c r="M475" i="1" s="1"/>
  <c r="J475" i="1"/>
  <c r="K475" i="1" s="1"/>
  <c r="V474" i="1"/>
  <c r="W474" i="1" s="1"/>
  <c r="N474" i="1"/>
  <c r="O474" i="1" s="1"/>
  <c r="T474" i="1"/>
  <c r="U474" i="1" s="1"/>
  <c r="R474" i="1"/>
  <c r="S474" i="1" s="1"/>
  <c r="P474" i="1"/>
  <c r="Q474" i="1" s="1"/>
  <c r="J474" i="1"/>
  <c r="K474" i="1" s="1"/>
  <c r="H474" i="1"/>
  <c r="I474" i="1" s="1"/>
  <c r="L474" i="1"/>
  <c r="M474" i="1" s="1"/>
  <c r="P604" i="1"/>
  <c r="Q604" i="1" s="1"/>
  <c r="N604" i="1"/>
  <c r="O604" i="1" s="1"/>
  <c r="L604" i="1"/>
  <c r="M604" i="1" s="1"/>
  <c r="J604" i="1"/>
  <c r="K604" i="1" s="1"/>
  <c r="H604" i="1"/>
  <c r="I604" i="1" s="1"/>
  <c r="V604" i="1"/>
  <c r="W604" i="1" s="1"/>
  <c r="T604" i="1"/>
  <c r="U604" i="1" s="1"/>
  <c r="R604" i="1"/>
  <c r="S604" i="1" s="1"/>
  <c r="N171" i="1"/>
  <c r="O171" i="1" s="1"/>
  <c r="J171" i="1"/>
  <c r="K171" i="1" s="1"/>
  <c r="H171" i="1"/>
  <c r="I171" i="1" s="1"/>
  <c r="P171" i="1"/>
  <c r="Q171" i="1" s="1"/>
  <c r="L171" i="1"/>
  <c r="M171" i="1" s="1"/>
  <c r="V171" i="1"/>
  <c r="W171" i="1" s="1"/>
  <c r="T171" i="1"/>
  <c r="U171" i="1" s="1"/>
  <c r="R171" i="1"/>
  <c r="S171" i="1" s="1"/>
  <c r="P262" i="1"/>
  <c r="Q262" i="1" s="1"/>
  <c r="N262" i="1"/>
  <c r="O262" i="1" s="1"/>
  <c r="L262" i="1"/>
  <c r="M262" i="1" s="1"/>
  <c r="J262" i="1"/>
  <c r="K262" i="1" s="1"/>
  <c r="R262" i="1"/>
  <c r="S262" i="1" s="1"/>
  <c r="H262" i="1"/>
  <c r="I262" i="1" s="1"/>
  <c r="V262" i="1"/>
  <c r="W262" i="1" s="1"/>
  <c r="T262" i="1"/>
  <c r="U262" i="1" s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V192" i="1"/>
  <c r="W192" i="1" s="1"/>
  <c r="T192" i="1"/>
  <c r="U192" i="1" s="1"/>
  <c r="R192" i="1"/>
  <c r="S192" i="1" s="1"/>
  <c r="P192" i="1"/>
  <c r="Q192" i="1" s="1"/>
  <c r="N192" i="1"/>
  <c r="O192" i="1" s="1"/>
  <c r="L192" i="1"/>
  <c r="M192" i="1" s="1"/>
  <c r="V271" i="1"/>
  <c r="W271" i="1" s="1"/>
  <c r="T271" i="1"/>
  <c r="U271" i="1" s="1"/>
  <c r="R271" i="1"/>
  <c r="S271" i="1" s="1"/>
  <c r="P271" i="1"/>
  <c r="Q271" i="1" s="1"/>
  <c r="H271" i="1"/>
  <c r="I271" i="1" s="1"/>
  <c r="N271" i="1"/>
  <c r="O271" i="1" s="1"/>
  <c r="L271" i="1"/>
  <c r="M271" i="1" s="1"/>
  <c r="J271" i="1"/>
  <c r="K271" i="1" s="1"/>
  <c r="H267" i="1"/>
  <c r="I267" i="1" s="1"/>
  <c r="V267" i="1"/>
  <c r="W267" i="1" s="1"/>
  <c r="T267" i="1"/>
  <c r="U267" i="1" s="1"/>
  <c r="R267" i="1"/>
  <c r="S267" i="1" s="1"/>
  <c r="P267" i="1"/>
  <c r="Q267" i="1" s="1"/>
  <c r="N267" i="1"/>
  <c r="O267" i="1" s="1"/>
  <c r="L267" i="1"/>
  <c r="M267" i="1" s="1"/>
  <c r="J267" i="1"/>
  <c r="K267" i="1" s="1"/>
  <c r="R278" i="1"/>
  <c r="S278" i="1" s="1"/>
  <c r="P278" i="1"/>
  <c r="Q278" i="1" s="1"/>
  <c r="T278" i="1"/>
  <c r="U278" i="1" s="1"/>
  <c r="N278" i="1"/>
  <c r="O278" i="1" s="1"/>
  <c r="L278" i="1"/>
  <c r="M278" i="1" s="1"/>
  <c r="J278" i="1"/>
  <c r="K278" i="1" s="1"/>
  <c r="V278" i="1"/>
  <c r="W278" i="1" s="1"/>
  <c r="H278" i="1"/>
  <c r="I278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L261" i="1"/>
  <c r="M261" i="1" s="1"/>
  <c r="J261" i="1"/>
  <c r="K261" i="1" s="1"/>
  <c r="H261" i="1"/>
  <c r="I261" i="1" s="1"/>
  <c r="N261" i="1"/>
  <c r="O261" i="1" s="1"/>
  <c r="V261" i="1"/>
  <c r="W261" i="1" s="1"/>
  <c r="T261" i="1"/>
  <c r="U261" i="1" s="1"/>
  <c r="R261" i="1"/>
  <c r="S261" i="1" s="1"/>
  <c r="P261" i="1"/>
  <c r="Q261" i="1" s="1"/>
  <c r="N269" i="1"/>
  <c r="O269" i="1" s="1"/>
  <c r="L269" i="1"/>
  <c r="M269" i="1" s="1"/>
  <c r="J269" i="1"/>
  <c r="K269" i="1" s="1"/>
  <c r="H269" i="1"/>
  <c r="I269" i="1" s="1"/>
  <c r="V269" i="1"/>
  <c r="W269" i="1" s="1"/>
  <c r="P269" i="1"/>
  <c r="Q269" i="1" s="1"/>
  <c r="T269" i="1"/>
  <c r="U269" i="1" s="1"/>
  <c r="R269" i="1"/>
  <c r="S26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9" i="1"/>
  <c r="W279" i="1" s="1"/>
  <c r="T279" i="1"/>
  <c r="U279" i="1" s="1"/>
  <c r="N191" i="1"/>
  <c r="O191" i="1" s="1"/>
  <c r="L191" i="1"/>
  <c r="M191" i="1" s="1"/>
  <c r="V191" i="1"/>
  <c r="W191" i="1" s="1"/>
  <c r="T191" i="1"/>
  <c r="U191" i="1" s="1"/>
  <c r="P191" i="1"/>
  <c r="Q191" i="1" s="1"/>
  <c r="R191" i="1"/>
  <c r="S191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L405" i="1"/>
  <c r="M405" i="1" s="1"/>
  <c r="N405" i="1"/>
  <c r="O405" i="1" s="1"/>
  <c r="P405" i="1"/>
  <c r="Q405" i="1" s="1"/>
  <c r="R405" i="1"/>
  <c r="S405" i="1" s="1"/>
  <c r="T405" i="1"/>
  <c r="U405" i="1" s="1"/>
  <c r="V405" i="1"/>
  <c r="W405" i="1" s="1"/>
  <c r="I433" i="1"/>
  <c r="L433" i="1"/>
  <c r="M433" i="1" s="1"/>
  <c r="V433" i="1"/>
  <c r="W433" i="1" s="1"/>
  <c r="T433" i="1"/>
  <c r="U433" i="1" s="1"/>
  <c r="R433" i="1"/>
  <c r="S433" i="1" s="1"/>
  <c r="P433" i="1"/>
  <c r="Q433" i="1" s="1"/>
  <c r="N433" i="1"/>
  <c r="O433" i="1" s="1"/>
  <c r="J433" i="1"/>
  <c r="K433" i="1" s="1"/>
  <c r="I423" i="1"/>
  <c r="L423" i="1"/>
  <c r="M423" i="1" s="1"/>
  <c r="V423" i="1"/>
  <c r="W423" i="1" s="1"/>
  <c r="T423" i="1"/>
  <c r="U423" i="1" s="1"/>
  <c r="R423" i="1"/>
  <c r="S423" i="1" s="1"/>
  <c r="P423" i="1"/>
  <c r="Q423" i="1" s="1"/>
  <c r="N423" i="1"/>
  <c r="O423" i="1" s="1"/>
  <c r="J423" i="1"/>
  <c r="K423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L404" i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L401" i="1"/>
  <c r="M401" i="1" s="1"/>
  <c r="N401" i="1"/>
  <c r="O401" i="1" s="1"/>
  <c r="P401" i="1"/>
  <c r="Q401" i="1" s="1"/>
  <c r="R401" i="1"/>
  <c r="S401" i="1" s="1"/>
  <c r="T401" i="1"/>
  <c r="U401" i="1" s="1"/>
  <c r="V401" i="1"/>
  <c r="W401" i="1" s="1"/>
  <c r="T385" i="1"/>
  <c r="U385" i="1" s="1"/>
  <c r="R385" i="1"/>
  <c r="S385" i="1" s="1"/>
  <c r="P385" i="1"/>
  <c r="Q385" i="1" s="1"/>
  <c r="N385" i="1"/>
  <c r="O385" i="1" s="1"/>
  <c r="L385" i="1"/>
  <c r="M385" i="1" s="1"/>
  <c r="V385" i="1"/>
  <c r="W385" i="1" s="1"/>
  <c r="G192" i="1"/>
  <c r="G279" i="1"/>
  <c r="G604" i="1"/>
  <c r="J272" i="1" l="1"/>
  <c r="K272" i="1" s="1"/>
  <c r="H272" i="1"/>
  <c r="I272" i="1" s="1"/>
  <c r="V272" i="1"/>
  <c r="W272" i="1" s="1"/>
  <c r="T272" i="1"/>
  <c r="U272" i="1" s="1"/>
  <c r="R272" i="1"/>
  <c r="S272" i="1" s="1"/>
  <c r="P272" i="1"/>
  <c r="Q272" i="1" s="1"/>
  <c r="N272" i="1"/>
  <c r="O272" i="1" s="1"/>
  <c r="L272" i="1"/>
  <c r="M272" i="1" s="1"/>
  <c r="J448" i="1"/>
  <c r="K448" i="1" s="1"/>
  <c r="P448" i="1"/>
  <c r="R448" i="1"/>
  <c r="T448" i="1"/>
  <c r="V448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J139" i="1"/>
  <c r="V139" i="1"/>
  <c r="T139" i="1"/>
  <c r="R139" i="1"/>
  <c r="P139" i="1"/>
  <c r="N139" i="1"/>
  <c r="L139" i="1"/>
  <c r="O215" i="1"/>
  <c r="M215" i="1"/>
  <c r="K215" i="1"/>
  <c r="F673" i="1"/>
  <c r="N673" i="1" l="1"/>
  <c r="O673" i="1" s="1"/>
  <c r="L673" i="1"/>
  <c r="M673" i="1" s="1"/>
  <c r="P673" i="1"/>
  <c r="Q673" i="1" s="1"/>
  <c r="J673" i="1"/>
  <c r="K673" i="1" s="1"/>
  <c r="H673" i="1"/>
  <c r="I673" i="1" s="1"/>
  <c r="V673" i="1"/>
  <c r="W673" i="1" s="1"/>
  <c r="T673" i="1"/>
  <c r="U673" i="1" s="1"/>
  <c r="R673" i="1"/>
  <c r="S673" i="1" s="1"/>
  <c r="F537" i="1"/>
  <c r="F536" i="1"/>
  <c r="F535" i="1"/>
  <c r="F523" i="1"/>
  <c r="F522" i="1"/>
  <c r="V539" i="1"/>
  <c r="W539" i="1" s="1"/>
  <c r="T539" i="1"/>
  <c r="U539" i="1" s="1"/>
  <c r="R539" i="1"/>
  <c r="S539" i="1" s="1"/>
  <c r="P539" i="1"/>
  <c r="Q539" i="1" s="1"/>
  <c r="N539" i="1"/>
  <c r="O539" i="1" s="1"/>
  <c r="I539" i="1"/>
  <c r="V513" i="1"/>
  <c r="F588" i="1"/>
  <c r="F590" i="1"/>
  <c r="V184" i="1"/>
  <c r="T184" i="1"/>
  <c r="R184" i="1"/>
  <c r="P184" i="1"/>
  <c r="N184" i="1"/>
  <c r="L184" i="1"/>
  <c r="L531" i="1" l="1"/>
  <c r="M531" i="1" s="1"/>
  <c r="H531" i="1"/>
  <c r="J531" i="1"/>
  <c r="K531" i="1" s="1"/>
  <c r="N588" i="1"/>
  <c r="O588" i="1" s="1"/>
  <c r="P588" i="1"/>
  <c r="Q588" i="1" s="1"/>
  <c r="R588" i="1"/>
  <c r="S588" i="1" s="1"/>
  <c r="T588" i="1"/>
  <c r="U588" i="1" s="1"/>
  <c r="H588" i="1"/>
  <c r="I588" i="1" s="1"/>
  <c r="L588" i="1"/>
  <c r="M588" i="1" s="1"/>
  <c r="J588" i="1"/>
  <c r="K588" i="1" s="1"/>
  <c r="V588" i="1"/>
  <c r="W588" i="1" s="1"/>
  <c r="V535" i="1"/>
  <c r="W535" i="1" s="1"/>
  <c r="T535" i="1"/>
  <c r="U535" i="1" s="1"/>
  <c r="R535" i="1"/>
  <c r="S535" i="1" s="1"/>
  <c r="N535" i="1"/>
  <c r="O535" i="1" s="1"/>
  <c r="H535" i="1"/>
  <c r="I535" i="1" s="1"/>
  <c r="L535" i="1"/>
  <c r="M535" i="1" s="1"/>
  <c r="J535" i="1"/>
  <c r="K535" i="1" s="1"/>
  <c r="P535" i="1"/>
  <c r="Q535" i="1" s="1"/>
  <c r="N590" i="1"/>
  <c r="O590" i="1" s="1"/>
  <c r="P590" i="1"/>
  <c r="Q590" i="1" s="1"/>
  <c r="R590" i="1"/>
  <c r="S590" i="1" s="1"/>
  <c r="T590" i="1"/>
  <c r="U590" i="1" s="1"/>
  <c r="H590" i="1"/>
  <c r="I590" i="1" s="1"/>
  <c r="J590" i="1"/>
  <c r="K590" i="1" s="1"/>
  <c r="L590" i="1"/>
  <c r="M590" i="1" s="1"/>
  <c r="V590" i="1"/>
  <c r="W590" i="1" s="1"/>
  <c r="L536" i="1"/>
  <c r="M536" i="1" s="1"/>
  <c r="H536" i="1"/>
  <c r="J536" i="1"/>
  <c r="K536" i="1" s="1"/>
  <c r="L523" i="1"/>
  <c r="M523" i="1" s="1"/>
  <c r="J523" i="1"/>
  <c r="K523" i="1" s="1"/>
  <c r="H523" i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H532" i="1"/>
  <c r="I532" i="1" s="1"/>
  <c r="L537" i="1"/>
  <c r="M537" i="1" s="1"/>
  <c r="J537" i="1"/>
  <c r="K537" i="1" s="1"/>
  <c r="V537" i="1"/>
  <c r="W537" i="1" s="1"/>
  <c r="H537" i="1"/>
  <c r="I537" i="1" s="1"/>
  <c r="R537" i="1"/>
  <c r="S537" i="1" s="1"/>
  <c r="P537" i="1"/>
  <c r="Q537" i="1" s="1"/>
  <c r="T537" i="1"/>
  <c r="U537" i="1" s="1"/>
  <c r="N537" i="1"/>
  <c r="O537" i="1" s="1"/>
  <c r="L533" i="1"/>
  <c r="M533" i="1" s="1"/>
  <c r="J533" i="1"/>
  <c r="K533" i="1" s="1"/>
  <c r="H533" i="1"/>
  <c r="P580" i="1"/>
  <c r="Q580" i="1" s="1"/>
  <c r="R580" i="1"/>
  <c r="S580" i="1" s="1"/>
  <c r="T580" i="1"/>
  <c r="U580" i="1" s="1"/>
  <c r="V580" i="1"/>
  <c r="W580" i="1" s="1"/>
  <c r="J580" i="1"/>
  <c r="K580" i="1" s="1"/>
  <c r="L580" i="1"/>
  <c r="M580" i="1" s="1"/>
  <c r="N580" i="1"/>
  <c r="O580" i="1" s="1"/>
  <c r="H580" i="1"/>
  <c r="I580" i="1" s="1"/>
  <c r="H522" i="1"/>
  <c r="I522" i="1" s="1"/>
  <c r="P522" i="1"/>
  <c r="Q522" i="1" s="1"/>
  <c r="N522" i="1"/>
  <c r="O522" i="1" s="1"/>
  <c r="L522" i="1"/>
  <c r="M522" i="1" s="1"/>
  <c r="J522" i="1"/>
  <c r="K522" i="1" s="1"/>
  <c r="V522" i="1"/>
  <c r="W522" i="1" s="1"/>
  <c r="T522" i="1"/>
  <c r="U522" i="1" s="1"/>
  <c r="R522" i="1"/>
  <c r="S522" i="1" s="1"/>
  <c r="P581" i="1"/>
  <c r="Q581" i="1" s="1"/>
  <c r="R581" i="1"/>
  <c r="S581" i="1" s="1"/>
  <c r="T581" i="1"/>
  <c r="U581" i="1" s="1"/>
  <c r="V581" i="1"/>
  <c r="W581" i="1" s="1"/>
  <c r="H581" i="1"/>
  <c r="I581" i="1" s="1"/>
  <c r="J581" i="1"/>
  <c r="K581" i="1" s="1"/>
  <c r="L581" i="1"/>
  <c r="M581" i="1" s="1"/>
  <c r="N581" i="1"/>
  <c r="O581" i="1" s="1"/>
  <c r="N513" i="1"/>
  <c r="P513" i="1"/>
  <c r="R513" i="1"/>
  <c r="T513" i="1"/>
  <c r="G588" i="1"/>
  <c r="T124" i="1"/>
  <c r="R124" i="1"/>
  <c r="P124" i="1"/>
  <c r="N124" i="1"/>
  <c r="L124" i="1"/>
  <c r="T13" i="1"/>
  <c r="R13" i="1"/>
  <c r="P13" i="1"/>
  <c r="N13" i="1"/>
  <c r="L13" i="1"/>
  <c r="J13" i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H20" i="1"/>
  <c r="I20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H246" i="1" l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G251" i="1"/>
  <c r="G246" i="1"/>
  <c r="G416" i="1"/>
  <c r="W233" i="1" l="1"/>
  <c r="U233" i="1"/>
  <c r="S233" i="1"/>
  <c r="Q233" i="1"/>
  <c r="O233" i="1"/>
  <c r="M233" i="1"/>
  <c r="K233" i="1"/>
  <c r="I233" i="1"/>
  <c r="W190" i="1" l="1"/>
  <c r="U190" i="1"/>
  <c r="S190" i="1"/>
  <c r="Q190" i="1"/>
  <c r="O190" i="1"/>
  <c r="M190" i="1"/>
  <c r="J98" i="1" l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T54" i="1"/>
  <c r="R54" i="1"/>
  <c r="P54" i="1"/>
  <c r="N54" i="1"/>
  <c r="L54" i="1"/>
  <c r="J54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86" i="1" l="1"/>
  <c r="W286" i="1" s="1"/>
  <c r="T286" i="1"/>
  <c r="U286" i="1" s="1"/>
  <c r="R286" i="1"/>
  <c r="S286" i="1" s="1"/>
  <c r="P286" i="1"/>
  <c r="Q286" i="1" s="1"/>
  <c r="N286" i="1"/>
  <c r="O286" i="1" s="1"/>
  <c r="V285" i="1"/>
  <c r="W285" i="1" s="1"/>
  <c r="T285" i="1"/>
  <c r="U285" i="1" s="1"/>
  <c r="R285" i="1"/>
  <c r="S285" i="1" s="1"/>
  <c r="P285" i="1"/>
  <c r="Q285" i="1" s="1"/>
  <c r="N285" i="1"/>
  <c r="O285" i="1" s="1"/>
  <c r="V284" i="1"/>
  <c r="W284" i="1" s="1"/>
  <c r="T284" i="1"/>
  <c r="U284" i="1" s="1"/>
  <c r="R284" i="1"/>
  <c r="S284" i="1" s="1"/>
  <c r="P284" i="1"/>
  <c r="Q284" i="1" s="1"/>
  <c r="N284" i="1"/>
  <c r="O284" i="1" s="1"/>
  <c r="V283" i="1"/>
  <c r="W283" i="1" s="1"/>
  <c r="T283" i="1"/>
  <c r="U283" i="1" s="1"/>
  <c r="R283" i="1"/>
  <c r="S283" i="1" s="1"/>
  <c r="P283" i="1"/>
  <c r="Q283" i="1" s="1"/>
  <c r="N283" i="1"/>
  <c r="O283" i="1" s="1"/>
  <c r="R282" i="1"/>
  <c r="T282" i="1"/>
  <c r="V282" i="1"/>
  <c r="P282" i="1"/>
  <c r="N282" i="1"/>
  <c r="W484" i="1"/>
  <c r="O484" i="1"/>
  <c r="V29" i="1" l="1"/>
  <c r="T29" i="1"/>
  <c r="R29" i="1"/>
  <c r="N29" i="1"/>
  <c r="P29" i="1"/>
  <c r="L29" i="1"/>
  <c r="K374" i="1"/>
  <c r="G374" i="1"/>
  <c r="W448" i="1"/>
  <c r="U448" i="1"/>
  <c r="S448" i="1"/>
  <c r="Q448" i="1"/>
  <c r="N448" i="1"/>
  <c r="O448" i="1" s="1"/>
  <c r="M448" i="1"/>
  <c r="V449" i="1"/>
  <c r="W449" i="1" s="1"/>
  <c r="T449" i="1"/>
  <c r="U449" i="1" s="1"/>
  <c r="R449" i="1"/>
  <c r="S449" i="1" s="1"/>
  <c r="P449" i="1"/>
  <c r="Q449" i="1" s="1"/>
  <c r="N449" i="1"/>
  <c r="O449" i="1" s="1"/>
  <c r="L449" i="1"/>
  <c r="M449" i="1" s="1"/>
  <c r="J449" i="1"/>
  <c r="K449" i="1" s="1"/>
  <c r="G449" i="1"/>
  <c r="G450" i="1"/>
  <c r="G448" i="1"/>
  <c r="S438" i="1" l="1"/>
  <c r="Q438" i="1"/>
  <c r="M438" i="1"/>
  <c r="K438" i="1"/>
  <c r="W438" i="1"/>
  <c r="U438" i="1"/>
  <c r="O438" i="1"/>
  <c r="G438" i="1"/>
  <c r="I438" i="1"/>
  <c r="G453" i="1" l="1"/>
  <c r="G372" i="1" l="1"/>
  <c r="G369" i="1"/>
  <c r="G324" i="1"/>
  <c r="W10" i="1" l="1"/>
  <c r="U10" i="1"/>
  <c r="S10" i="1"/>
  <c r="Q10" i="1"/>
  <c r="O10" i="1"/>
  <c r="F362" i="1" l="1"/>
  <c r="W472" i="1"/>
  <c r="U472" i="1"/>
  <c r="S472" i="1"/>
  <c r="Q472" i="1"/>
  <c r="O472" i="1"/>
  <c r="N362" i="1" l="1"/>
  <c r="O362" i="1" s="1"/>
  <c r="L362" i="1"/>
  <c r="M362" i="1" s="1"/>
  <c r="V362" i="1"/>
  <c r="W362" i="1" s="1"/>
  <c r="T362" i="1"/>
  <c r="U362" i="1" s="1"/>
  <c r="R362" i="1"/>
  <c r="S362" i="1" s="1"/>
  <c r="P362" i="1"/>
  <c r="Q362" i="1" s="1"/>
  <c r="L128" i="1"/>
  <c r="M128" i="1" s="1"/>
  <c r="O128" i="1"/>
  <c r="J128" i="1"/>
  <c r="K128" i="1" s="1"/>
  <c r="Q128" i="1"/>
  <c r="V128" i="1"/>
  <c r="W128" i="1" s="1"/>
  <c r="T128" i="1"/>
  <c r="U128" i="1" s="1"/>
  <c r="R128" i="1"/>
  <c r="S128" i="1" s="1"/>
  <c r="G362" i="1"/>
  <c r="G263" i="1"/>
  <c r="G128" i="1"/>
  <c r="G483" i="1"/>
  <c r="G368" i="1" l="1"/>
  <c r="G205" i="1"/>
  <c r="G306" i="1" l="1"/>
  <c r="L144" i="1"/>
  <c r="M144" i="1" s="1"/>
  <c r="J144" i="1"/>
  <c r="K144" i="1" s="1"/>
  <c r="V144" i="1"/>
  <c r="W144" i="1" s="1"/>
  <c r="T144" i="1"/>
  <c r="U144" i="1" s="1"/>
  <c r="R144" i="1"/>
  <c r="S144" i="1" s="1"/>
  <c r="P144" i="1"/>
  <c r="Q144" i="1" s="1"/>
  <c r="N144" i="1"/>
  <c r="O144" i="1" s="1"/>
  <c r="V140" i="1"/>
  <c r="T140" i="1"/>
  <c r="R140" i="1"/>
  <c r="P140" i="1"/>
  <c r="N140" i="1"/>
  <c r="L140" i="1"/>
  <c r="J140" i="1"/>
  <c r="G208" i="1" l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9" i="1"/>
  <c r="U69" i="1"/>
  <c r="S69" i="1"/>
  <c r="Q69" i="1"/>
  <c r="O69" i="1"/>
  <c r="M69" i="1"/>
  <c r="K69" i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307" i="1"/>
  <c r="H307" i="1" s="1"/>
  <c r="R507" i="1" l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507" i="1"/>
  <c r="W507" i="1" s="1"/>
  <c r="T507" i="1"/>
  <c r="U507" i="1" s="1"/>
  <c r="P307" i="1"/>
  <c r="Q307" i="1" s="1"/>
  <c r="N307" i="1"/>
  <c r="O307" i="1" s="1"/>
  <c r="L307" i="1"/>
  <c r="M307" i="1" s="1"/>
  <c r="J307" i="1"/>
  <c r="K307" i="1" s="1"/>
  <c r="I307" i="1"/>
  <c r="V307" i="1"/>
  <c r="W307" i="1" s="1"/>
  <c r="T307" i="1"/>
  <c r="U307" i="1" s="1"/>
  <c r="R307" i="1"/>
  <c r="S307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J325" i="1"/>
  <c r="K325" i="1" s="1"/>
  <c r="I325" i="1"/>
  <c r="P424" i="1"/>
  <c r="Q424" i="1" s="1"/>
  <c r="T424" i="1"/>
  <c r="U424" i="1" s="1"/>
  <c r="N424" i="1"/>
  <c r="O424" i="1" s="1"/>
  <c r="L424" i="1"/>
  <c r="M424" i="1" s="1"/>
  <c r="J424" i="1"/>
  <c r="K424" i="1" s="1"/>
  <c r="I424" i="1"/>
  <c r="V424" i="1"/>
  <c r="W424" i="1" s="1"/>
  <c r="R424" i="1"/>
  <c r="S424" i="1" s="1"/>
  <c r="G307" i="1"/>
  <c r="G259" i="1"/>
  <c r="U27" i="1" l="1"/>
  <c r="S27" i="1"/>
  <c r="Q27" i="1"/>
  <c r="O27" i="1"/>
  <c r="M27" i="1"/>
  <c r="N28" i="1" l="1"/>
  <c r="O28" i="1" s="1"/>
  <c r="T28" i="1"/>
  <c r="U28" i="1" s="1"/>
  <c r="L28" i="1"/>
  <c r="M28" i="1" s="1"/>
  <c r="R28" i="1"/>
  <c r="S28" i="1" s="1"/>
  <c r="P28" i="1"/>
  <c r="Q28" i="1" s="1"/>
  <c r="T25" i="1"/>
  <c r="U25" i="1" s="1"/>
  <c r="R25" i="1"/>
  <c r="S25" i="1" s="1"/>
  <c r="P25" i="1"/>
  <c r="Q25" i="1" s="1"/>
  <c r="L25" i="1"/>
  <c r="M25" i="1" s="1"/>
  <c r="N25" i="1"/>
  <c r="O25" i="1" s="1"/>
  <c r="G271" i="1" l="1"/>
  <c r="G267" i="1"/>
  <c r="F582" i="1" l="1"/>
  <c r="R582" i="1" l="1"/>
  <c r="S582" i="1" s="1"/>
  <c r="T582" i="1"/>
  <c r="U582" i="1" s="1"/>
  <c r="V582" i="1"/>
  <c r="W582" i="1" s="1"/>
  <c r="H582" i="1"/>
  <c r="I582" i="1" s="1"/>
  <c r="L582" i="1"/>
  <c r="M582" i="1" s="1"/>
  <c r="N582" i="1"/>
  <c r="O582" i="1" s="1"/>
  <c r="J582" i="1"/>
  <c r="K582" i="1" s="1"/>
  <c r="P582" i="1"/>
  <c r="Q582" i="1" s="1"/>
  <c r="N592" i="1"/>
  <c r="O592" i="1" s="1"/>
  <c r="P592" i="1"/>
  <c r="Q592" i="1" s="1"/>
  <c r="R592" i="1"/>
  <c r="S592" i="1" s="1"/>
  <c r="T592" i="1"/>
  <c r="U592" i="1" s="1"/>
  <c r="H592" i="1"/>
  <c r="I592" i="1" s="1"/>
  <c r="L592" i="1"/>
  <c r="M592" i="1" s="1"/>
  <c r="J592" i="1"/>
  <c r="K592" i="1" s="1"/>
  <c r="V592" i="1"/>
  <c r="W592" i="1" s="1"/>
  <c r="T350" i="1"/>
  <c r="U350" i="1" s="1"/>
  <c r="R350" i="1"/>
  <c r="S350" i="1" s="1"/>
  <c r="P350" i="1"/>
  <c r="Q350" i="1" s="1"/>
  <c r="N350" i="1"/>
  <c r="O350" i="1" s="1"/>
  <c r="L350" i="1"/>
  <c r="M350" i="1" s="1"/>
  <c r="V350" i="1"/>
  <c r="W350" i="1" s="1"/>
  <c r="I521" i="1"/>
  <c r="R521" i="1"/>
  <c r="S521" i="1" s="1"/>
  <c r="N521" i="1"/>
  <c r="O521" i="1" s="1"/>
  <c r="V521" i="1"/>
  <c r="W521" i="1" s="1"/>
  <c r="T521" i="1"/>
  <c r="U521" i="1" s="1"/>
  <c r="P521" i="1"/>
  <c r="Q521" i="1" s="1"/>
  <c r="W114" i="1" l="1"/>
  <c r="U114" i="1"/>
  <c r="S114" i="1"/>
  <c r="Q114" i="1"/>
  <c r="O114" i="1"/>
  <c r="M114" i="1"/>
  <c r="W119" i="1"/>
  <c r="U119" i="1"/>
  <c r="S119" i="1"/>
  <c r="Q119" i="1"/>
  <c r="O119" i="1"/>
  <c r="M119" i="1"/>
  <c r="S117" i="1"/>
  <c r="F63" i="1" l="1"/>
  <c r="T63" i="1" l="1"/>
  <c r="R63" i="1"/>
  <c r="S63" i="1" s="1"/>
  <c r="P63" i="1"/>
  <c r="Q63" i="1" s="1"/>
  <c r="N63" i="1"/>
  <c r="O63" i="1" s="1"/>
  <c r="L63" i="1"/>
  <c r="J63" i="1"/>
  <c r="K63" i="1" s="1"/>
  <c r="V63" i="1"/>
  <c r="W63" i="1" s="1"/>
  <c r="G63" i="1"/>
  <c r="M63" i="1"/>
  <c r="U63" i="1"/>
  <c r="G64" i="1" l="1"/>
  <c r="K64" i="1"/>
  <c r="M64" i="1"/>
  <c r="O64" i="1"/>
  <c r="Q64" i="1"/>
  <c r="S64" i="1"/>
  <c r="U64" i="1"/>
  <c r="W64" i="1"/>
  <c r="V124" i="1" l="1"/>
  <c r="W124" i="1" s="1"/>
  <c r="U124" i="1"/>
  <c r="S124" i="1"/>
  <c r="Q124" i="1"/>
  <c r="O124" i="1"/>
  <c r="M124" i="1"/>
  <c r="G124" i="1"/>
  <c r="G481" i="1" l="1"/>
  <c r="G301" i="1"/>
  <c r="G62" i="1" l="1"/>
  <c r="V359" i="1" l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G587" i="1"/>
  <c r="L14" i="1" l="1"/>
  <c r="H14" i="1"/>
  <c r="J14" i="1"/>
  <c r="T14" i="1"/>
  <c r="R14" i="1"/>
  <c r="P14" i="1"/>
  <c r="N14" i="1"/>
  <c r="R426" i="1" l="1"/>
  <c r="S426" i="1" s="1"/>
  <c r="P426" i="1"/>
  <c r="Q426" i="1" s="1"/>
  <c r="N426" i="1"/>
  <c r="O426" i="1" s="1"/>
  <c r="L426" i="1"/>
  <c r="M426" i="1" s="1"/>
  <c r="V426" i="1"/>
  <c r="W426" i="1" s="1"/>
  <c r="J426" i="1"/>
  <c r="K426" i="1" s="1"/>
  <c r="I426" i="1"/>
  <c r="T426" i="1"/>
  <c r="U426" i="1" s="1"/>
  <c r="H527" i="1" l="1"/>
  <c r="L527" i="1"/>
  <c r="M527" i="1" s="1"/>
  <c r="J527" i="1"/>
  <c r="K527" i="1" s="1"/>
  <c r="P526" i="1"/>
  <c r="Q526" i="1" s="1"/>
  <c r="N526" i="1"/>
  <c r="O526" i="1" s="1"/>
  <c r="L526" i="1"/>
  <c r="M526" i="1" s="1"/>
  <c r="V526" i="1"/>
  <c r="W526" i="1" s="1"/>
  <c r="T526" i="1"/>
  <c r="U526" i="1" s="1"/>
  <c r="H526" i="1"/>
  <c r="I526" i="1" s="1"/>
  <c r="R526" i="1"/>
  <c r="S526" i="1" s="1"/>
  <c r="J526" i="1"/>
  <c r="K526" i="1" s="1"/>
  <c r="R527" i="1"/>
  <c r="S527" i="1" s="1"/>
  <c r="V527" i="1"/>
  <c r="W527" i="1" s="1"/>
  <c r="P527" i="1"/>
  <c r="Q527" i="1" s="1"/>
  <c r="N527" i="1"/>
  <c r="O527" i="1" s="1"/>
  <c r="T527" i="1"/>
  <c r="U527" i="1" s="1"/>
  <c r="I527" i="1"/>
  <c r="G527" i="1"/>
  <c r="G526" i="1"/>
  <c r="V431" i="1" l="1"/>
  <c r="W431" i="1" s="1"/>
  <c r="T431" i="1"/>
  <c r="U431" i="1" s="1"/>
  <c r="R431" i="1"/>
  <c r="S431" i="1" s="1"/>
  <c r="P431" i="1"/>
  <c r="Q431" i="1" s="1"/>
  <c r="N431" i="1"/>
  <c r="O431" i="1" s="1"/>
  <c r="L431" i="1"/>
  <c r="M431" i="1" s="1"/>
  <c r="J431" i="1"/>
  <c r="K431" i="1" s="1"/>
  <c r="I431" i="1"/>
  <c r="P430" i="1"/>
  <c r="Q430" i="1" s="1"/>
  <c r="N430" i="1"/>
  <c r="O430" i="1" s="1"/>
  <c r="L430" i="1"/>
  <c r="M430" i="1" s="1"/>
  <c r="J430" i="1"/>
  <c r="K430" i="1" s="1"/>
  <c r="I430" i="1"/>
  <c r="T430" i="1"/>
  <c r="U430" i="1" s="1"/>
  <c r="V430" i="1"/>
  <c r="W430" i="1" s="1"/>
  <c r="R430" i="1"/>
  <c r="S430" i="1" s="1"/>
  <c r="G431" i="1"/>
  <c r="I688" i="1" l="1"/>
  <c r="I689" i="1"/>
  <c r="K689" i="1" l="1"/>
  <c r="G689" i="1"/>
  <c r="V563" i="1" l="1"/>
  <c r="W563" i="1" s="1"/>
  <c r="T563" i="1"/>
  <c r="U563" i="1" s="1"/>
  <c r="R563" i="1"/>
  <c r="S563" i="1" s="1"/>
  <c r="P563" i="1"/>
  <c r="Q563" i="1" s="1"/>
  <c r="N563" i="1"/>
  <c r="O563" i="1" s="1"/>
  <c r="G563" i="1"/>
  <c r="F644" i="1" l="1"/>
  <c r="V644" i="1" l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J644" i="1"/>
  <c r="K644" i="1" s="1"/>
  <c r="H644" i="1"/>
  <c r="G644" i="1" l="1"/>
  <c r="I644" i="1"/>
  <c r="U513" i="1" l="1"/>
  <c r="W512" i="1"/>
  <c r="O512" i="1" l="1"/>
  <c r="I512" i="1"/>
  <c r="K512" i="1"/>
  <c r="M512" i="1"/>
  <c r="Q512" i="1"/>
  <c r="S512" i="1"/>
  <c r="U512" i="1"/>
  <c r="W513" i="1"/>
  <c r="M513" i="1"/>
  <c r="O513" i="1"/>
  <c r="K513" i="1"/>
  <c r="Q513" i="1"/>
  <c r="S513" i="1"/>
  <c r="G513" i="1"/>
  <c r="I513" i="1"/>
  <c r="G512" i="1"/>
  <c r="G573" i="1" l="1"/>
  <c r="G603" i="1" l="1"/>
  <c r="G602" i="1"/>
  <c r="W675" i="1" l="1"/>
  <c r="U675" i="1"/>
  <c r="S675" i="1"/>
  <c r="Q675" i="1"/>
  <c r="O675" i="1"/>
  <c r="M675" i="1"/>
  <c r="K675" i="1"/>
  <c r="I675" i="1"/>
  <c r="W674" i="1"/>
  <c r="U674" i="1"/>
  <c r="S674" i="1"/>
  <c r="Q674" i="1"/>
  <c r="O674" i="1"/>
  <c r="M674" i="1"/>
  <c r="I674" i="1"/>
  <c r="F606" i="1" l="1"/>
  <c r="T606" i="1" l="1"/>
  <c r="U606" i="1" s="1"/>
  <c r="R606" i="1"/>
  <c r="S606" i="1" s="1"/>
  <c r="P606" i="1"/>
  <c r="Q606" i="1" s="1"/>
  <c r="N606" i="1"/>
  <c r="O606" i="1" s="1"/>
  <c r="L606" i="1"/>
  <c r="M606" i="1" s="1"/>
  <c r="J606" i="1"/>
  <c r="K606" i="1" s="1"/>
  <c r="V606" i="1"/>
  <c r="W606" i="1" s="1"/>
  <c r="H606" i="1"/>
  <c r="I606" i="1" s="1"/>
  <c r="G606" i="1"/>
  <c r="G601" i="1"/>
  <c r="Q654" i="1" l="1"/>
  <c r="I654" i="1"/>
  <c r="S654" i="1"/>
  <c r="K654" i="1"/>
  <c r="U654" i="1"/>
  <c r="O654" i="1"/>
  <c r="M654" i="1"/>
  <c r="G654" i="1"/>
  <c r="W654" i="1"/>
  <c r="G673" i="1"/>
  <c r="W670" i="1" l="1"/>
  <c r="S670" i="1"/>
  <c r="O670" i="1"/>
  <c r="K670" i="1"/>
  <c r="G670" i="1"/>
  <c r="M670" i="1" l="1"/>
  <c r="Q670" i="1"/>
  <c r="U670" i="1"/>
  <c r="F678" i="1" l="1"/>
  <c r="L678" i="1" l="1"/>
  <c r="M678" i="1" s="1"/>
  <c r="N678" i="1"/>
  <c r="O678" i="1" s="1"/>
  <c r="J678" i="1"/>
  <c r="K678" i="1" s="1"/>
  <c r="V678" i="1"/>
  <c r="W678" i="1" s="1"/>
  <c r="T678" i="1"/>
  <c r="U678" i="1" s="1"/>
  <c r="P678" i="1"/>
  <c r="Q678" i="1" s="1"/>
  <c r="R678" i="1"/>
  <c r="S678" i="1" s="1"/>
  <c r="T605" i="1"/>
  <c r="U605" i="1" s="1"/>
  <c r="R605" i="1"/>
  <c r="S605" i="1" s="1"/>
  <c r="P605" i="1"/>
  <c r="Q605" i="1" s="1"/>
  <c r="N605" i="1"/>
  <c r="O605" i="1" s="1"/>
  <c r="L605" i="1"/>
  <c r="M605" i="1" s="1"/>
  <c r="J605" i="1"/>
  <c r="K605" i="1" s="1"/>
  <c r="H605" i="1"/>
  <c r="I605" i="1" s="1"/>
  <c r="V605" i="1"/>
  <c r="W605" i="1" s="1"/>
  <c r="G649" i="1"/>
  <c r="G647" i="1"/>
  <c r="F525" i="1"/>
  <c r="H525" i="1" l="1"/>
  <c r="J525" i="1"/>
  <c r="K525" i="1" s="1"/>
  <c r="L525" i="1"/>
  <c r="M525" i="1" s="1"/>
  <c r="V514" i="1"/>
  <c r="W514" i="1" s="1"/>
  <c r="T514" i="1"/>
  <c r="U514" i="1" s="1"/>
  <c r="R514" i="1"/>
  <c r="S514" i="1" s="1"/>
  <c r="I514" i="1"/>
  <c r="P514" i="1"/>
  <c r="Q514" i="1" s="1"/>
  <c r="N514" i="1"/>
  <c r="O514" i="1" s="1"/>
  <c r="T529" i="1"/>
  <c r="U529" i="1" s="1"/>
  <c r="R529" i="1"/>
  <c r="S529" i="1" s="1"/>
  <c r="P529" i="1"/>
  <c r="Q529" i="1" s="1"/>
  <c r="I529" i="1"/>
  <c r="N529" i="1"/>
  <c r="O529" i="1" s="1"/>
  <c r="V529" i="1"/>
  <c r="W529" i="1" s="1"/>
  <c r="I536" i="1"/>
  <c r="V536" i="1"/>
  <c r="W536" i="1" s="1"/>
  <c r="P536" i="1"/>
  <c r="Q536" i="1" s="1"/>
  <c r="T536" i="1"/>
  <c r="U536" i="1" s="1"/>
  <c r="R536" i="1"/>
  <c r="S536" i="1" s="1"/>
  <c r="N536" i="1"/>
  <c r="O536" i="1" s="1"/>
  <c r="I523" i="1"/>
  <c r="V523" i="1"/>
  <c r="W523" i="1" s="1"/>
  <c r="R523" i="1"/>
  <c r="S523" i="1" s="1"/>
  <c r="P523" i="1"/>
  <c r="Q523" i="1" s="1"/>
  <c r="T523" i="1"/>
  <c r="U523" i="1" s="1"/>
  <c r="N523" i="1"/>
  <c r="O523" i="1" s="1"/>
  <c r="V516" i="1"/>
  <c r="W516" i="1" s="1"/>
  <c r="T516" i="1"/>
  <c r="U516" i="1" s="1"/>
  <c r="N516" i="1"/>
  <c r="O516" i="1" s="1"/>
  <c r="R516" i="1"/>
  <c r="S516" i="1" s="1"/>
  <c r="I516" i="1"/>
  <c r="P516" i="1"/>
  <c r="Q516" i="1" s="1"/>
  <c r="P525" i="1"/>
  <c r="Q525" i="1" s="1"/>
  <c r="N525" i="1"/>
  <c r="O525" i="1" s="1"/>
  <c r="R525" i="1"/>
  <c r="S525" i="1" s="1"/>
  <c r="V525" i="1"/>
  <c r="W525" i="1" s="1"/>
  <c r="T525" i="1"/>
  <c r="U525" i="1" s="1"/>
  <c r="I525" i="1"/>
  <c r="F371" i="1"/>
  <c r="F250" i="1"/>
  <c r="V222" i="1"/>
  <c r="F204" i="1"/>
  <c r="L250" i="1" l="1"/>
  <c r="M250" i="1" s="1"/>
  <c r="J250" i="1"/>
  <c r="K250" i="1" s="1"/>
  <c r="H250" i="1"/>
  <c r="I250" i="1" s="1"/>
  <c r="V250" i="1"/>
  <c r="W250" i="1" s="1"/>
  <c r="T250" i="1"/>
  <c r="U250" i="1" s="1"/>
  <c r="R250" i="1"/>
  <c r="S250" i="1" s="1"/>
  <c r="P250" i="1"/>
  <c r="Q250" i="1" s="1"/>
  <c r="N250" i="1"/>
  <c r="O250" i="1" s="1"/>
  <c r="R295" i="1"/>
  <c r="S295" i="1" s="1"/>
  <c r="P295" i="1"/>
  <c r="Q295" i="1" s="1"/>
  <c r="N295" i="1"/>
  <c r="O295" i="1" s="1"/>
  <c r="L295" i="1"/>
  <c r="M295" i="1" s="1"/>
  <c r="J295" i="1"/>
  <c r="K295" i="1" s="1"/>
  <c r="I295" i="1"/>
  <c r="V295" i="1"/>
  <c r="W295" i="1" s="1"/>
  <c r="T295" i="1"/>
  <c r="U295" i="1" s="1"/>
  <c r="I197" i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197" i="1"/>
  <c r="K197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V427" i="1"/>
  <c r="W427" i="1" s="1"/>
  <c r="T427" i="1"/>
  <c r="U427" i="1" s="1"/>
  <c r="R427" i="1"/>
  <c r="S427" i="1" s="1"/>
  <c r="P427" i="1"/>
  <c r="Q427" i="1" s="1"/>
  <c r="N427" i="1"/>
  <c r="O427" i="1" s="1"/>
  <c r="L427" i="1"/>
  <c r="M427" i="1" s="1"/>
  <c r="J427" i="1"/>
  <c r="K427" i="1" s="1"/>
  <c r="I427" i="1"/>
  <c r="N371" i="1"/>
  <c r="O371" i="1" s="1"/>
  <c r="L371" i="1"/>
  <c r="M371" i="1" s="1"/>
  <c r="V371" i="1"/>
  <c r="W371" i="1" s="1"/>
  <c r="T371" i="1"/>
  <c r="U371" i="1" s="1"/>
  <c r="R371" i="1"/>
  <c r="S371" i="1" s="1"/>
  <c r="P371" i="1"/>
  <c r="Q371" i="1" s="1"/>
  <c r="I222" i="1"/>
  <c r="P222" i="1"/>
  <c r="R222" i="1"/>
  <c r="J222" i="1"/>
  <c r="N222" i="1"/>
  <c r="T222" i="1"/>
  <c r="L222" i="1"/>
  <c r="G14" i="1"/>
  <c r="U14" i="1" l="1"/>
  <c r="S14" i="1"/>
  <c r="Q14" i="1"/>
  <c r="O14" i="1"/>
  <c r="M14" i="1"/>
  <c r="K14" i="1"/>
  <c r="I14" i="1"/>
  <c r="T376" i="1" l="1"/>
  <c r="U376" i="1" s="1"/>
  <c r="R376" i="1"/>
  <c r="S376" i="1" s="1"/>
  <c r="P376" i="1"/>
  <c r="Q376" i="1" s="1"/>
  <c r="N376" i="1"/>
  <c r="O376" i="1" s="1"/>
  <c r="L376" i="1"/>
  <c r="M376" i="1" s="1"/>
  <c r="V376" i="1"/>
  <c r="W376" i="1" s="1"/>
  <c r="G29" i="1"/>
  <c r="F583" i="1"/>
  <c r="F530" i="1"/>
  <c r="F519" i="1"/>
  <c r="F518" i="1"/>
  <c r="L518" i="1" l="1"/>
  <c r="M518" i="1" s="1"/>
  <c r="J518" i="1"/>
  <c r="K518" i="1" s="1"/>
  <c r="H518" i="1"/>
  <c r="I518" i="1" s="1"/>
  <c r="V518" i="1"/>
  <c r="W518" i="1" s="1"/>
  <c r="R518" i="1"/>
  <c r="S518" i="1" s="1"/>
  <c r="P518" i="1"/>
  <c r="Q518" i="1" s="1"/>
  <c r="T518" i="1"/>
  <c r="U518" i="1" s="1"/>
  <c r="N518" i="1"/>
  <c r="O518" i="1" s="1"/>
  <c r="L519" i="1"/>
  <c r="M519" i="1" s="1"/>
  <c r="H519" i="1"/>
  <c r="I519" i="1" s="1"/>
  <c r="J519" i="1"/>
  <c r="K519" i="1" s="1"/>
  <c r="T583" i="1"/>
  <c r="U583" i="1" s="1"/>
  <c r="V583" i="1"/>
  <c r="W583" i="1" s="1"/>
  <c r="H583" i="1"/>
  <c r="I583" i="1" s="1"/>
  <c r="J583" i="1"/>
  <c r="K583" i="1" s="1"/>
  <c r="L583" i="1"/>
  <c r="M583" i="1" s="1"/>
  <c r="N583" i="1"/>
  <c r="O583" i="1" s="1"/>
  <c r="P583" i="1"/>
  <c r="Q583" i="1" s="1"/>
  <c r="R583" i="1"/>
  <c r="S583" i="1" s="1"/>
  <c r="R528" i="1"/>
  <c r="S528" i="1" s="1"/>
  <c r="P528" i="1"/>
  <c r="Q528" i="1" s="1"/>
  <c r="N528" i="1"/>
  <c r="O528" i="1" s="1"/>
  <c r="L528" i="1"/>
  <c r="M528" i="1" s="1"/>
  <c r="J528" i="1"/>
  <c r="K528" i="1" s="1"/>
  <c r="V528" i="1"/>
  <c r="W528" i="1" s="1"/>
  <c r="H528" i="1"/>
  <c r="I528" i="1" s="1"/>
  <c r="T528" i="1"/>
  <c r="U528" i="1" s="1"/>
  <c r="L530" i="1"/>
  <c r="M530" i="1" s="1"/>
  <c r="J530" i="1"/>
  <c r="K530" i="1" s="1"/>
  <c r="H530" i="1"/>
  <c r="I530" i="1" s="1"/>
  <c r="N543" i="1"/>
  <c r="O543" i="1" s="1"/>
  <c r="I543" i="1"/>
  <c r="V519" i="1"/>
  <c r="W519" i="1" s="1"/>
  <c r="T519" i="1"/>
  <c r="U519" i="1" s="1"/>
  <c r="N519" i="1"/>
  <c r="O519" i="1" s="1"/>
  <c r="R519" i="1"/>
  <c r="S519" i="1" s="1"/>
  <c r="P519" i="1"/>
  <c r="Q519" i="1" s="1"/>
  <c r="I524" i="1"/>
  <c r="N524" i="1"/>
  <c r="O524" i="1" s="1"/>
  <c r="R524" i="1"/>
  <c r="S524" i="1" s="1"/>
  <c r="V524" i="1"/>
  <c r="W524" i="1" s="1"/>
  <c r="T524" i="1"/>
  <c r="U524" i="1" s="1"/>
  <c r="P524" i="1"/>
  <c r="Q524" i="1" s="1"/>
  <c r="V530" i="1"/>
  <c r="W530" i="1" s="1"/>
  <c r="T530" i="1"/>
  <c r="U530" i="1" s="1"/>
  <c r="R530" i="1"/>
  <c r="S530" i="1" s="1"/>
  <c r="N530" i="1"/>
  <c r="O530" i="1" s="1"/>
  <c r="P530" i="1"/>
  <c r="Q530" i="1" s="1"/>
  <c r="G514" i="1"/>
  <c r="F466" i="1"/>
  <c r="F417" i="1"/>
  <c r="P417" i="1" l="1"/>
  <c r="Q417" i="1" s="1"/>
  <c r="N417" i="1"/>
  <c r="O417" i="1" s="1"/>
  <c r="L417" i="1"/>
  <c r="M417" i="1" s="1"/>
  <c r="J417" i="1"/>
  <c r="K417" i="1" s="1"/>
  <c r="H417" i="1"/>
  <c r="I417" i="1" s="1"/>
  <c r="V417" i="1"/>
  <c r="W417" i="1" s="1"/>
  <c r="T417" i="1"/>
  <c r="U417" i="1" s="1"/>
  <c r="R417" i="1"/>
  <c r="S417" i="1" s="1"/>
  <c r="T466" i="1"/>
  <c r="U466" i="1" s="1"/>
  <c r="R466" i="1"/>
  <c r="S466" i="1" s="1"/>
  <c r="P466" i="1"/>
  <c r="Q466" i="1" s="1"/>
  <c r="J466" i="1"/>
  <c r="K466" i="1" s="1"/>
  <c r="N466" i="1"/>
  <c r="O466" i="1" s="1"/>
  <c r="V466" i="1"/>
  <c r="W466" i="1" s="1"/>
  <c r="L466" i="1"/>
  <c r="M466" i="1" s="1"/>
  <c r="F392" i="1"/>
  <c r="F365" i="1"/>
  <c r="F344" i="1"/>
  <c r="F343" i="1"/>
  <c r="F341" i="1"/>
  <c r="F339" i="1"/>
  <c r="F337" i="1"/>
  <c r="F277" i="1"/>
  <c r="F275" i="1"/>
  <c r="F273" i="1"/>
  <c r="F231" i="1"/>
  <c r="F226" i="1"/>
  <c r="F225" i="1"/>
  <c r="F145" i="1"/>
  <c r="F96" i="1"/>
  <c r="N102" i="1" l="1"/>
  <c r="H102" i="1"/>
  <c r="N104" i="1"/>
  <c r="H104" i="1"/>
  <c r="I104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O102" i="1"/>
  <c r="L102" i="1"/>
  <c r="M102" i="1" s="1"/>
  <c r="J102" i="1"/>
  <c r="K102" i="1" s="1"/>
  <c r="I102" i="1"/>
  <c r="P102" i="1"/>
  <c r="Q102" i="1" s="1"/>
  <c r="V102" i="1"/>
  <c r="W102" i="1" s="1"/>
  <c r="T102" i="1"/>
  <c r="U102" i="1" s="1"/>
  <c r="R102" i="1"/>
  <c r="S102" i="1" s="1"/>
  <c r="T99" i="1"/>
  <c r="U99" i="1" s="1"/>
  <c r="R99" i="1"/>
  <c r="S99" i="1" s="1"/>
  <c r="P99" i="1"/>
  <c r="Q99" i="1" s="1"/>
  <c r="O99" i="1"/>
  <c r="L99" i="1"/>
  <c r="M99" i="1" s="1"/>
  <c r="J99" i="1"/>
  <c r="K99" i="1" s="1"/>
  <c r="I99" i="1"/>
  <c r="V99" i="1"/>
  <c r="W99" i="1" s="1"/>
  <c r="T100" i="1"/>
  <c r="U100" i="1" s="1"/>
  <c r="R100" i="1"/>
  <c r="S100" i="1" s="1"/>
  <c r="P100" i="1"/>
  <c r="Q100" i="1" s="1"/>
  <c r="L100" i="1"/>
  <c r="M100" i="1" s="1"/>
  <c r="O100" i="1"/>
  <c r="I100" i="1"/>
  <c r="J100" i="1"/>
  <c r="K100" i="1" s="1"/>
  <c r="V100" i="1"/>
  <c r="W100" i="1" s="1"/>
  <c r="O104" i="1"/>
  <c r="L104" i="1"/>
  <c r="M104" i="1" s="1"/>
  <c r="J104" i="1"/>
  <c r="K104" i="1" s="1"/>
  <c r="V104" i="1"/>
  <c r="W104" i="1" s="1"/>
  <c r="T104" i="1"/>
  <c r="U104" i="1" s="1"/>
  <c r="R104" i="1"/>
  <c r="S104" i="1" s="1"/>
  <c r="P104" i="1"/>
  <c r="Q104" i="1" s="1"/>
  <c r="J155" i="1"/>
  <c r="V155" i="1"/>
  <c r="R155" i="1"/>
  <c r="T155" i="1"/>
  <c r="P155" i="1"/>
  <c r="N155" i="1"/>
  <c r="L155" i="1"/>
  <c r="H155" i="1"/>
  <c r="I313" i="1"/>
  <c r="V313" i="1"/>
  <c r="W313" i="1" s="1"/>
  <c r="T313" i="1"/>
  <c r="U313" i="1" s="1"/>
  <c r="J313" i="1"/>
  <c r="K313" i="1" s="1"/>
  <c r="R313" i="1"/>
  <c r="S313" i="1" s="1"/>
  <c r="P313" i="1"/>
  <c r="Q313" i="1" s="1"/>
  <c r="N313" i="1"/>
  <c r="O313" i="1" s="1"/>
  <c r="L313" i="1"/>
  <c r="M313" i="1" s="1"/>
  <c r="V225" i="1"/>
  <c r="W225" i="1" s="1"/>
  <c r="T225" i="1"/>
  <c r="U225" i="1" s="1"/>
  <c r="R225" i="1"/>
  <c r="S225" i="1" s="1"/>
  <c r="P225" i="1"/>
  <c r="Q225" i="1" s="1"/>
  <c r="J225" i="1"/>
  <c r="K225" i="1" s="1"/>
  <c r="N225" i="1"/>
  <c r="O225" i="1" s="1"/>
  <c r="L225" i="1"/>
  <c r="M225" i="1" s="1"/>
  <c r="N226" i="1"/>
  <c r="O226" i="1" s="1"/>
  <c r="L226" i="1"/>
  <c r="M226" i="1" s="1"/>
  <c r="J226" i="1"/>
  <c r="K226" i="1" s="1"/>
  <c r="P226" i="1"/>
  <c r="Q226" i="1" s="1"/>
  <c r="V226" i="1"/>
  <c r="W226" i="1" s="1"/>
  <c r="T226" i="1"/>
  <c r="U226" i="1" s="1"/>
  <c r="R226" i="1"/>
  <c r="S226" i="1" s="1"/>
  <c r="J273" i="1"/>
  <c r="K273" i="1" s="1"/>
  <c r="H273" i="1"/>
  <c r="I273" i="1" s="1"/>
  <c r="L273" i="1"/>
  <c r="M273" i="1" s="1"/>
  <c r="V273" i="1"/>
  <c r="W273" i="1" s="1"/>
  <c r="T273" i="1"/>
  <c r="U273" i="1" s="1"/>
  <c r="R273" i="1"/>
  <c r="S273" i="1" s="1"/>
  <c r="P273" i="1"/>
  <c r="Q273" i="1" s="1"/>
  <c r="N273" i="1"/>
  <c r="O273" i="1" s="1"/>
  <c r="R227" i="1"/>
  <c r="S227" i="1" s="1"/>
  <c r="P227" i="1"/>
  <c r="Q227" i="1" s="1"/>
  <c r="N227" i="1"/>
  <c r="O227" i="1" s="1"/>
  <c r="L227" i="1"/>
  <c r="M227" i="1" s="1"/>
  <c r="J227" i="1"/>
  <c r="K227" i="1" s="1"/>
  <c r="V227" i="1"/>
  <c r="W227" i="1" s="1"/>
  <c r="T227" i="1"/>
  <c r="U227" i="1" s="1"/>
  <c r="N231" i="1"/>
  <c r="O231" i="1" s="1"/>
  <c r="L231" i="1"/>
  <c r="M231" i="1" s="1"/>
  <c r="J231" i="1"/>
  <c r="K231" i="1" s="1"/>
  <c r="P231" i="1"/>
  <c r="Q231" i="1" s="1"/>
  <c r="V231" i="1"/>
  <c r="W231" i="1" s="1"/>
  <c r="T231" i="1"/>
  <c r="U231" i="1" s="1"/>
  <c r="R231" i="1"/>
  <c r="S231" i="1" s="1"/>
  <c r="P275" i="1"/>
  <c r="Q275" i="1" s="1"/>
  <c r="R275" i="1"/>
  <c r="S275" i="1" s="1"/>
  <c r="N275" i="1"/>
  <c r="O275" i="1" s="1"/>
  <c r="L275" i="1"/>
  <c r="M275" i="1" s="1"/>
  <c r="J275" i="1"/>
  <c r="K275" i="1" s="1"/>
  <c r="H275" i="1"/>
  <c r="I275" i="1" s="1"/>
  <c r="V275" i="1"/>
  <c r="W275" i="1" s="1"/>
  <c r="T275" i="1"/>
  <c r="U275" i="1" s="1"/>
  <c r="H277" i="1"/>
  <c r="I277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4" i="1"/>
  <c r="W154" i="1" s="1"/>
  <c r="R194" i="1"/>
  <c r="S194" i="1" s="1"/>
  <c r="P194" i="1"/>
  <c r="Q194" i="1" s="1"/>
  <c r="N194" i="1"/>
  <c r="O194" i="1" s="1"/>
  <c r="L194" i="1"/>
  <c r="M194" i="1" s="1"/>
  <c r="T194" i="1"/>
  <c r="U194" i="1" s="1"/>
  <c r="V194" i="1"/>
  <c r="W194" i="1" s="1"/>
  <c r="T276" i="1"/>
  <c r="U276" i="1" s="1"/>
  <c r="R276" i="1"/>
  <c r="S276" i="1" s="1"/>
  <c r="P276" i="1"/>
  <c r="Q276" i="1" s="1"/>
  <c r="N276" i="1"/>
  <c r="O276" i="1" s="1"/>
  <c r="L276" i="1"/>
  <c r="M276" i="1" s="1"/>
  <c r="J276" i="1"/>
  <c r="K276" i="1" s="1"/>
  <c r="H276" i="1"/>
  <c r="I276" i="1" s="1"/>
  <c r="V276" i="1"/>
  <c r="W276" i="1" s="1"/>
  <c r="N337" i="1"/>
  <c r="O337" i="1" s="1"/>
  <c r="L337" i="1"/>
  <c r="M337" i="1" s="1"/>
  <c r="L392" i="1"/>
  <c r="M392" i="1" s="1"/>
  <c r="N392" i="1"/>
  <c r="O392" i="1" s="1"/>
  <c r="P392" i="1"/>
  <c r="Q392" i="1" s="1"/>
  <c r="R392" i="1"/>
  <c r="S392" i="1" s="1"/>
  <c r="T392" i="1"/>
  <c r="U392" i="1" s="1"/>
  <c r="V392" i="1"/>
  <c r="W392" i="1" s="1"/>
  <c r="T339" i="1"/>
  <c r="U339" i="1" s="1"/>
  <c r="R339" i="1"/>
  <c r="S339" i="1" s="1"/>
  <c r="P339" i="1"/>
  <c r="Q339" i="1" s="1"/>
  <c r="N339" i="1"/>
  <c r="O339" i="1" s="1"/>
  <c r="L339" i="1"/>
  <c r="M339" i="1" s="1"/>
  <c r="V339" i="1"/>
  <c r="W339" i="1" s="1"/>
  <c r="N341" i="1"/>
  <c r="O341" i="1" s="1"/>
  <c r="L341" i="1"/>
  <c r="M341" i="1" s="1"/>
  <c r="V341" i="1"/>
  <c r="W341" i="1" s="1"/>
  <c r="T341" i="1"/>
  <c r="U341" i="1" s="1"/>
  <c r="R341" i="1"/>
  <c r="S341" i="1" s="1"/>
  <c r="P341" i="1"/>
  <c r="Q341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R365" i="1"/>
  <c r="S365" i="1" s="1"/>
  <c r="P365" i="1"/>
  <c r="Q365" i="1" s="1"/>
  <c r="N365" i="1"/>
  <c r="O365" i="1" s="1"/>
  <c r="L365" i="1"/>
  <c r="M365" i="1" s="1"/>
  <c r="V365" i="1"/>
  <c r="W365" i="1" s="1"/>
  <c r="T365" i="1"/>
  <c r="U365" i="1" s="1"/>
  <c r="P344" i="1"/>
  <c r="Q344" i="1" s="1"/>
  <c r="N344" i="1"/>
  <c r="O344" i="1" s="1"/>
  <c r="L344" i="1"/>
  <c r="M344" i="1" s="1"/>
  <c r="L145" i="1"/>
  <c r="M145" i="1" s="1"/>
  <c r="J145" i="1"/>
  <c r="K145" i="1" s="1"/>
  <c r="H145" i="1"/>
  <c r="I145" i="1" s="1"/>
  <c r="W326" i="1"/>
  <c r="U326" i="1"/>
  <c r="S326" i="1"/>
  <c r="Q326" i="1"/>
  <c r="O326" i="1"/>
  <c r="M326" i="1"/>
  <c r="N145" i="1"/>
  <c r="O145" i="1" s="1"/>
  <c r="T145" i="1"/>
  <c r="U145" i="1" s="1"/>
  <c r="P145" i="1"/>
  <c r="Q145" i="1" s="1"/>
  <c r="V145" i="1"/>
  <c r="W145" i="1" s="1"/>
  <c r="R145" i="1"/>
  <c r="S145" i="1" s="1"/>
  <c r="G610" i="1" l="1"/>
  <c r="G359" i="1"/>
  <c r="G358" i="1" l="1"/>
  <c r="G429" i="1" l="1"/>
  <c r="G430" i="1"/>
  <c r="G426" i="1"/>
  <c r="G427" i="1"/>
  <c r="G242" i="1"/>
  <c r="J11" i="1" l="1"/>
  <c r="G11" i="1"/>
  <c r="I443" i="1" l="1"/>
  <c r="G247" i="1" l="1"/>
  <c r="G249" i="1" l="1"/>
  <c r="V357" i="1" l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G357" i="1"/>
  <c r="G405" i="1"/>
  <c r="G507" i="1" l="1"/>
  <c r="T690" i="1"/>
  <c r="U690" i="1" s="1"/>
  <c r="R690" i="1"/>
  <c r="S690" i="1" s="1"/>
  <c r="P690" i="1"/>
  <c r="Q690" i="1" s="1"/>
  <c r="N690" i="1"/>
  <c r="O690" i="1" s="1"/>
  <c r="L690" i="1"/>
  <c r="M690" i="1" s="1"/>
  <c r="J690" i="1"/>
  <c r="K690" i="1" s="1"/>
  <c r="T686" i="1"/>
  <c r="R686" i="1"/>
  <c r="P686" i="1"/>
  <c r="N686" i="1"/>
  <c r="L686" i="1"/>
  <c r="J686" i="1"/>
  <c r="W222" i="1" l="1"/>
  <c r="U222" i="1"/>
  <c r="S222" i="1"/>
  <c r="Q222" i="1"/>
  <c r="O222" i="1"/>
  <c r="M222" i="1"/>
  <c r="K222" i="1"/>
  <c r="U185" i="1"/>
  <c r="S185" i="1"/>
  <c r="Q185" i="1"/>
  <c r="O185" i="1"/>
  <c r="M185" i="1"/>
  <c r="J10" i="1"/>
  <c r="W29" i="1"/>
  <c r="U29" i="1"/>
  <c r="S29" i="1"/>
  <c r="Q29" i="1"/>
  <c r="O29" i="1"/>
  <c r="M29" i="1"/>
  <c r="W60" i="1"/>
  <c r="U60" i="1"/>
  <c r="S60" i="1"/>
  <c r="Q60" i="1"/>
  <c r="O60" i="1"/>
  <c r="I69" i="1"/>
  <c r="W282" i="1"/>
  <c r="U282" i="1"/>
  <c r="S282" i="1"/>
  <c r="Q282" i="1"/>
  <c r="O282" i="1"/>
  <c r="V375" i="1" l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G433" i="1"/>
  <c r="L693" i="1" l="1"/>
  <c r="M693" i="1" s="1"/>
  <c r="J693" i="1"/>
  <c r="K693" i="1" s="1"/>
  <c r="T693" i="1"/>
  <c r="U693" i="1" s="1"/>
  <c r="R693" i="1"/>
  <c r="S693" i="1" s="1"/>
  <c r="P693" i="1"/>
  <c r="Q693" i="1" s="1"/>
  <c r="N693" i="1"/>
  <c r="O693" i="1" s="1"/>
  <c r="R694" i="1"/>
  <c r="S694" i="1" s="1"/>
  <c r="P694" i="1"/>
  <c r="Q694" i="1" s="1"/>
  <c r="N694" i="1"/>
  <c r="O694" i="1" s="1"/>
  <c r="L694" i="1"/>
  <c r="M694" i="1" s="1"/>
  <c r="J694" i="1"/>
  <c r="K694" i="1" s="1"/>
  <c r="T694" i="1"/>
  <c r="U694" i="1" s="1"/>
  <c r="P691" i="1"/>
  <c r="Q691" i="1" s="1"/>
  <c r="N691" i="1"/>
  <c r="O691" i="1" s="1"/>
  <c r="L691" i="1"/>
  <c r="M691" i="1" s="1"/>
  <c r="J691" i="1"/>
  <c r="K691" i="1" s="1"/>
  <c r="R691" i="1"/>
  <c r="S691" i="1" s="1"/>
  <c r="T691" i="1"/>
  <c r="U691" i="1" s="1"/>
  <c r="V584" i="1" l="1"/>
  <c r="W584" i="1" s="1"/>
  <c r="H584" i="1"/>
  <c r="I584" i="1" s="1"/>
  <c r="J584" i="1"/>
  <c r="K584" i="1" s="1"/>
  <c r="L584" i="1"/>
  <c r="M584" i="1" s="1"/>
  <c r="P584" i="1"/>
  <c r="Q584" i="1" s="1"/>
  <c r="R584" i="1"/>
  <c r="S584" i="1" s="1"/>
  <c r="N584" i="1"/>
  <c r="O584" i="1" s="1"/>
  <c r="T584" i="1"/>
  <c r="U584" i="1" s="1"/>
  <c r="U443" i="1"/>
  <c r="S443" i="1"/>
  <c r="Q443" i="1"/>
  <c r="O443" i="1"/>
  <c r="M443" i="1"/>
  <c r="K443" i="1"/>
  <c r="G443" i="1"/>
  <c r="G516" i="1" l="1"/>
  <c r="G515" i="1"/>
  <c r="U140" i="1"/>
  <c r="W140" i="1"/>
  <c r="S140" i="1"/>
  <c r="Q140" i="1"/>
  <c r="O140" i="1"/>
  <c r="M140" i="1"/>
  <c r="K140" i="1"/>
  <c r="W139" i="1"/>
  <c r="U139" i="1"/>
  <c r="S139" i="1"/>
  <c r="Q139" i="1"/>
  <c r="O139" i="1"/>
  <c r="M139" i="1"/>
  <c r="K139" i="1"/>
  <c r="G408" i="1" l="1"/>
  <c r="G529" i="1" l="1"/>
  <c r="U484" i="1" l="1"/>
  <c r="S484" i="1"/>
  <c r="Q484" i="1"/>
  <c r="M484" i="1"/>
  <c r="K498" i="1"/>
  <c r="I498" i="1"/>
  <c r="K497" i="1"/>
  <c r="I497" i="1"/>
  <c r="G491" i="1" l="1"/>
  <c r="Q491" i="1" l="1"/>
  <c r="O491" i="1"/>
  <c r="M491" i="1"/>
  <c r="W491" i="1"/>
  <c r="K491" i="1"/>
  <c r="U491" i="1"/>
  <c r="S491" i="1"/>
  <c r="I491" i="1"/>
  <c r="G421" i="1" l="1"/>
  <c r="F16" i="1" l="1"/>
  <c r="H16" i="1" s="1"/>
  <c r="F17" i="1"/>
  <c r="H17" i="1" s="1"/>
  <c r="N161" i="1" l="1"/>
  <c r="O161" i="1" s="1"/>
  <c r="J161" i="1"/>
  <c r="K161" i="1" s="1"/>
  <c r="L161" i="1"/>
  <c r="M161" i="1" s="1"/>
  <c r="V193" i="1"/>
  <c r="W193" i="1" s="1"/>
  <c r="T193" i="1"/>
  <c r="U193" i="1" s="1"/>
  <c r="R193" i="1"/>
  <c r="S193" i="1" s="1"/>
  <c r="P193" i="1"/>
  <c r="Q193" i="1" s="1"/>
  <c r="N193" i="1"/>
  <c r="O193" i="1" s="1"/>
  <c r="L193" i="1"/>
  <c r="M193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T232" i="1"/>
  <c r="U232" i="1" s="1"/>
  <c r="R232" i="1"/>
  <c r="S232" i="1" s="1"/>
  <c r="P232" i="1"/>
  <c r="Q232" i="1" s="1"/>
  <c r="V232" i="1"/>
  <c r="W232" i="1" s="1"/>
  <c r="N232" i="1"/>
  <c r="O232" i="1" s="1"/>
  <c r="H232" i="1"/>
  <c r="I232" i="1" s="1"/>
  <c r="L232" i="1"/>
  <c r="M232" i="1" s="1"/>
  <c r="J232" i="1"/>
  <c r="K232" i="1" s="1"/>
  <c r="I155" i="1"/>
  <c r="W155" i="1"/>
  <c r="U155" i="1"/>
  <c r="S155" i="1"/>
  <c r="Q155" i="1"/>
  <c r="O155" i="1"/>
  <c r="M155" i="1"/>
  <c r="K155" i="1"/>
  <c r="G586" i="1"/>
  <c r="G414" i="1" l="1"/>
  <c r="V517" i="1" l="1"/>
  <c r="W517" i="1" s="1"/>
  <c r="I517" i="1"/>
  <c r="T517" i="1"/>
  <c r="U517" i="1" s="1"/>
  <c r="P517" i="1"/>
  <c r="Q517" i="1" s="1"/>
  <c r="R517" i="1"/>
  <c r="S517" i="1" s="1"/>
  <c r="N517" i="1"/>
  <c r="O517" i="1" s="1"/>
  <c r="G517" i="1"/>
  <c r="G383" i="1" l="1"/>
  <c r="F540" i="1" l="1"/>
  <c r="P540" i="1" l="1"/>
  <c r="Q540" i="1" s="1"/>
  <c r="N540" i="1"/>
  <c r="O540" i="1" s="1"/>
  <c r="L540" i="1"/>
  <c r="M540" i="1" s="1"/>
  <c r="J540" i="1"/>
  <c r="K540" i="1" s="1"/>
  <c r="H540" i="1"/>
  <c r="I540" i="1" s="1"/>
  <c r="V540" i="1"/>
  <c r="W540" i="1" s="1"/>
  <c r="T540" i="1"/>
  <c r="U540" i="1" s="1"/>
  <c r="R540" i="1"/>
  <c r="S540" i="1" s="1"/>
  <c r="G540" i="1"/>
  <c r="G385" i="1" l="1"/>
  <c r="G381" i="1" l="1"/>
  <c r="G678" i="1" l="1"/>
  <c r="G567" i="1"/>
  <c r="G605" i="1"/>
  <c r="G100" i="1"/>
  <c r="G456" i="1" l="1"/>
  <c r="G677" i="1"/>
  <c r="F457" i="1"/>
  <c r="H459" i="1" l="1"/>
  <c r="I459" i="1" s="1"/>
  <c r="R459" i="1"/>
  <c r="S459" i="1" s="1"/>
  <c r="V459" i="1"/>
  <c r="W459" i="1" s="1"/>
  <c r="T459" i="1"/>
  <c r="U459" i="1" s="1"/>
  <c r="N459" i="1"/>
  <c r="O459" i="1" s="1"/>
  <c r="L459" i="1"/>
  <c r="M459" i="1" s="1"/>
  <c r="J459" i="1"/>
  <c r="K459" i="1" s="1"/>
  <c r="P459" i="1"/>
  <c r="Q459" i="1" s="1"/>
  <c r="H458" i="1"/>
  <c r="I458" i="1" s="1"/>
  <c r="R458" i="1"/>
  <c r="S458" i="1" s="1"/>
  <c r="V458" i="1"/>
  <c r="W458" i="1" s="1"/>
  <c r="T458" i="1"/>
  <c r="U458" i="1" s="1"/>
  <c r="N458" i="1"/>
  <c r="O458" i="1" s="1"/>
  <c r="L458" i="1"/>
  <c r="M458" i="1" s="1"/>
  <c r="J458" i="1"/>
  <c r="K458" i="1" s="1"/>
  <c r="P458" i="1"/>
  <c r="Q458" i="1" s="1"/>
  <c r="R457" i="1"/>
  <c r="S457" i="1" s="1"/>
  <c r="L457" i="1"/>
  <c r="M457" i="1" s="1"/>
  <c r="P457" i="1"/>
  <c r="Q457" i="1" s="1"/>
  <c r="N457" i="1"/>
  <c r="O457" i="1" s="1"/>
  <c r="H457" i="1"/>
  <c r="I457" i="1" s="1"/>
  <c r="V457" i="1"/>
  <c r="W457" i="1" s="1"/>
  <c r="J457" i="1"/>
  <c r="K457" i="1" s="1"/>
  <c r="T457" i="1"/>
  <c r="U457" i="1" s="1"/>
  <c r="G457" i="1"/>
  <c r="G458" i="1"/>
  <c r="G459" i="1"/>
  <c r="G382" i="1" l="1"/>
  <c r="W146" i="1" l="1"/>
  <c r="U146" i="1"/>
  <c r="S146" i="1"/>
  <c r="Q146" i="1"/>
  <c r="O146" i="1"/>
  <c r="M146" i="1"/>
  <c r="K146" i="1"/>
  <c r="W473" i="1"/>
  <c r="W469" i="1"/>
  <c r="W468" i="1"/>
  <c r="U473" i="1"/>
  <c r="U469" i="1"/>
  <c r="U468" i="1"/>
  <c r="S473" i="1"/>
  <c r="S469" i="1"/>
  <c r="S468" i="1"/>
  <c r="Q473" i="1"/>
  <c r="Q469" i="1"/>
  <c r="Q468" i="1"/>
  <c r="O473" i="1"/>
  <c r="O469" i="1"/>
  <c r="O468" i="1"/>
  <c r="G471" i="1"/>
  <c r="G472" i="1"/>
  <c r="G473" i="1"/>
  <c r="G470" i="1"/>
  <c r="G469" i="1"/>
  <c r="G468" i="1"/>
  <c r="G349" i="1" l="1"/>
  <c r="F506" i="1" l="1"/>
  <c r="N506" i="1" l="1"/>
  <c r="O506" i="1" s="1"/>
  <c r="L506" i="1"/>
  <c r="M506" i="1" s="1"/>
  <c r="J506" i="1"/>
  <c r="K506" i="1" s="1"/>
  <c r="H506" i="1"/>
  <c r="I506" i="1" s="1"/>
  <c r="T506" i="1"/>
  <c r="U506" i="1" s="1"/>
  <c r="R506" i="1"/>
  <c r="S506" i="1" s="1"/>
  <c r="P506" i="1"/>
  <c r="Q506" i="1" s="1"/>
  <c r="V506" i="1"/>
  <c r="W506" i="1" s="1"/>
  <c r="M126" i="1"/>
  <c r="F541" i="1" l="1"/>
  <c r="L541" i="1" l="1"/>
  <c r="M541" i="1" s="1"/>
  <c r="J541" i="1"/>
  <c r="K541" i="1" s="1"/>
  <c r="H541" i="1"/>
  <c r="I541" i="1" s="1"/>
  <c r="P541" i="1"/>
  <c r="Q541" i="1" s="1"/>
  <c r="N541" i="1"/>
  <c r="O541" i="1" s="1"/>
  <c r="V541" i="1"/>
  <c r="W541" i="1" s="1"/>
  <c r="R541" i="1"/>
  <c r="S541" i="1" s="1"/>
  <c r="T541" i="1"/>
  <c r="U541" i="1" s="1"/>
  <c r="G290" i="1" l="1"/>
  <c r="V533" i="1" l="1"/>
  <c r="W533" i="1" s="1"/>
  <c r="I533" i="1"/>
  <c r="T533" i="1"/>
  <c r="U533" i="1" s="1"/>
  <c r="N533" i="1"/>
  <c r="O533" i="1" s="1"/>
  <c r="R533" i="1"/>
  <c r="S533" i="1" s="1"/>
  <c r="P533" i="1"/>
  <c r="Q533" i="1" s="1"/>
  <c r="T531" i="1"/>
  <c r="U531" i="1" s="1"/>
  <c r="V531" i="1"/>
  <c r="W531" i="1" s="1"/>
  <c r="R531" i="1"/>
  <c r="S531" i="1" s="1"/>
  <c r="N531" i="1"/>
  <c r="O531" i="1" s="1"/>
  <c r="I531" i="1"/>
  <c r="P531" i="1"/>
  <c r="Q531" i="1" s="1"/>
  <c r="G531" i="1"/>
  <c r="G371" i="1"/>
  <c r="F360" i="1" l="1"/>
  <c r="F179" i="1"/>
  <c r="F178" i="1"/>
  <c r="F177" i="1"/>
  <c r="F176" i="1"/>
  <c r="H176" i="1" s="1"/>
  <c r="F175" i="1"/>
  <c r="F174" i="1"/>
  <c r="P174" i="1" l="1"/>
  <c r="Q174" i="1" s="1"/>
  <c r="N174" i="1"/>
  <c r="O174" i="1" s="1"/>
  <c r="L174" i="1"/>
  <c r="M174" i="1" s="1"/>
  <c r="J174" i="1"/>
  <c r="K174" i="1" s="1"/>
  <c r="T174" i="1"/>
  <c r="U174" i="1" s="1"/>
  <c r="R174" i="1"/>
  <c r="S174" i="1" s="1"/>
  <c r="H174" i="1"/>
  <c r="I174" i="1" s="1"/>
  <c r="V174" i="1"/>
  <c r="W174" i="1" s="1"/>
  <c r="R177" i="1"/>
  <c r="S177" i="1" s="1"/>
  <c r="P177" i="1"/>
  <c r="Q177" i="1" s="1"/>
  <c r="N177" i="1"/>
  <c r="O177" i="1" s="1"/>
  <c r="L177" i="1"/>
  <c r="M177" i="1" s="1"/>
  <c r="J177" i="1"/>
  <c r="K177" i="1" s="1"/>
  <c r="T177" i="1"/>
  <c r="U177" i="1" s="1"/>
  <c r="V175" i="1"/>
  <c r="W175" i="1" s="1"/>
  <c r="R175" i="1"/>
  <c r="S175" i="1" s="1"/>
  <c r="T175" i="1"/>
  <c r="U175" i="1" s="1"/>
  <c r="P175" i="1"/>
  <c r="Q175" i="1" s="1"/>
  <c r="N175" i="1"/>
  <c r="O175" i="1" s="1"/>
  <c r="L175" i="1"/>
  <c r="M175" i="1" s="1"/>
  <c r="J175" i="1"/>
  <c r="K175" i="1" s="1"/>
  <c r="H175" i="1"/>
  <c r="I175" i="1" s="1"/>
  <c r="N178" i="1"/>
  <c r="O178" i="1" s="1"/>
  <c r="L178" i="1"/>
  <c r="M178" i="1" s="1"/>
  <c r="J178" i="1"/>
  <c r="K178" i="1" s="1"/>
  <c r="V178" i="1"/>
  <c r="W178" i="1" s="1"/>
  <c r="T178" i="1"/>
  <c r="U178" i="1" s="1"/>
  <c r="P178" i="1"/>
  <c r="Q178" i="1" s="1"/>
  <c r="R178" i="1"/>
  <c r="S178" i="1" s="1"/>
  <c r="H178" i="1"/>
  <c r="I178" i="1" s="1"/>
  <c r="R179" i="1"/>
  <c r="S179" i="1" s="1"/>
  <c r="N179" i="1"/>
  <c r="O179" i="1" s="1"/>
  <c r="L179" i="1"/>
  <c r="M179" i="1" s="1"/>
  <c r="J179" i="1"/>
  <c r="K179" i="1" s="1"/>
  <c r="H179" i="1"/>
  <c r="I179" i="1" s="1"/>
  <c r="T179" i="1"/>
  <c r="U179" i="1" s="1"/>
  <c r="P179" i="1"/>
  <c r="Q179" i="1" s="1"/>
  <c r="V179" i="1"/>
  <c r="W179" i="1" s="1"/>
  <c r="T176" i="1"/>
  <c r="U176" i="1" s="1"/>
  <c r="R176" i="1"/>
  <c r="S176" i="1" s="1"/>
  <c r="P176" i="1"/>
  <c r="Q176" i="1" s="1"/>
  <c r="N176" i="1"/>
  <c r="O176" i="1" s="1"/>
  <c r="L176" i="1"/>
  <c r="M176" i="1" s="1"/>
  <c r="J176" i="1"/>
  <c r="K176" i="1" s="1"/>
  <c r="I176" i="1"/>
  <c r="R360" i="1"/>
  <c r="S360" i="1" s="1"/>
  <c r="P360" i="1"/>
  <c r="Q360" i="1" s="1"/>
  <c r="N360" i="1"/>
  <c r="O360" i="1" s="1"/>
  <c r="L360" i="1"/>
  <c r="M360" i="1" s="1"/>
  <c r="T360" i="1"/>
  <c r="U360" i="1" s="1"/>
  <c r="T129" i="1" l="1"/>
  <c r="U129" i="1" s="1"/>
  <c r="R129" i="1"/>
  <c r="S129" i="1" s="1"/>
  <c r="Q129" i="1"/>
  <c r="V129" i="1"/>
  <c r="W129" i="1" s="1"/>
  <c r="O129" i="1"/>
  <c r="L129" i="1"/>
  <c r="M129" i="1" s="1"/>
  <c r="J129" i="1"/>
  <c r="K129" i="1" s="1"/>
  <c r="T692" i="1"/>
  <c r="U692" i="1" s="1"/>
  <c r="R692" i="1"/>
  <c r="S692" i="1" s="1"/>
  <c r="P692" i="1"/>
  <c r="Q692" i="1" s="1"/>
  <c r="N692" i="1"/>
  <c r="O692" i="1" s="1"/>
  <c r="L692" i="1"/>
  <c r="M692" i="1" s="1"/>
  <c r="J692" i="1"/>
  <c r="K692" i="1" s="1"/>
  <c r="G404" i="1"/>
  <c r="O705" i="1" l="1"/>
  <c r="V441" i="1" l="1"/>
  <c r="W441" i="1" s="1"/>
  <c r="T441" i="1"/>
  <c r="U441" i="1" s="1"/>
  <c r="R441" i="1"/>
  <c r="S441" i="1" s="1"/>
  <c r="P441" i="1"/>
  <c r="Q441" i="1" s="1"/>
  <c r="N441" i="1"/>
  <c r="O441" i="1" s="1"/>
  <c r="L441" i="1"/>
  <c r="M441" i="1" s="1"/>
  <c r="J441" i="1"/>
  <c r="K441" i="1" s="1"/>
  <c r="G322" i="1" l="1"/>
  <c r="F354" i="1" l="1"/>
  <c r="T354" i="1" l="1"/>
  <c r="U354" i="1" s="1"/>
  <c r="R354" i="1"/>
  <c r="S354" i="1" s="1"/>
  <c r="P354" i="1"/>
  <c r="Q354" i="1" s="1"/>
  <c r="N354" i="1"/>
  <c r="O354" i="1" s="1"/>
  <c r="L354" i="1"/>
  <c r="M354" i="1" s="1"/>
  <c r="V354" i="1"/>
  <c r="W354" i="1" s="1"/>
  <c r="G693" i="1"/>
  <c r="G536" i="1" l="1"/>
  <c r="G535" i="1" l="1"/>
  <c r="G524" i="1" l="1"/>
  <c r="G519" i="1"/>
  <c r="G518" i="1" l="1"/>
  <c r="G273" i="1" l="1"/>
  <c r="G270" i="1"/>
  <c r="G255" i="1" l="1"/>
  <c r="G250" i="1"/>
  <c r="G608" i="1" l="1"/>
  <c r="G609" i="1"/>
  <c r="G505" i="1" l="1"/>
  <c r="G207" i="1" l="1"/>
  <c r="G206" i="1" l="1"/>
  <c r="G222" i="1"/>
  <c r="G580" i="1" l="1"/>
  <c r="G579" i="1"/>
  <c r="G370" i="1" l="1"/>
  <c r="G254" i="1" l="1"/>
  <c r="G384" i="1" l="1"/>
  <c r="G178" i="1" l="1"/>
  <c r="G179" i="1"/>
  <c r="G175" i="1" l="1"/>
  <c r="G177" i="1"/>
  <c r="G176" i="1"/>
  <c r="G174" i="1"/>
  <c r="G171" i="1"/>
  <c r="G169" i="1"/>
  <c r="I169" i="1"/>
  <c r="G439" i="1" l="1"/>
  <c r="G310" i="1" l="1"/>
  <c r="W614" i="1" l="1"/>
  <c r="U614" i="1"/>
  <c r="S614" i="1"/>
  <c r="Q614" i="1"/>
  <c r="O614" i="1"/>
  <c r="M614" i="1"/>
  <c r="K614" i="1"/>
  <c r="I614" i="1"/>
  <c r="W545" i="1" l="1"/>
  <c r="U545" i="1"/>
  <c r="S545" i="1"/>
  <c r="Q545" i="1"/>
  <c r="O545" i="1"/>
  <c r="M545" i="1"/>
  <c r="K545" i="1"/>
  <c r="I545" i="1"/>
  <c r="W36" i="1" l="1"/>
  <c r="U36" i="1"/>
  <c r="S36" i="1"/>
  <c r="Q36" i="1"/>
  <c r="O36" i="1"/>
  <c r="G61" i="1"/>
  <c r="U13" i="1"/>
  <c r="S13" i="1"/>
  <c r="Q13" i="1"/>
  <c r="O13" i="1"/>
  <c r="M13" i="1"/>
  <c r="K13" i="1"/>
  <c r="G432" i="1" l="1"/>
  <c r="G278" i="1"/>
  <c r="G272" i="1" l="1"/>
  <c r="G523" i="1" l="1"/>
  <c r="G522" i="1" l="1"/>
  <c r="G189" i="1"/>
  <c r="G188" i="1"/>
  <c r="G185" i="1"/>
  <c r="W180" i="1"/>
  <c r="U180" i="1"/>
  <c r="S180" i="1"/>
  <c r="Q180" i="1"/>
  <c r="O180" i="1"/>
  <c r="K674" i="1"/>
  <c r="G187" i="1" l="1"/>
  <c r="G186" i="1"/>
  <c r="W185" i="1"/>
  <c r="G190" i="1"/>
  <c r="G590" i="1"/>
  <c r="I708" i="1" l="1"/>
  <c r="I707" i="1"/>
  <c r="I705" i="1"/>
  <c r="I706" i="1"/>
  <c r="W705" i="1"/>
  <c r="U705" i="1"/>
  <c r="S705" i="1"/>
  <c r="Q705" i="1"/>
  <c r="M705" i="1"/>
  <c r="K705" i="1"/>
  <c r="W544" i="1" l="1"/>
  <c r="U544" i="1" l="1"/>
  <c r="I544" i="1"/>
  <c r="M544" i="1"/>
  <c r="Q544" i="1"/>
  <c r="K544" i="1"/>
  <c r="O544" i="1"/>
  <c r="S544" i="1"/>
  <c r="G521" i="1" l="1"/>
  <c r="G520" i="1"/>
  <c r="K327" i="1" l="1"/>
  <c r="I504" i="1" l="1"/>
  <c r="G253" i="1" l="1"/>
  <c r="G585" i="1" l="1"/>
  <c r="G600" i="1" l="1"/>
  <c r="G594" i="1"/>
  <c r="G599" i="1"/>
  <c r="G572" i="1" l="1"/>
  <c r="K555" i="1" l="1"/>
  <c r="G565" i="1"/>
  <c r="G577" i="1"/>
  <c r="G566" i="1" l="1"/>
  <c r="G576" i="1"/>
  <c r="G569" i="1"/>
  <c r="I555" i="1"/>
  <c r="G598" i="1"/>
  <c r="G592" i="1"/>
  <c r="G591" i="1"/>
  <c r="G584" i="1"/>
  <c r="G583" i="1"/>
  <c r="G582" i="1"/>
  <c r="G581" i="1"/>
  <c r="G568" i="1"/>
  <c r="G555" i="1"/>
  <c r="G293" i="1" l="1"/>
  <c r="G409" i="1" l="1"/>
  <c r="G292" i="1" l="1"/>
  <c r="G323" i="1"/>
  <c r="G305" i="1"/>
  <c r="G303" i="1"/>
  <c r="G304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26" i="1"/>
  <c r="G229" i="1" l="1"/>
  <c r="G412" i="1" l="1"/>
  <c r="G691" i="1" l="1"/>
  <c r="U686" i="1" l="1"/>
  <c r="K686" i="1"/>
  <c r="S686" i="1"/>
  <c r="Q686" i="1"/>
  <c r="O686" i="1"/>
  <c r="M686" i="1"/>
  <c r="G686" i="1"/>
  <c r="K688" i="1"/>
  <c r="G688" i="1"/>
  <c r="G447" i="1" l="1"/>
  <c r="G446" i="1"/>
  <c r="Q58" i="1" l="1"/>
  <c r="M58" i="1"/>
  <c r="K58" i="1"/>
  <c r="W58" i="1"/>
  <c r="U58" i="1"/>
  <c r="S58" i="1"/>
  <c r="O58" i="1"/>
  <c r="G58" i="1"/>
  <c r="G350" i="1" l="1"/>
  <c r="G373" i="1" l="1"/>
  <c r="G300" i="1"/>
  <c r="G233" i="1" l="1"/>
  <c r="G241" i="1"/>
  <c r="G244" i="1" l="1"/>
  <c r="I701" i="1" l="1"/>
  <c r="K701" i="1"/>
  <c r="W701" i="1"/>
  <c r="U701" i="1"/>
  <c r="S701" i="1"/>
  <c r="Q701" i="1"/>
  <c r="O701" i="1"/>
  <c r="M701" i="1"/>
  <c r="W700" i="1"/>
  <c r="U700" i="1"/>
  <c r="S700" i="1"/>
  <c r="Q700" i="1"/>
  <c r="O700" i="1"/>
  <c r="M700" i="1"/>
  <c r="S706" i="1"/>
  <c r="U706" i="1"/>
  <c r="W706" i="1"/>
  <c r="S707" i="1"/>
  <c r="U707" i="1"/>
  <c r="W707" i="1"/>
  <c r="S708" i="1"/>
  <c r="U708" i="1"/>
  <c r="W708" i="1"/>
  <c r="Q708" i="1"/>
  <c r="O708" i="1"/>
  <c r="M708" i="1"/>
  <c r="K708" i="1"/>
  <c r="M122" i="1" l="1"/>
  <c r="M118" i="1"/>
  <c r="M117" i="1"/>
  <c r="M113" i="1"/>
  <c r="M112" i="1"/>
  <c r="O109" i="1"/>
  <c r="O108" i="1"/>
  <c r="Q75" i="1" l="1"/>
  <c r="Q74" i="1"/>
  <c r="Q72" i="1"/>
  <c r="Q70" i="1"/>
  <c r="Q71" i="1"/>
  <c r="W679" i="1" l="1"/>
  <c r="U679" i="1"/>
  <c r="S679" i="1"/>
  <c r="Q679" i="1"/>
  <c r="O679" i="1"/>
  <c r="M679" i="1"/>
  <c r="W504" i="1"/>
  <c r="U504" i="1"/>
  <c r="S504" i="1"/>
  <c r="Q504" i="1"/>
  <c r="O504" i="1"/>
  <c r="M504" i="1"/>
  <c r="K504" i="1"/>
  <c r="Q463" i="1"/>
  <c r="Q444" i="1"/>
  <c r="Q442" i="1"/>
  <c r="G675" i="1" l="1"/>
  <c r="G674" i="1"/>
  <c r="Q184" i="1" l="1"/>
  <c r="Q122" i="1" l="1"/>
  <c r="Q118" i="1"/>
  <c r="Q117" i="1"/>
  <c r="Q113" i="1"/>
  <c r="Q112" i="1"/>
  <c r="Q109" i="1"/>
  <c r="Q108" i="1"/>
  <c r="Q107" i="1"/>
  <c r="Q106" i="1"/>
  <c r="K54" i="1"/>
  <c r="Q54" i="1"/>
  <c r="Q125" i="1" l="1"/>
  <c r="Q47" i="1" l="1"/>
  <c r="Q41" i="1"/>
  <c r="Q39" i="1"/>
  <c r="Q38" i="1"/>
  <c r="Q35" i="1"/>
  <c r="Q30" i="1"/>
  <c r="G541" i="1" l="1"/>
  <c r="G231" i="1"/>
  <c r="G258" i="1" l="1"/>
  <c r="G217" i="1"/>
  <c r="G454" i="1" l="1"/>
  <c r="G407" i="1" l="1"/>
  <c r="G441" i="1"/>
  <c r="G297" i="1"/>
  <c r="G378" i="1"/>
  <c r="Q142" i="1"/>
  <c r="Q141" i="1"/>
  <c r="W39" i="1"/>
  <c r="G129" i="1" l="1"/>
  <c r="G276" i="1" l="1"/>
  <c r="G194" i="1"/>
  <c r="G406" i="1" l="1"/>
  <c r="O72" i="1" l="1"/>
  <c r="G212" i="1"/>
  <c r="G298" i="1" l="1"/>
  <c r="W70" i="1" l="1"/>
  <c r="U70" i="1"/>
  <c r="S70" i="1"/>
  <c r="O70" i="1"/>
  <c r="G295" i="1"/>
  <c r="G391" i="1" l="1"/>
  <c r="G161" i="1" l="1"/>
  <c r="G354" i="1" l="1"/>
  <c r="G692" i="1"/>
  <c r="G694" i="1"/>
  <c r="G451" i="1" l="1"/>
  <c r="G525" i="1" l="1"/>
  <c r="G40" i="1" l="1"/>
  <c r="U39" i="1"/>
  <c r="S39" i="1"/>
  <c r="O39" i="1"/>
  <c r="G39" i="1"/>
  <c r="I621" i="1" l="1"/>
  <c r="G261" i="1" l="1"/>
  <c r="G269" i="1" l="1"/>
  <c r="G262" i="1"/>
  <c r="G164" i="1" l="1"/>
  <c r="V98" i="1" l="1"/>
  <c r="T98" i="1"/>
  <c r="R98" i="1"/>
  <c r="N98" i="1"/>
  <c r="K98" i="1"/>
  <c r="G420" i="1" l="1"/>
  <c r="G533" i="1" l="1"/>
  <c r="G213" i="1" l="1"/>
  <c r="G492" i="1" l="1"/>
  <c r="G423" i="1"/>
  <c r="I734" i="1" l="1"/>
  <c r="M125" i="1"/>
  <c r="W122" i="1"/>
  <c r="W118" i="1"/>
  <c r="W117" i="1"/>
  <c r="W113" i="1"/>
  <c r="W112" i="1"/>
  <c r="U122" i="1"/>
  <c r="U118" i="1"/>
  <c r="U117" i="1"/>
  <c r="U113" i="1"/>
  <c r="U112" i="1"/>
  <c r="S122" i="1"/>
  <c r="S118" i="1"/>
  <c r="S113" i="1"/>
  <c r="S112" i="1"/>
  <c r="O113" i="1"/>
  <c r="O117" i="1"/>
  <c r="O118" i="1"/>
  <c r="O122" i="1"/>
  <c r="O112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5" i="1" l="1"/>
  <c r="G543" i="1" l="1"/>
  <c r="G542" i="1"/>
  <c r="G528" i="1"/>
  <c r="G530" i="1"/>
  <c r="G539" i="1"/>
  <c r="G538" i="1"/>
  <c r="G484" i="1" l="1"/>
  <c r="G296" i="1" l="1"/>
  <c r="G321" i="1"/>
  <c r="G299" i="1"/>
  <c r="G315" i="1" l="1"/>
  <c r="G228" i="1" l="1"/>
  <c r="G10" i="1"/>
  <c r="G219" i="1" l="1"/>
  <c r="G679" i="1" l="1"/>
  <c r="G220" i="1" l="1"/>
  <c r="O35" i="1"/>
  <c r="G193" i="1" l="1"/>
  <c r="G282" i="1" l="1"/>
  <c r="G284" i="1"/>
  <c r="G283" i="1"/>
  <c r="G410" i="1" l="1"/>
  <c r="G411" i="1"/>
  <c r="S41" i="1" l="1"/>
  <c r="G482" i="1" l="1"/>
  <c r="G690" i="1" l="1"/>
  <c r="G687" i="1"/>
  <c r="G281" i="1"/>
  <c r="G221" i="1"/>
  <c r="G218" i="1"/>
  <c r="G216" i="1"/>
  <c r="G210" i="1"/>
  <c r="G211" i="1"/>
  <c r="G209" i="1"/>
  <c r="G105" i="1"/>
  <c r="G65" i="1"/>
  <c r="G23" i="1"/>
  <c r="G21" i="1"/>
  <c r="G22" i="1"/>
  <c r="G403" i="1" l="1"/>
  <c r="U442" i="1" l="1"/>
  <c r="S442" i="1"/>
  <c r="M442" i="1"/>
  <c r="O442" i="1"/>
  <c r="G442" i="1"/>
  <c r="J490" i="1" l="1"/>
  <c r="J487" i="1"/>
  <c r="J486" i="1"/>
  <c r="J485" i="1"/>
  <c r="J489" i="1"/>
  <c r="J484" i="1"/>
  <c r="G20" i="1" l="1"/>
  <c r="G444" i="1"/>
  <c r="M444" i="1"/>
  <c r="O444" i="1"/>
  <c r="S444" i="1"/>
  <c r="U444" i="1"/>
  <c r="G152" i="1"/>
  <c r="G25" i="1" l="1"/>
  <c r="G532" i="1" l="1"/>
  <c r="G55" i="1" l="1"/>
  <c r="G57" i="1"/>
  <c r="O30" i="1"/>
  <c r="G59" i="1"/>
  <c r="U30" i="1" l="1"/>
  <c r="G204" i="1"/>
  <c r="G28" i="1" l="1"/>
  <c r="G325" i="1"/>
  <c r="O125" i="1"/>
  <c r="S125" i="1"/>
  <c r="U125" i="1"/>
  <c r="G313" i="1" l="1"/>
  <c r="G13" i="1" l="1"/>
  <c r="G506" i="1" l="1"/>
  <c r="G145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4" i="1"/>
  <c r="G125" i="1"/>
  <c r="G137" i="1"/>
  <c r="Q137" i="1"/>
  <c r="G138" i="1"/>
  <c r="Q138" i="1"/>
  <c r="G141" i="1"/>
  <c r="G142" i="1"/>
  <c r="G146" i="1"/>
  <c r="G154" i="1"/>
  <c r="G155" i="1"/>
  <c r="G184" i="1"/>
  <c r="M184" i="1"/>
  <c r="O184" i="1"/>
  <c r="S184" i="1"/>
  <c r="U184" i="1"/>
  <c r="W184" i="1"/>
  <c r="G191" i="1"/>
  <c r="G197" i="1"/>
  <c r="G215" i="1"/>
  <c r="G223" i="1"/>
  <c r="G224" i="1"/>
  <c r="M224" i="1"/>
  <c r="P224" i="1"/>
  <c r="G225" i="1"/>
  <c r="G226" i="1"/>
  <c r="G227" i="1"/>
  <c r="G232" i="1"/>
  <c r="G260" i="1"/>
  <c r="G275" i="1"/>
  <c r="G277" i="1"/>
  <c r="G285" i="1"/>
  <c r="G286" i="1"/>
  <c r="G326" i="1"/>
  <c r="G327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51" i="1"/>
  <c r="G352" i="1"/>
  <c r="G353" i="1"/>
  <c r="G355" i="1"/>
  <c r="G356" i="1"/>
  <c r="G360" i="1"/>
  <c r="G361" i="1"/>
  <c r="G364" i="1"/>
  <c r="G365" i="1"/>
  <c r="G375" i="1"/>
  <c r="G376" i="1"/>
  <c r="G377" i="1"/>
  <c r="G379" i="1"/>
  <c r="G386" i="1"/>
  <c r="G387" i="1"/>
  <c r="G390" i="1"/>
  <c r="G392" i="1"/>
  <c r="G393" i="1"/>
  <c r="G401" i="1"/>
  <c r="G402" i="1"/>
  <c r="G417" i="1"/>
  <c r="G422" i="1"/>
  <c r="G424" i="1"/>
  <c r="G445" i="1"/>
  <c r="G452" i="1"/>
  <c r="G463" i="1"/>
  <c r="O463" i="1"/>
  <c r="S463" i="1"/>
  <c r="U463" i="1"/>
  <c r="W463" i="1"/>
  <c r="G464" i="1"/>
  <c r="G465" i="1"/>
  <c r="G466" i="1"/>
  <c r="G467" i="1"/>
  <c r="G474" i="1"/>
  <c r="G475" i="1"/>
  <c r="G485" i="1"/>
  <c r="G486" i="1"/>
  <c r="G487" i="1"/>
  <c r="G489" i="1"/>
  <c r="G490" i="1"/>
  <c r="G493" i="1"/>
  <c r="G494" i="1"/>
  <c r="G495" i="1"/>
  <c r="G497" i="1"/>
  <c r="G498" i="1"/>
  <c r="G501" i="1"/>
  <c r="G502" i="1"/>
  <c r="G504" i="1"/>
  <c r="G537" i="1"/>
  <c r="G682" i="1"/>
  <c r="M682" i="1"/>
  <c r="O682" i="1"/>
  <c r="Q682" i="1"/>
  <c r="S682" i="1"/>
  <c r="U682" i="1"/>
  <c r="M698" i="1"/>
  <c r="O698" i="1"/>
  <c r="Q698" i="1"/>
  <c r="S698" i="1"/>
  <c r="U698" i="1"/>
  <c r="W698" i="1"/>
  <c r="K699" i="1"/>
  <c r="M699" i="1"/>
  <c r="O699" i="1"/>
  <c r="Q699" i="1"/>
  <c r="S699" i="1"/>
  <c r="U699" i="1"/>
  <c r="W699" i="1"/>
  <c r="K706" i="1"/>
  <c r="M706" i="1"/>
  <c r="O706" i="1"/>
  <c r="Q706" i="1"/>
  <c r="K707" i="1"/>
  <c r="M707" i="1"/>
  <c r="O707" i="1"/>
  <c r="Q707" i="1"/>
  <c r="M710" i="1"/>
  <c r="Q710" i="1"/>
  <c r="I733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1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2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<sst xmlns="http://schemas.openxmlformats.org/spreadsheetml/2006/main" count="1206" uniqueCount="984">
  <si>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</si>
  <si>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</si>
  <si>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</si>
  <si>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</si>
  <si>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</si>
  <si>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</si>
  <si>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</si>
  <si>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</si>
  <si>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</si>
  <si>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</si>
  <si>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</si>
  <si>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</si>
  <si>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</si>
  <si>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</si>
  <si>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</si>
  <si>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</si>
  <si>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</si>
  <si>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</si>
  <si>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</si>
  <si>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</si>
  <si>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</si>
  <si>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</si>
  <si>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</si>
  <si>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</si>
  <si>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</si>
  <si>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</si>
  <si>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</si>
  <si>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</si>
  <si>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</si>
  <si>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</si>
  <si>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</si>
  <si>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</si>
  <si>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</si>
  <si>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</si>
  <si>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</si>
  <si>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</si>
  <si>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</si>
  <si>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</si>
  <si>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</si>
  <si>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</si>
  <si>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</si>
  <si>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</si>
  <si>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</si>
  <si>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</si>
  <si>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</si>
  <si>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</si>
  <si>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</si>
  <si>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</si>
  <si>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</si>
  <si>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</si>
  <si>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</si>
  <si>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</si>
  <si>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</si>
  <si>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</si>
  <si>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</si>
  <si>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</si>
  <si>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</si>
  <si>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</si>
  <si>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</si>
  <si>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</si>
  <si>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</si>
  <si>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</si>
  <si>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</si>
  <si>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</si>
  <si>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</si>
  <si>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</si>
  <si>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</si>
  <si>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</si>
  <si>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</si>
  <si>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</si>
  <si>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</si>
  <si>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</si>
  <si>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</si>
  <si>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</si>
  <si>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</si>
  <si>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</si>
  <si>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</si>
  <si>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</si>
  <si>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</si>
  <si>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</si>
  <si>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</si>
  <si>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</si>
  <si>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</si>
  <si>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</si>
  <si>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</si>
  <si>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</si>
  <si>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</si>
  <si>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</si>
  <si>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</si>
  <si>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</si>
  <si>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</si>
  <si>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</si>
  <si>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</si>
  <si>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</si>
  <si>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</si>
  <si>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</si>
  <si>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</si>
  <si>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</si>
  <si>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</si>
  <si>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</si>
  <si>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</si>
  <si>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</si>
  <si>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</si>
  <si>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</si>
  <si>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</si>
  <si>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</si>
  <si>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</si>
  <si>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</si>
  <si>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</si>
  <si>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</si>
  <si>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</si>
  <si>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</si>
  <si>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</si>
  <si>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</si>
  <si>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</si>
  <si>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</si>
  <si>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</si>
  <si>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</si>
  <si>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</si>
  <si>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</si>
  <si>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</si>
  <si>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</si>
  <si>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</si>
  <si>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</si>
  <si>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</si>
  <si>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</si>
  <si>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</si>
  <si>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</si>
  <si>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</si>
  <si>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</si>
  <si>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</si>
  <si>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</si>
  <si>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</si>
  <si>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</si>
  <si>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</si>
  <si>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</si>
  <si>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</si>
  <si>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</si>
  <si>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</si>
  <si>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</si>
  <si>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</si>
  <si>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</si>
  <si>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</si>
  <si>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</si>
  <si>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</si>
  <si>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</si>
  <si>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</si>
  <si>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</si>
  <si>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</si>
  <si>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</si>
  <si>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</si>
  <si>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</si>
  <si>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</si>
  <si>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</si>
  <si>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</si>
  <si>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</si>
  <si>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</si>
  <si>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</si>
  <si>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</si>
  <si>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</si>
  <si>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</si>
  <si>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</si>
  <si>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</si>
  <si>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</si>
  <si>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</si>
  <si>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</si>
  <si>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</si>
  <si>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</si>
  <si>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</si>
  <si>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</si>
  <si>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</si>
  <si>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</si>
  <si>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</si>
  <si>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</si>
  <si>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</si>
  <si>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</si>
  <si>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</si>
  <si>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</si>
  <si>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</si>
  <si>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</si>
  <si>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</si>
  <si>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</si>
  <si>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</si>
  <si>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</si>
  <si>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</si>
  <si>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</si>
  <si>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</si>
  <si>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</si>
  <si>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</si>
  <si>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</si>
  <si>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</si>
  <si>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</si>
  <si>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</si>
  <si>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</si>
  <si>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</si>
  <si>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</si>
  <si>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</si>
  <si>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</si>
  <si>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</si>
  <si>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</si>
  <si>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</si>
  <si>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</si>
  <si>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</si>
  <si>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</si>
  <si>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</si>
  <si>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</si>
  <si>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</si>
  <si>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</si>
  <si>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</si>
  <si>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</si>
  <si>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</si>
  <si>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</si>
  <si>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</si>
  <si>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</si>
  <si>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</si>
  <si>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</si>
  <si>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</si>
  <si>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</si>
  <si>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</si>
  <si>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</si>
  <si>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</si>
  <si>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</si>
  <si>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</si>
  <si>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</si>
  <si>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</si>
  <si>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</si>
  <si>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</si>
  <si>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</si>
  <si>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</si>
  <si>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</si>
  <si>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</si>
  <si>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</si>
  <si>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</si>
  <si>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</si>
  <si>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</si>
  <si>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</si>
  <si>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</si>
  <si>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</si>
  <si>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</si>
  <si>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</si>
  <si>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</si>
  <si>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</si>
  <si>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</si>
  <si>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</si>
  <si>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</si>
  <si>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</si>
  <si>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</si>
  <si>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</si>
  <si>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</si>
  <si>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</si>
  <si>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</si>
  <si>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</si>
  <si>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</si>
  <si>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</si>
  <si>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</si>
  <si>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</si>
  <si>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</si>
  <si>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</si>
  <si>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</si>
  <si>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</si>
  <si>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</si>
  <si>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</si>
  <si>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</si>
  <si>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</si>
  <si>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</si>
  <si>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</si>
  <si>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</si>
  <si>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</si>
  <si>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</si>
  <si>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</si>
  <si>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</si>
  <si>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</si>
  <si>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</si>
  <si>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</si>
  <si>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</si>
  <si>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</si>
  <si>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</si>
  <si>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</si>
  <si>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</si>
  <si>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</si>
  <si>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</si>
  <si>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</si>
  <si>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</si>
  <si>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</si>
  <si>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</si>
  <si>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</si>
  <si>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</si>
  <si>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</si>
  <si>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</si>
  <si>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</si>
  <si>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</si>
  <si>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</si>
  <si>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</si>
  <si>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</si>
  <si>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</si>
  <si>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</si>
  <si>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</si>
  <si>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</si>
  <si>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</si>
  <si>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</si>
  <si>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</si>
  <si>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</si>
  <si>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</si>
  <si>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</si>
  <si>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</si>
  <si>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</si>
  <si>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</si>
  <si>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</si>
  <si>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</si>
  <si>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</si>
  <si>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</si>
  <si>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</si>
  <si>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</si>
  <si>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</si>
  <si>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</si>
  <si>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</si>
  <si>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</si>
  <si>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</si>
  <si>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</si>
  <si>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</si>
  <si>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</si>
  <si>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</si>
  <si>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</si>
  <si>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</si>
  <si>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</si>
  <si>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</si>
  <si>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</si>
  <si>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</si>
  <si>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</si>
  <si>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</si>
  <si>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</si>
  <si>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</si>
  <si>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</si>
  <si>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</si>
  <si>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</si>
  <si>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</si>
  <si>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</si>
  <si>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</si>
  <si>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</si>
  <si>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</si>
  <si>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</si>
  <si>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</si>
  <si>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</si>
  <si>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</si>
  <si>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</si>
  <si>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</si>
  <si>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</si>
  <si>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</si>
  <si>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</si>
  <si>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</si>
  <si>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</si>
  <si>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</si>
  <si>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</si>
  <si>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</si>
  <si>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</si>
  <si>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</si>
  <si>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</si>
  <si>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</si>
  <si>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</si>
  <si>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</si>
  <si>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</si>
  <si>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</si>
  <si>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</si>
  <si>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</si>
  <si>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</si>
  <si>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</si>
  <si>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</si>
  <si>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</si>
  <si>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</si>
  <si>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</si>
  <si>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</si>
  <si>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</si>
  <si>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</si>
  <si>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</si>
  <si>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</si>
  <si>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</si>
  <si>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</si>
  <si>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</si>
  <si>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</si>
  <si>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</si>
  <si>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</si>
  <si>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</si>
  <si>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</si>
  <si>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</si>
  <si>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</si>
  <si>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</si>
  <si>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</si>
  <si>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</si>
  <si>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</si>
  <si>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</si>
  <si>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</si>
  <si>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</si>
  <si>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</si>
  <si>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</si>
  <si>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</si>
  <si>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</si>
  <si>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</si>
  <si>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</si>
  <si>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</si>
  <si>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</si>
  <si>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</si>
  <si>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</si>
  <si>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</si>
  <si>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</si>
  <si>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</si>
  <si>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</si>
  <si>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</si>
  <si>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</si>
  <si>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</si>
  <si>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</si>
  <si>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</si>
  <si>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</si>
  <si>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</si>
  <si>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</si>
  <si>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</si>
  <si>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</si>
  <si>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</si>
  <si>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</si>
  <si>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</si>
  <si>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</si>
  <si>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</si>
  <si>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</si>
  <si>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</si>
  <si>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</si>
  <si>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</si>
  <si>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</si>
  <si>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</si>
  <si>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</si>
  <si>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</si>
  <si>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</si>
  <si>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</si>
  <si>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</si>
  <si>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</si>
  <si>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</si>
  <si>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</si>
  <si>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</si>
  <si>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</si>
  <si>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</si>
  <si>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</si>
  <si>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</si>
  <si>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</si>
  <si>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</si>
  <si>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</si>
  <si>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</si>
  <si>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</si>
  <si>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</si>
  <si>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</si>
  <si>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</si>
  <si>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</si>
  <si>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</si>
  <si>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</si>
  <si>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</si>
  <si>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</si>
  <si>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</si>
  <si>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</si>
  <si>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</si>
  <si>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</si>
  <si>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</si>
  <si>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</si>
  <si>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</si>
  <si>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</si>
  <si>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</si>
  <si>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</si>
  <si>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</si>
  <si>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</si>
  <si>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</si>
  <si>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</si>
  <si>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</si>
  <si>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</si>
  <si>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</si>
  <si>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</si>
  <si>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</si>
  <si>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</si>
  <si>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</si>
  <si>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</si>
  <si>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</si>
  <si>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</si>
  <si>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</si>
  <si>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</si>
  <si>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</si>
  <si>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</si>
  <si>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</si>
  <si>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</si>
  <si>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</si>
  <si>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</si>
  <si>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</si>
  <si>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</si>
  <si>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</si>
  <si>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</si>
  <si>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</si>
  <si>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</si>
  <si>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</si>
  <si>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</si>
  <si>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</si>
  <si>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</si>
  <si>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</si>
  <si>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</si>
  <si>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</si>
  <si>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</si>
  <si>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</si>
  <si>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</si>
  <si>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</si>
  <si>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</si>
  <si>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</si>
  <si>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</si>
  <si>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</si>
  <si>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</si>
  <si>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</si>
  <si>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</si>
  <si>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</si>
  <si>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</si>
  <si>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</si>
  <si>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</si>
  <si>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</si>
  <si>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</si>
  <si>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</si>
  <si>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</si>
  <si>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</si>
  <si>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</si>
  <si>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</si>
  <si>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</si>
  <si>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</si>
  <si>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</si>
  <si>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</si>
  <si>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</si>
  <si>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</si>
  <si>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</si>
  <si>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</si>
  <si>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</si>
  <si>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</si>
  <si>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</si>
  <si>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</si>
  <si>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</si>
  <si>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</si>
  <si>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</si>
  <si>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</si>
  <si>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</si>
  <si>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</si>
  <si>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</si>
  <si>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</si>
  <si>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</si>
  <si>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</si>
  <si>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</si>
  <si>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</si>
  <si>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</si>
  <si>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</si>
  <si>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</si>
  <si>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</si>
  <si>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</si>
  <si>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</si>
  <si>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</si>
  <si>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</si>
  <si>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</si>
  <si>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</si>
  <si>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</si>
  <si>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</si>
  <si>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</si>
  <si>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</si>
  <si>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</si>
  <si>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</si>
  <si>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</si>
  <si>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</si>
  <si>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</si>
  <si>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</si>
  <si>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</si>
  <si>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</si>
  <si>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</si>
  <si>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</si>
  <si>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</si>
  <si>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</si>
  <si>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</si>
  <si>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</si>
  <si>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</si>
  <si>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</si>
  <si>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</si>
  <si>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</si>
  <si>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</si>
  <si>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</si>
  <si>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</si>
  <si>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</si>
  <si>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</si>
  <si>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</si>
  <si>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</si>
  <si>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</si>
  <si>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</si>
  <si>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</si>
  <si>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</si>
  <si>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</si>
  <si>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</si>
  <si>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</si>
  <si>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</si>
  <si>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</si>
  <si>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</si>
  <si>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</si>
  <si>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</si>
  <si>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</si>
  <si>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</si>
  <si>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</si>
  <si>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</si>
  <si>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</si>
  <si>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</si>
  <si>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</si>
  <si>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</si>
  <si>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</si>
  <si>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</si>
  <si>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</si>
  <si>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</si>
  <si>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</si>
  <si>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</si>
  <si>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</si>
  <si>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</si>
  <si>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</si>
  <si>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</si>
  <si>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</si>
  <si>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</si>
  <si>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</si>
  <si>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</si>
  <si>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</si>
  <si>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</si>
  <si>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</si>
  <si>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</si>
  <si>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</si>
  <si>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</si>
  <si>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</si>
  <si>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</si>
  <si>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</si>
  <si>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</si>
  <si>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</si>
  <si>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</si>
  <si>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</si>
  <si>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</si>
  <si>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</si>
  <si>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</si>
  <si>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</si>
  <si>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</si>
  <si>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</si>
  <si>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</si>
  <si>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</si>
  <si>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</si>
  <si>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</si>
  <si>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</si>
  <si>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</si>
  <si>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</si>
  <si>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</si>
  <si>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</si>
  <si>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</si>
  <si>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</si>
  <si>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</si>
  <si>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</si>
  <si>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</si>
  <si>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</si>
  <si>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</si>
  <si>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</si>
  <si>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</si>
  <si>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</si>
  <si>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</si>
  <si>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</si>
  <si>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</si>
  <si>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</si>
  <si>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</si>
  <si>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</si>
  <si>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</si>
  <si>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</si>
  <si>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</si>
  <si>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</si>
  <si>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</si>
  <si>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</si>
  <si>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</si>
  <si>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</si>
  <si>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</si>
  <si>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</si>
  <si>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</si>
  <si>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</si>
  <si>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</si>
  <si>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</si>
  <si>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</si>
  <si>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</si>
  <si>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</si>
  <si>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</si>
  <si>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</si>
  <si>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</si>
  <si>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</si>
  <si>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</si>
  <si>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</si>
  <si>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</si>
  <si>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</si>
  <si>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</si>
  <si>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</si>
  <si>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</si>
  <si>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</si>
  <si>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</si>
  <si>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</si>
  <si>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</si>
  <si>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</si>
  <si>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</si>
  <si>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</si>
  <si>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</si>
  <si>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</si>
  <si>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</si>
  <si>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</si>
  <si>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</si>
  <si>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</si>
  <si>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</si>
  <si>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</si>
  <si>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</si>
  <si>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</si>
  <si>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</si>
  <si>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</si>
  <si>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</si>
  <si>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</si>
  <si>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</si>
  <si>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</si>
  <si>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</si>
  <si>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</si>
  <si>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</si>
  <si>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</si>
  <si>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</si>
  <si>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</si>
  <si>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</si>
  <si>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</si>
  <si>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</si>
  <si>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</si>
  <si>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</si>
  <si>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</si>
  <si>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</si>
  <si>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</si>
  <si>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</si>
  <si>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</si>
  <si>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</si>
  <si>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</si>
  <si>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</si>
  <si>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</si>
  <si>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</si>
  <si>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</si>
  <si>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</si>
  <si>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</si>
  <si>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</si>
  <si>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</si>
  <si>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</si>
  <si>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</si>
  <si>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</si>
  <si>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</si>
  <si>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</si>
  <si>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</si>
  <si>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</si>
  <si>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</si>
  <si>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</si>
  <si>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</si>
  <si>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</si>
  <si>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</si>
  <si>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</si>
  <si>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</si>
  <si>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</si>
  <si>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</si>
  <si>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</si>
  <si>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</si>
  <si>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</si>
  <si>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</si>
  <si>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</si>
  <si>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</si>
  <si>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</si>
  <si>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</si>
  <si>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</si>
  <si>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</si>
  <si>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</si>
  <si>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</si>
  <si>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</si>
  <si>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</si>
  <si>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</si>
  <si>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</si>
  <si>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</si>
  <si>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</si>
  <si>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</si>
  <si>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</si>
  <si>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</si>
  <si>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</si>
  <si>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</si>
  <si>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</si>
  <si>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</si>
  <si>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</si>
  <si>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</si>
  <si>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</si>
  <si>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</si>
  <si>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</si>
  <si>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</si>
  <si>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</si>
  <si>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</si>
  <si>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</si>
  <si>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</si>
  <si>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</si>
  <si>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</si>
  <si>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</si>
  <si>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</si>
  <si>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</si>
  <si>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</si>
  <si>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</si>
  <si>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</si>
  <si>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</si>
  <si>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</si>
  <si>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</si>
  <si>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</si>
  <si>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</si>
  <si>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</si>
  <si>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</si>
  <si>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</si>
  <si>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</si>
  <si>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</si>
  <si>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</si>
  <si>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</si>
  <si>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</si>
  <si>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</si>
  <si>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</si>
  <si>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</si>
  <si>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</si>
  <si>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</si>
  <si>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</si>
  <si>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</si>
  <si>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</si>
  <si>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</si>
  <si>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</si>
  <si>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</si>
  <si>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</si>
  <si>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</si>
  <si>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</si>
  <si>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</si>
  <si>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</si>
  <si>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</si>
  <si>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</si>
  <si>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</si>
  <si>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</si>
  <si>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</si>
  <si>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</si>
  <si>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</si>
  <si>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</si>
  <si>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</si>
  <si>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</si>
  <si>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</si>
  <si>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</si>
  <si>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</si>
  <si>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</si>
  <si>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</si>
  <si>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</si>
  <si>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</si>
  <si>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</si>
  <si>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</si>
  <si>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</si>
  <si>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</si>
  <si>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</si>
  <si>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</si>
  <si>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</si>
  <si>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</si>
  <si>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</si>
  <si>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</si>
  <si>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</si>
  <si>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</si>
  <si>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</si>
  <si>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</si>
  <si>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</si>
  <si>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</si>
  <si>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</si>
  <si>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</si>
  <si>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</si>
  <si>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</si>
  <si>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</si>
  <si>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</si>
  <si>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</si>
  <si>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</si>
  <si>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</si>
  <si>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</si>
  <si>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</si>
  <si>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</si>
  <si>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</si>
  <si>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</si>
  <si>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</si>
  <si>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</si>
  <si>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</si>
  <si>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</si>
  <si>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</si>
  <si>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</si>
  <si>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</si>
  <si>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</si>
  <si>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</si>
  <si>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</si>
  <si>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</si>
  <si>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</si>
  <si>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</si>
  <si>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</si>
  <si>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</si>
  <si>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</si>
  <si>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</si>
  <si>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</si>
  <si>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</si>
  <si>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</si>
  <si>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</si>
  <si>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</si>
  <si>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</si>
  <si>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</si>
  <si>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</si>
  <si>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</si>
  <si>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</si>
  <si>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</si>
  <si>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</si>
  <si>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</si>
  <si>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</si>
  <si>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</si>
  <si>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</si>
  <si>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</si>
  <si>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</si>
  <si>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</si>
  <si>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</si>
  <si>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</si>
  <si>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</si>
  <si>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</si>
  <si>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</si>
  <si>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</si>
  <si>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</si>
  <si>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</si>
  <si>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ESTAMPADO TRANSFER FULL COLOR UN LADO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</si>
  <si>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</si>
  <si>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</si>
  <si>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</si>
  <si>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</si>
  <si>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</si>
  <si>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</si>
  <si>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</si>
  <si>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</si>
  <si>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</si>
  <si>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</si>
  <si>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</si>
  <si>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</si>
  <si>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</si>
  <si>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</si>
  <si>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</si>
  <si>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</si>
  <si>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</si>
  <si>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</si>
  <si>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</si>
  <si>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</si>
  <si>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</si>
  <si>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</si>
  <si>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</si>
  <si>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</si>
  <si>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</si>
  <si>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</si>
  <si>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</si>
  <si>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</si>
  <si>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</si>
  <si>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</si>
  <si>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</si>
  <si>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</si>
  <si>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</si>
  <si>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</si>
  <si>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</si>
  <si>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</si>
  <si>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</si>
  <si>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00838 - Cuaderno bambu hojas rayadas 21x14cm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</si>
  <si>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</si>
  <si>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</si>
  <si>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</si>
  <si>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</si>
  <si>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</si>
  <si>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</si>
  <si>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</si>
  <si>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</si>
  <si>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</si>
  <si>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</si>
  <si>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</si>
  <si>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</si>
  <si>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</si>
  <si>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</si>
  <si>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</si>
  <si>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</si>
  <si>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>01046 - Vaso térmico acero PAMPERO® PUELO 590 ml</t>
  </si>
  <si>
    <t xml:space="preserve">00556 - Riñonera deportiva impermeable reflectiva 23x5cm </t>
  </si>
  <si>
    <t>LISTA DE PRECIOS Nº 1 / 2025 (En Pesos) - NO INCLUYE I.V.A. - ENERO 2 - 2024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</si>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</sst>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0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46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5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7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8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6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69" fillId="2" borderId="0" xfId="0" applyFont="1" applyFill="1"/>
    <xf numFmtId="2" fontId="68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0" fontId="42" fillId="6" borderId="12" xfId="0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70" fillId="2" borderId="0" xfId="0" applyFont="1" applyFill="1"/>
    <xf numFmtId="2" fontId="65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5" fillId="4" borderId="3" xfId="0" applyNumberFormat="1" applyFont="1" applyFill="1" applyBorder="1" applyAlignment="1">
      <alignment horizontal="center" vertical="center"/>
    </xf>
    <xf numFmtId="2" fontId="60" fillId="7" borderId="3" xfId="0" applyNumberFormat="1" applyFont="1" applyFill="1" applyBorder="1" applyAlignment="1">
      <alignment horizontal="center" vertical="center"/>
    </xf>
    <xf numFmtId="2" fontId="60" fillId="7" borderId="8" xfId="0" applyNumberFormat="1" applyFont="1" applyFill="1" applyBorder="1" applyAlignment="1">
      <alignment horizontal="center" vertical="center"/>
    </xf>
    <xf numFmtId="2" fontId="60" fillId="7" borderId="7" xfId="0" applyNumberFormat="1" applyFont="1" applyFill="1" applyBorder="1" applyAlignment="1">
      <alignment horizontal="center" vertical="center"/>
    </xf>
    <xf numFmtId="2" fontId="60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8" fillId="4" borderId="0" xfId="0" applyFont="1" applyFill="1" applyAlignment="1"/>
    <xf numFmtId="0" fontId="66" fillId="2" borderId="0" xfId="0" applyFont="1" applyFill="1" applyBorder="1"/>
    <xf numFmtId="2" fontId="71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/>
    <xf numFmtId="2" fontId="60" fillId="7" borderId="5" xfId="0" applyNumberFormat="1" applyFont="1" applyFill="1" applyBorder="1" applyAlignment="1">
      <alignment horizontal="center" vertical="center"/>
    </xf>
    <xf numFmtId="2" fontId="60" fillId="4" borderId="5" xfId="0" applyNumberFormat="1" applyFont="1" applyFill="1" applyBorder="1" applyAlignment="1">
      <alignment horizontal="center" vertical="center"/>
    </xf>
    <xf numFmtId="0" fontId="62" fillId="4" borderId="0" xfId="0" applyFont="1" applyFill="1" applyAlignment="1">
      <alignment horizontal="center" vertical="center"/>
    </xf>
    <xf numFmtId="0" fontId="61" fillId="7" borderId="3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 wrapText="1"/>
    </xf>
    <xf numFmtId="2" fontId="60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60" fillId="4" borderId="3" xfId="3" applyNumberFormat="1" applyFont="1" applyFill="1" applyBorder="1" applyAlignment="1">
      <alignment horizontal="center" vertical="center"/>
    </xf>
    <xf numFmtId="2" fontId="60" fillId="7" borderId="3" xfId="3" applyNumberFormat="1" applyFont="1" applyFill="1" applyBorder="1" applyAlignment="1">
      <alignment horizontal="center" vertical="center"/>
    </xf>
    <xf numFmtId="2" fontId="60" fillId="4" borderId="11" xfId="0" applyNumberFormat="1" applyFont="1" applyFill="1" applyBorder="1" applyAlignment="1">
      <alignment horizontal="center" vertical="center"/>
    </xf>
    <xf numFmtId="2" fontId="60" fillId="4" borderId="0" xfId="0" applyNumberFormat="1" applyFont="1" applyFill="1" applyBorder="1" applyAlignment="1">
      <alignment horizontal="center" vertical="center"/>
    </xf>
    <xf numFmtId="2" fontId="60" fillId="4" borderId="15" xfId="0" applyNumberFormat="1" applyFont="1" applyFill="1" applyBorder="1" applyAlignment="1">
      <alignment horizontal="center" vertical="center"/>
    </xf>
    <xf numFmtId="2" fontId="60" fillId="7" borderId="15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2" fontId="41" fillId="4" borderId="3" xfId="0" applyNumberFormat="1" applyFont="1" applyFill="1" applyBorder="1" applyAlignment="1">
      <alignment horizontal="center" vertical="center"/>
    </xf>
    <xf numFmtId="2" fontId="41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6" fillId="4" borderId="0" xfId="0" applyFont="1" applyFill="1" applyAlignment="1">
      <alignment horizontal="right"/>
    </xf>
    <xf numFmtId="0" fontId="66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1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7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4" fillId="9" borderId="0" xfId="0" applyFont="1" applyFill="1"/>
    <xf numFmtId="0" fontId="74" fillId="9" borderId="0" xfId="0" applyFont="1" applyFill="1" applyBorder="1"/>
    <xf numFmtId="0" fontId="66" fillId="9" borderId="0" xfId="0" applyFont="1" applyFill="1"/>
    <xf numFmtId="0" fontId="66" fillId="9" borderId="0" xfId="0" applyFont="1" applyFill="1" applyBorder="1"/>
    <xf numFmtId="0" fontId="66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50" fillId="9" borderId="0" xfId="0" applyFont="1" applyFill="1"/>
    <xf numFmtId="0" fontId="75" fillId="9" borderId="1" xfId="0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horizontal="center" vertical="center"/>
    </xf>
    <xf numFmtId="0" fontId="66" fillId="9" borderId="22" xfId="0" applyFont="1" applyFill="1" applyBorder="1" applyAlignment="1">
      <alignment horizontal="center" vertical="center"/>
    </xf>
    <xf numFmtId="2" fontId="66" fillId="9" borderId="0" xfId="0" applyNumberFormat="1" applyFont="1" applyFill="1"/>
    <xf numFmtId="0" fontId="75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2" fillId="9" borderId="0" xfId="0" applyFont="1" applyFill="1"/>
    <xf numFmtId="0" fontId="42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1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7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80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0" fontId="42" fillId="6" borderId="18" xfId="0" applyFont="1" applyFill="1" applyBorder="1" applyAlignment="1">
      <alignment horizontal="center" vertical="center"/>
    </xf>
    <xf numFmtId="2" fontId="60" fillId="6" borderId="4" xfId="0" applyNumberFormat="1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3" fillId="4" borderId="0" xfId="0" applyFont="1" applyFill="1" applyBorder="1" applyAlignment="1">
      <alignment horizontal="center" vertical="center" wrapText="1"/>
    </xf>
    <xf numFmtId="0" fontId="77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2" fontId="63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6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4" borderId="0" xfId="0" applyFont="1" applyFill="1"/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9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60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60" fillId="6" borderId="19" xfId="0" applyNumberFormat="1" applyFont="1" applyFill="1" applyBorder="1" applyAlignment="1">
      <alignment horizontal="center" vertical="center"/>
    </xf>
    <xf numFmtId="2" fontId="60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42" fillId="7" borderId="3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60" fillId="4" borderId="3" xfId="0" applyNumberFormat="1" applyFont="1" applyFill="1" applyBorder="1" applyAlignment="1">
      <alignment horizontal="center" vertical="center"/>
    </xf>
    <xf numFmtId="1" fontId="60" fillId="7" borderId="3" xfId="0" applyNumberFormat="1" applyFont="1" applyFill="1" applyBorder="1" applyAlignment="1">
      <alignment horizontal="center" vertical="center"/>
    </xf>
    <xf numFmtId="1" fontId="60" fillId="4" borderId="7" xfId="0" applyNumberFormat="1" applyFont="1" applyFill="1" applyBorder="1" applyAlignment="1">
      <alignment horizontal="center" vertical="center"/>
    </xf>
    <xf numFmtId="1" fontId="60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60" fillId="14" borderId="3" xfId="0" applyNumberFormat="1" applyFont="1" applyFill="1" applyBorder="1" applyAlignment="1">
      <alignment horizontal="center" vertical="center"/>
    </xf>
    <xf numFmtId="0" fontId="0" fillId="7" borderId="0" xfId="0" applyFill="1" applyBorder="1"/>
    <xf numFmtId="2" fontId="65" fillId="7" borderId="3" xfId="0" applyNumberFormat="1" applyFont="1" applyFill="1" applyBorder="1" applyAlignment="1">
      <alignment horizontal="center" vertical="center"/>
    </xf>
    <xf numFmtId="0" fontId="63" fillId="7" borderId="3" xfId="0" applyFont="1" applyFill="1" applyBorder="1"/>
    <xf numFmtId="0" fontId="63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0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0" fillId="7" borderId="8" xfId="0" applyNumberFormat="1" applyFont="1" applyFill="1" applyBorder="1" applyAlignment="1">
      <alignment horizontal="center" vertical="center"/>
    </xf>
    <xf numFmtId="1" fontId="60" fillId="4" borderId="5" xfId="0" applyNumberFormat="1" applyFont="1" applyFill="1" applyBorder="1" applyAlignment="1">
      <alignment horizontal="center" vertical="center"/>
    </xf>
    <xf numFmtId="1" fontId="60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60" fillId="7" borderId="14" xfId="0" applyNumberFormat="1" applyFont="1" applyFill="1" applyBorder="1" applyAlignment="1">
      <alignment horizontal="center" vertical="center"/>
    </xf>
    <xf numFmtId="1" fontId="60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60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60" fillId="7" borderId="4" xfId="0" applyNumberFormat="1" applyFont="1" applyFill="1" applyBorder="1" applyAlignment="1">
      <alignment horizontal="center" vertical="center"/>
    </xf>
    <xf numFmtId="1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3" xfId="0" applyNumberFormat="1" applyFont="1" applyFill="1" applyBorder="1" applyAlignment="1">
      <alignment horizontal="center" vertical="center"/>
    </xf>
    <xf numFmtId="1" fontId="71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0" fillId="4" borderId="0" xfId="0" applyFill="1" applyBorder="1" applyAlignment="1"/>
    <xf numFmtId="1" fontId="60" fillId="4" borderId="0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60" fillId="4" borderId="18" xfId="0" applyNumberFormat="1" applyFont="1" applyFill="1" applyBorder="1" applyAlignment="1">
      <alignment horizontal="center" vertical="center"/>
    </xf>
    <xf numFmtId="1" fontId="60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7" borderId="3" xfId="0" applyNumberFormat="1" applyFill="1" applyBorder="1"/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0" fillId="7" borderId="10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/>
    <xf numFmtId="1" fontId="1" fillId="4" borderId="7" xfId="0" applyNumberFormat="1" applyFont="1" applyFill="1" applyBorder="1"/>
    <xf numFmtId="1" fontId="1" fillId="7" borderId="7" xfId="0" applyNumberFormat="1" applyFont="1" applyFill="1" applyBorder="1"/>
    <xf numFmtId="1" fontId="60" fillId="4" borderId="17" xfId="0" applyNumberFormat="1" applyFont="1" applyFill="1" applyBorder="1" applyAlignment="1">
      <alignment horizontal="center" vertical="center"/>
    </xf>
    <xf numFmtId="1" fontId="60" fillId="7" borderId="17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0" fillId="7" borderId="9" xfId="0" applyNumberFormat="1" applyFont="1" applyFill="1" applyBorder="1" applyAlignment="1">
      <alignment horizontal="center" vertical="center"/>
    </xf>
    <xf numFmtId="168" fontId="72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60" fillId="7" borderId="3" xfId="0" applyNumberFormat="1" applyFont="1" applyFill="1" applyBorder="1" applyAlignment="1">
      <alignment horizontal="center" vertical="center"/>
    </xf>
    <xf numFmtId="168" fontId="60" fillId="7" borderId="7" xfId="0" applyNumberFormat="1" applyFont="1" applyFill="1" applyBorder="1" applyAlignment="1">
      <alignment horizontal="center" vertical="center"/>
    </xf>
    <xf numFmtId="168" fontId="60" fillId="4" borderId="3" xfId="0" applyNumberFormat="1" applyFont="1" applyFill="1" applyBorder="1" applyAlignment="1">
      <alignment horizontal="center" vertical="center"/>
    </xf>
    <xf numFmtId="168" fontId="60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60" fillId="7" borderId="35" xfId="0" applyNumberFormat="1" applyFont="1" applyFill="1" applyBorder="1" applyAlignment="1">
      <alignment horizontal="center" vertical="center"/>
    </xf>
    <xf numFmtId="1" fontId="107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1" fontId="107" fillId="7" borderId="4" xfId="0" applyNumberFormat="1" applyFont="1" applyFill="1" applyBorder="1" applyAlignment="1">
      <alignment horizontal="center" vertical="center"/>
    </xf>
    <xf numFmtId="1" fontId="107" fillId="4" borderId="4" xfId="0" applyNumberFormat="1" applyFont="1" applyFill="1" applyBorder="1" applyAlignment="1">
      <alignment horizontal="center" vertical="center"/>
    </xf>
    <xf numFmtId="1" fontId="107" fillId="7" borderId="5" xfId="0" applyNumberFormat="1" applyFont="1" applyFill="1" applyBorder="1" applyAlignment="1">
      <alignment horizontal="center" vertical="center"/>
    </xf>
    <xf numFmtId="1" fontId="107" fillId="4" borderId="5" xfId="0" applyNumberFormat="1" applyFont="1" applyFill="1" applyBorder="1" applyAlignment="1">
      <alignment horizontal="center" vertical="center"/>
    </xf>
    <xf numFmtId="0" fontId="66" fillId="7" borderId="3" xfId="0" applyFont="1" applyFill="1" applyBorder="1"/>
    <xf numFmtId="0" fontId="73" fillId="7" borderId="11" xfId="0" applyFont="1" applyFill="1" applyBorder="1" applyAlignment="1">
      <alignment horizontal="center" vertical="center"/>
    </xf>
    <xf numFmtId="2" fontId="60" fillId="7" borderId="9" xfId="0" applyNumberFormat="1" applyFont="1" applyFill="1" applyBorder="1" applyAlignment="1">
      <alignment horizontal="center" vertical="center"/>
    </xf>
    <xf numFmtId="0" fontId="63" fillId="4" borderId="3" xfId="0" applyFont="1" applyFill="1" applyBorder="1" applyAlignment="1">
      <alignment vertical="center"/>
    </xf>
    <xf numFmtId="0" fontId="63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60" fillId="17" borderId="3" xfId="0" applyNumberFormat="1" applyFont="1" applyFill="1" applyBorder="1" applyAlignment="1">
      <alignment horizontal="center" vertical="center"/>
    </xf>
    <xf numFmtId="2" fontId="71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60" fillId="18" borderId="7" xfId="0" applyNumberFormat="1" applyFont="1" applyFill="1" applyBorder="1" applyAlignment="1">
      <alignment horizontal="center" vertical="center"/>
    </xf>
    <xf numFmtId="168" fontId="60" fillId="4" borderId="7" xfId="0" applyNumberFormat="1" applyFont="1" applyFill="1" applyBorder="1" applyAlignment="1">
      <alignment horizontal="center" vertical="center"/>
    </xf>
    <xf numFmtId="2" fontId="60" fillId="18" borderId="3" xfId="0" applyNumberFormat="1" applyFont="1" applyFill="1" applyBorder="1" applyAlignment="1">
      <alignment horizontal="center" vertical="center"/>
    </xf>
    <xf numFmtId="168" fontId="60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80" fillId="2" borderId="3" xfId="2" applyNumberFormat="1" applyFont="1" applyFill="1" applyBorder="1" applyAlignment="1" applyProtection="1">
      <alignment horizontal="center" vertical="center"/>
    </xf>
    <xf numFmtId="166" fontId="80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166" fontId="110" fillId="2" borderId="5" xfId="2" applyNumberFormat="1" applyFont="1" applyFill="1" applyBorder="1" applyAlignment="1" applyProtection="1">
      <alignment horizontal="center"/>
    </xf>
    <xf numFmtId="0" fontId="80" fillId="2" borderId="3" xfId="2" applyFont="1" applyFill="1" applyBorder="1" applyAlignment="1" applyProtection="1">
      <alignment horizontal="center"/>
    </xf>
    <xf numFmtId="166" fontId="80" fillId="2" borderId="19" xfId="2" applyNumberFormat="1" applyFont="1" applyFill="1" applyBorder="1" applyAlignment="1" applyProtection="1">
      <alignment horizontal="center"/>
    </xf>
    <xf numFmtId="0" fontId="80" fillId="0" borderId="3" xfId="2" applyNumberFormat="1" applyFont="1" applyBorder="1" applyAlignment="1" applyProtection="1">
      <alignment horizontal="center"/>
    </xf>
    <xf numFmtId="0" fontId="66" fillId="2" borderId="3" xfId="0" applyFont="1" applyFill="1" applyBorder="1" applyAlignment="1">
      <alignment horizontal="center"/>
    </xf>
    <xf numFmtId="0" fontId="66" fillId="0" borderId="3" xfId="0" applyNumberFormat="1" applyFont="1" applyBorder="1" applyAlignment="1">
      <alignment horizontal="center"/>
    </xf>
    <xf numFmtId="0" fontId="80" fillId="0" borderId="3" xfId="2" applyFont="1" applyBorder="1" applyAlignment="1" applyProtection="1">
      <alignment horizontal="center"/>
    </xf>
    <xf numFmtId="0" fontId="80" fillId="2" borderId="7" xfId="2" applyFont="1" applyFill="1" applyBorder="1" applyAlignment="1" applyProtection="1">
      <alignment horizontal="center"/>
    </xf>
    <xf numFmtId="166" fontId="80" fillId="2" borderId="4" xfId="2" applyNumberFormat="1" applyFont="1" applyFill="1" applyBorder="1" applyAlignment="1" applyProtection="1">
      <alignment horizontal="center" vertical="center"/>
    </xf>
    <xf numFmtId="166" fontId="80" fillId="2" borderId="4" xfId="2" applyNumberFormat="1" applyFont="1" applyFill="1" applyBorder="1" applyAlignment="1" applyProtection="1">
      <alignment horizontal="center"/>
    </xf>
    <xf numFmtId="166" fontId="80" fillId="0" borderId="3" xfId="2" applyNumberFormat="1" applyFont="1" applyBorder="1" applyAlignment="1" applyProtection="1">
      <alignment horizontal="center"/>
    </xf>
    <xf numFmtId="166" fontId="80" fillId="2" borderId="5" xfId="2" applyNumberFormat="1" applyFont="1" applyFill="1" applyBorder="1" applyAlignment="1" applyProtection="1">
      <alignment horizontal="center" vertical="center"/>
    </xf>
    <xf numFmtId="166" fontId="66" fillId="2" borderId="4" xfId="0" applyNumberFormat="1" applyFont="1" applyFill="1" applyBorder="1" applyAlignment="1">
      <alignment horizontal="center"/>
    </xf>
    <xf numFmtId="166" fontId="66" fillId="2" borderId="3" xfId="0" applyNumberFormat="1" applyFont="1" applyFill="1" applyBorder="1" applyAlignment="1">
      <alignment horizontal="center"/>
    </xf>
    <xf numFmtId="166" fontId="80" fillId="4" borderId="3" xfId="2" applyNumberFormat="1" applyFont="1" applyFill="1" applyBorder="1" applyAlignment="1" applyProtection="1">
      <alignment horizontal="center"/>
    </xf>
    <xf numFmtId="166" fontId="66" fillId="4" borderId="3" xfId="0" applyNumberFormat="1" applyFont="1" applyFill="1" applyBorder="1" applyAlignment="1">
      <alignment horizontal="center"/>
    </xf>
    <xf numFmtId="49" fontId="80" fillId="2" borderId="3" xfId="2" applyNumberFormat="1" applyFont="1" applyFill="1" applyBorder="1" applyAlignment="1" applyProtection="1">
      <alignment horizontal="center"/>
    </xf>
    <xf numFmtId="49" fontId="80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2" fillId="4" borderId="3" xfId="0" applyNumberFormat="1" applyFont="1" applyFill="1" applyBorder="1" applyAlignment="1">
      <alignment horizontal="center" vertical="center" wrapText="1"/>
    </xf>
    <xf numFmtId="1" fontId="107" fillId="4" borderId="0" xfId="0" applyNumberFormat="1" applyFont="1" applyFill="1" applyBorder="1" applyAlignment="1">
      <alignment horizontal="center" vertical="center"/>
    </xf>
    <xf numFmtId="49" fontId="80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2" fillId="4" borderId="3" xfId="0" applyNumberFormat="1" applyFont="1" applyFill="1" applyBorder="1" applyAlignment="1">
      <alignment horizontal="center" vertical="center"/>
    </xf>
    <xf numFmtId="2" fontId="41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80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60" fillId="7" borderId="11" xfId="0" applyNumberFormat="1" applyFont="1" applyFill="1" applyBorder="1" applyAlignment="1">
      <alignment horizontal="center" vertical="center"/>
    </xf>
    <xf numFmtId="1" fontId="107" fillId="4" borderId="11" xfId="0" applyNumberFormat="1" applyFont="1" applyFill="1" applyBorder="1" applyAlignment="1">
      <alignment horizontal="center" vertical="center"/>
    </xf>
    <xf numFmtId="1" fontId="107" fillId="7" borderId="11" xfId="0" applyNumberFormat="1" applyFont="1" applyFill="1" applyBorder="1" applyAlignment="1">
      <alignment horizontal="center" vertical="center"/>
    </xf>
    <xf numFmtId="1" fontId="71" fillId="4" borderId="7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60" fillId="7" borderId="3" xfId="0" applyNumberFormat="1" applyFont="1" applyFill="1" applyBorder="1" applyAlignment="1">
      <alignment horizontal="center" vertical="center"/>
    </xf>
    <xf numFmtId="1" fontId="60" fillId="4" borderId="38" xfId="0" applyNumberFormat="1" applyFont="1" applyFill="1" applyBorder="1" applyAlignment="1">
      <alignment horizontal="center" vertical="center"/>
    </xf>
    <xf numFmtId="1" fontId="60" fillId="4" borderId="21" xfId="0" applyNumberFormat="1" applyFont="1" applyFill="1" applyBorder="1" applyAlignment="1">
      <alignment horizontal="center" vertical="center"/>
    </xf>
    <xf numFmtId="2" fontId="60" fillId="4" borderId="2" xfId="0" applyNumberFormat="1" applyFont="1" applyFill="1" applyBorder="1" applyAlignment="1">
      <alignment horizontal="center" vertical="center"/>
    </xf>
    <xf numFmtId="2" fontId="60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79" fillId="13" borderId="12" xfId="0" applyFont="1" applyFill="1" applyBorder="1"/>
    <xf numFmtId="0" fontId="77" fillId="13" borderId="3" xfId="0" applyFont="1" applyFill="1" applyBorder="1" applyAlignment="1">
      <alignment horizontal="center" vertical="center"/>
    </xf>
    <xf numFmtId="0" fontId="67" fillId="13" borderId="3" xfId="0" applyFont="1" applyFill="1" applyBorder="1" applyAlignment="1">
      <alignment horizontal="center" vertical="center"/>
    </xf>
    <xf numFmtId="2" fontId="44" fillId="13" borderId="3" xfId="0" applyNumberFormat="1" applyFont="1" applyFill="1" applyBorder="1" applyAlignment="1">
      <alignment horizontal="center" vertical="center"/>
    </xf>
    <xf numFmtId="2" fontId="77" fillId="13" borderId="3" xfId="0" applyNumberFormat="1" applyFont="1" applyFill="1" applyBorder="1" applyAlignment="1">
      <alignment horizontal="center" vertical="center"/>
    </xf>
    <xf numFmtId="2" fontId="56" fillId="10" borderId="7" xfId="0" applyNumberFormat="1" applyFont="1" applyFill="1" applyBorder="1" applyAlignment="1">
      <alignment horizontal="center" vertical="center" wrapText="1"/>
    </xf>
    <xf numFmtId="0" fontId="75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7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7" fillId="13" borderId="12" xfId="0" applyFont="1" applyFill="1" applyBorder="1" applyAlignment="1">
      <alignment horizontal="center" vertical="center"/>
    </xf>
    <xf numFmtId="0" fontId="77" fillId="13" borderId="12" xfId="0" applyFont="1" applyFill="1" applyBorder="1" applyAlignment="1">
      <alignment horizontal="center" vertical="center"/>
    </xf>
    <xf numFmtId="0" fontId="77" fillId="13" borderId="9" xfId="0" applyFont="1" applyFill="1" applyBorder="1" applyAlignment="1">
      <alignment horizontal="center" vertical="center"/>
    </xf>
    <xf numFmtId="168" fontId="60" fillId="4" borderId="38" xfId="0" applyNumberFormat="1" applyFont="1" applyFill="1" applyBorder="1" applyAlignment="1">
      <alignment horizontal="center" vertical="center"/>
    </xf>
    <xf numFmtId="168" fontId="60" fillId="4" borderId="41" xfId="0" applyNumberFormat="1" applyFont="1" applyFill="1" applyBorder="1" applyAlignment="1">
      <alignment horizontal="center" vertical="center"/>
    </xf>
    <xf numFmtId="2" fontId="78" fillId="15" borderId="5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1" fontId="108" fillId="4" borderId="3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/>
    <xf numFmtId="2" fontId="66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107" fillId="4" borderId="15" xfId="0" applyNumberFormat="1" applyFont="1" applyFill="1" applyBorder="1" applyAlignment="1">
      <alignment horizontal="center" vertical="center"/>
    </xf>
    <xf numFmtId="1" fontId="71" fillId="7" borderId="15" xfId="0" applyNumberFormat="1" applyFont="1" applyFill="1" applyBorder="1" applyAlignment="1">
      <alignment horizontal="center" vertical="center"/>
    </xf>
    <xf numFmtId="1" fontId="117" fillId="7" borderId="8" xfId="0" applyNumberFormat="1" applyFont="1" applyFill="1" applyBorder="1" applyAlignment="1">
      <alignment horizontal="center" vertical="center"/>
    </xf>
    <xf numFmtId="1" fontId="60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5" xfId="0" applyNumberFormat="1" applyFont="1" applyFill="1" applyBorder="1" applyAlignment="1">
      <alignment horizontal="center" vertical="center"/>
    </xf>
    <xf numFmtId="1" fontId="71" fillId="4" borderId="5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110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18" xfId="3" applyNumberFormat="1" applyFont="1" applyFill="1" applyBorder="1" applyAlignment="1">
      <alignment horizontal="center" vertical="center"/>
    </xf>
    <xf numFmtId="1" fontId="107" fillId="4" borderId="18" xfId="0" applyNumberFormat="1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1" fontId="42" fillId="4" borderId="3" xfId="0" applyNumberFormat="1" applyFont="1" applyFill="1" applyBorder="1" applyAlignment="1">
      <alignment horizontal="center" vertical="center" wrapText="1"/>
    </xf>
    <xf numFmtId="1" fontId="60" fillId="4" borderId="37" xfId="0" applyNumberFormat="1" applyFont="1" applyFill="1" applyBorder="1" applyAlignment="1">
      <alignment horizontal="center" vertical="center"/>
    </xf>
    <xf numFmtId="1" fontId="60" fillId="7" borderId="33" xfId="0" applyNumberFormat="1" applyFont="1" applyFill="1" applyBorder="1" applyAlignment="1">
      <alignment horizontal="center" vertical="center"/>
    </xf>
    <xf numFmtId="2" fontId="60" fillId="7" borderId="34" xfId="0" applyNumberFormat="1" applyFont="1" applyFill="1" applyBorder="1" applyAlignment="1">
      <alignment horizontal="center" vertical="center"/>
    </xf>
    <xf numFmtId="1" fontId="60" fillId="7" borderId="34" xfId="0" applyNumberFormat="1" applyFont="1" applyFill="1" applyBorder="1" applyAlignment="1">
      <alignment horizontal="center" vertical="center"/>
    </xf>
    <xf numFmtId="1" fontId="42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1" fontId="107" fillId="4" borderId="7" xfId="0" applyNumberFormat="1" applyFont="1" applyFill="1" applyBorder="1" applyAlignment="1">
      <alignment horizontal="center" vertical="center"/>
    </xf>
    <xf numFmtId="1" fontId="71" fillId="7" borderId="4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18" fillId="2" borderId="0" xfId="0" applyFont="1" applyFill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" fontId="60" fillId="21" borderId="5" xfId="0" applyNumberFormat="1" applyFont="1" applyFill="1" applyBorder="1" applyAlignment="1">
      <alignment horizontal="center" vertical="center"/>
    </xf>
    <xf numFmtId="1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60" fillId="21" borderId="3" xfId="0" applyNumberFormat="1" applyFont="1" applyFill="1" applyBorder="1" applyAlignment="1">
      <alignment horizontal="center" vertical="center"/>
    </xf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7" fillId="21" borderId="3" xfId="0" applyNumberFormat="1" applyFont="1" applyFill="1" applyBorder="1" applyAlignment="1">
      <alignment horizontal="center" vertical="center"/>
    </xf>
    <xf numFmtId="1" fontId="60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60" fillId="21" borderId="14" xfId="0" applyNumberFormat="1" applyFont="1" applyFill="1" applyBorder="1" applyAlignment="1">
      <alignment horizontal="center" vertical="center"/>
    </xf>
    <xf numFmtId="0" fontId="0" fillId="21" borderId="3" xfId="0" applyFill="1" applyBorder="1"/>
    <xf numFmtId="2" fontId="60" fillId="21" borderId="5" xfId="3" applyNumberFormat="1" applyFont="1" applyFill="1" applyBorder="1" applyAlignment="1">
      <alignment horizontal="center" vertical="center"/>
    </xf>
    <xf numFmtId="1" fontId="60" fillId="21" borderId="8" xfId="0" applyNumberFormat="1" applyFont="1" applyFill="1" applyBorder="1" applyAlignment="1">
      <alignment horizontal="center" vertical="center"/>
    </xf>
    <xf numFmtId="2" fontId="60" fillId="21" borderId="5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7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0" fillId="7" borderId="18" xfId="3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/>
    <xf numFmtId="2" fontId="60" fillId="7" borderId="3" xfId="0" applyNumberFormat="1" applyFont="1" applyFill="1" applyBorder="1" applyAlignment="1">
      <alignment horizontal="center"/>
    </xf>
    <xf numFmtId="1" fontId="60" fillId="7" borderId="3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0" fontId="1" fillId="21" borderId="0" xfId="0" applyFont="1" applyFill="1"/>
    <xf numFmtId="1" fontId="1" fillId="21" borderId="7" xfId="0" applyNumberFormat="1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7" fillId="9" borderId="0" xfId="0" applyFont="1" applyFill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7" fillId="9" borderId="0" xfId="0" applyFont="1" applyFill="1" applyBorder="1" applyAlignment="1"/>
    <xf numFmtId="2" fontId="41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2" fontId="60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60" fillId="4" borderId="38" xfId="0" applyNumberFormat="1" applyFont="1" applyFill="1" applyBorder="1" applyAlignment="1">
      <alignment horizontal="center" vertical="center"/>
    </xf>
    <xf numFmtId="1" fontId="107" fillId="0" borderId="3" xfId="0" applyNumberFormat="1" applyFont="1" applyFill="1" applyBorder="1" applyAlignment="1">
      <alignment horizontal="center" vertical="center"/>
    </xf>
    <xf numFmtId="2" fontId="71" fillId="0" borderId="3" xfId="0" applyNumberFormat="1" applyFont="1" applyFill="1" applyBorder="1" applyAlignment="1">
      <alignment horizontal="center" vertical="center"/>
    </xf>
    <xf numFmtId="1" fontId="60" fillId="0" borderId="3" xfId="0" applyNumberFormat="1" applyFont="1" applyFill="1" applyBorder="1" applyAlignment="1">
      <alignment horizontal="center" vertical="center"/>
    </xf>
    <xf numFmtId="2" fontId="60" fillId="0" borderId="3" xfId="0" applyNumberFormat="1" applyFont="1" applyFill="1" applyBorder="1" applyAlignment="1">
      <alignment horizontal="center" vertical="center"/>
    </xf>
    <xf numFmtId="1" fontId="107" fillId="0" borderId="5" xfId="0" applyNumberFormat="1" applyFont="1" applyFill="1" applyBorder="1" applyAlignment="1">
      <alignment horizontal="center" vertical="center"/>
    </xf>
    <xf numFmtId="1" fontId="60" fillId="0" borderId="8" xfId="0" applyNumberFormat="1" applyFont="1" applyFill="1" applyBorder="1" applyAlignment="1">
      <alignment horizontal="center" vertical="center"/>
    </xf>
    <xf numFmtId="1" fontId="107" fillId="7" borderId="7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80" fillId="4" borderId="0" xfId="2" applyNumberFormat="1" applyFont="1" applyFill="1" applyBorder="1" applyAlignment="1" applyProtection="1">
      <alignment horizontal="center"/>
    </xf>
    <xf numFmtId="0" fontId="74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60" fillId="0" borderId="5" xfId="0" applyNumberFormat="1" applyFont="1" applyFill="1" applyBorder="1" applyAlignment="1">
      <alignment horizontal="center" vertical="center"/>
    </xf>
    <xf numFmtId="1" fontId="60" fillId="21" borderId="7" xfId="0" applyNumberFormat="1" applyFont="1" applyFill="1" applyBorder="1" applyAlignment="1">
      <alignment horizontal="center" vertical="center"/>
    </xf>
    <xf numFmtId="1" fontId="60" fillId="4" borderId="10" xfId="0" applyNumberFormat="1" applyFont="1" applyFill="1" applyBorder="1" applyAlignment="1">
      <alignment horizontal="center" vertical="center"/>
    </xf>
    <xf numFmtId="1" fontId="60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60" fillId="7" borderId="36" xfId="0" applyNumberFormat="1" applyFont="1" applyFill="1" applyBorder="1" applyAlignment="1">
      <alignment horizontal="center" vertical="center"/>
    </xf>
    <xf numFmtId="1" fontId="60" fillId="4" borderId="36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3" fillId="4" borderId="3" xfId="0" applyNumberFormat="1" applyFont="1" applyFill="1" applyBorder="1"/>
    <xf numFmtId="2" fontId="60" fillId="4" borderId="3" xfId="0" applyNumberFormat="1" applyFont="1" applyFill="1" applyBorder="1" applyAlignment="1">
      <alignment horizontal="center"/>
    </xf>
    <xf numFmtId="1" fontId="60" fillId="4" borderId="3" xfId="0" applyNumberFormat="1" applyFont="1" applyFill="1" applyBorder="1" applyAlignment="1">
      <alignment horizont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1" fontId="107" fillId="21" borderId="4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67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17" fillId="4" borderId="11" xfId="0" applyNumberFormat="1" applyFont="1" applyFill="1" applyBorder="1" applyAlignment="1"/>
    <xf numFmtId="0" fontId="2" fillId="9" borderId="0" xfId="0" applyFont="1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18" fillId="7" borderId="3" xfId="0" applyFont="1" applyFill="1" applyBorder="1" applyAlignment="1"/>
    <xf numFmtId="2" fontId="85" fillId="4" borderId="3" xfId="0" applyNumberFormat="1" applyFont="1" applyFill="1" applyBorder="1" applyAlignment="1">
      <alignment wrapText="1"/>
    </xf>
    <xf numFmtId="0" fontId="84" fillId="4" borderId="3" xfId="0" applyFont="1" applyFill="1" applyBorder="1" applyAlignment="1">
      <alignment wrapText="1"/>
    </xf>
    <xf numFmtId="0" fontId="1" fillId="7" borderId="3" xfId="0" applyFont="1" applyFill="1" applyBorder="1" applyAlignment="1"/>
    <xf numFmtId="0" fontId="18" fillId="7" borderId="5" xfId="0" applyFont="1" applyFill="1" applyBorder="1" applyAlignment="1"/>
    <xf numFmtId="0" fontId="62" fillId="11" borderId="3" xfId="0" applyFont="1" applyFill="1" applyBorder="1" applyAlignment="1">
      <alignment horizontal="center" vertical="center" wrapText="1"/>
    </xf>
    <xf numFmtId="0" fontId="61" fillId="11" borderId="3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67" fillId="9" borderId="0" xfId="0" applyFont="1" applyFill="1" applyAlignment="1">
      <alignment vertical="center"/>
    </xf>
    <xf numFmtId="0" fontId="67" fillId="9" borderId="0" xfId="0" applyFont="1" applyFill="1" applyAlignment="1"/>
    <xf numFmtId="0" fontId="67" fillId="9" borderId="22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4" borderId="11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105" fillId="13" borderId="3" xfId="0" applyNumberFormat="1" applyFont="1" applyFill="1" applyBorder="1" applyAlignment="1">
      <alignment horizontal="center" vertical="center" wrapText="1"/>
    </xf>
    <xf numFmtId="0" fontId="79" fillId="1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8" fillId="6" borderId="3" xfId="0" applyFont="1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18" fillId="4" borderId="3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0" borderId="11" xfId="0" applyNumberFormat="1" applyFont="1" applyFill="1" applyBorder="1" applyAlignment="1"/>
    <xf numFmtId="0" fontId="18" fillId="0" borderId="2" xfId="0" applyFont="1" applyFill="1" applyBorder="1" applyAlignment="1"/>
    <xf numFmtId="0" fontId="18" fillId="0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2" fontId="5" fillId="0" borderId="18" xfId="0" applyNumberFormat="1" applyFont="1" applyFill="1" applyBorder="1" applyAlignment="1"/>
    <xf numFmtId="0" fontId="0" fillId="0" borderId="12" xfId="0" applyFill="1" applyBorder="1" applyAlignment="1"/>
    <xf numFmtId="0" fontId="0" fillId="0" borderId="9" xfId="0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2" xfId="0" applyFill="1" applyBorder="1" applyAlignment="1"/>
    <xf numFmtId="0" fontId="0" fillId="0" borderId="4" xfId="0" applyFill="1" applyBorder="1" applyAlignment="1"/>
    <xf numFmtId="0" fontId="74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1" fillId="2" borderId="0" xfId="2" applyFont="1" applyFill="1" applyAlignment="1" applyProtection="1"/>
    <xf numFmtId="0" fontId="51" fillId="0" borderId="0" xfId="2" applyFont="1" applyAlignment="1" applyProtection="1"/>
    <xf numFmtId="0" fontId="62" fillId="19" borderId="7" xfId="0" applyFont="1" applyFill="1" applyBorder="1" applyAlignment="1">
      <alignment horizontal="center" vertical="center" wrapText="1"/>
    </xf>
    <xf numFmtId="0" fontId="62" fillId="19" borderId="5" xfId="0" applyFont="1" applyFill="1" applyBorder="1" applyAlignment="1">
      <alignment horizontal="center" vertical="center" wrapText="1"/>
    </xf>
    <xf numFmtId="0" fontId="89" fillId="15" borderId="0" xfId="0" applyFont="1" applyFill="1" applyBorder="1" applyAlignment="1">
      <alignment horizontal="center" vertical="center" wrapText="1"/>
    </xf>
    <xf numFmtId="0" fontId="81" fillId="15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2" fontId="17" fillId="7" borderId="3" xfId="0" applyNumberFormat="1" applyFont="1" applyFill="1" applyBorder="1" applyAlignment="1"/>
    <xf numFmtId="0" fontId="11" fillId="7" borderId="3" xfId="0" applyFont="1" applyFill="1" applyBorder="1" applyAlignment="1"/>
    <xf numFmtId="0" fontId="0" fillId="6" borderId="3" xfId="0" applyFill="1" applyBorder="1" applyAlignment="1">
      <alignment wrapText="1"/>
    </xf>
    <xf numFmtId="0" fontId="67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66" fillId="12" borderId="19" xfId="0" applyFont="1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Alignment="1">
      <alignment horizontal="center" vertical="center" wrapText="1"/>
    </xf>
    <xf numFmtId="0" fontId="66" fillId="12" borderId="22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6" fillId="12" borderId="12" xfId="0" applyFont="1" applyFill="1" applyBorder="1" applyAlignment="1">
      <alignment horizontal="center" vertical="center" wrapText="1"/>
    </xf>
    <xf numFmtId="0" fontId="66" fillId="12" borderId="9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/>
    <xf numFmtId="0" fontId="1" fillId="4" borderId="5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0" fillId="4" borderId="5" xfId="0" applyFill="1" applyBorder="1" applyAlignment="1"/>
    <xf numFmtId="0" fontId="78" fillId="16" borderId="5" xfId="0" applyFont="1" applyFill="1" applyBorder="1" applyAlignment="1"/>
    <xf numFmtId="0" fontId="79" fillId="16" borderId="5" xfId="0" applyFont="1" applyFill="1" applyBorder="1" applyAlignment="1"/>
    <xf numFmtId="0" fontId="78" fillId="13" borderId="5" xfId="0" applyFont="1" applyFill="1" applyBorder="1" applyAlignment="1"/>
    <xf numFmtId="0" fontId="79" fillId="13" borderId="5" xfId="0" applyFont="1" applyFill="1" applyBorder="1" applyAlignment="1"/>
    <xf numFmtId="0" fontId="18" fillId="4" borderId="5" xfId="0" applyFont="1" applyFill="1" applyBorder="1" applyAlignment="1"/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/>
    <xf numFmtId="0" fontId="5" fillId="7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5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0" fontId="87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5" fillId="4" borderId="3" xfId="0" applyFont="1" applyFill="1" applyBorder="1" applyAlignment="1">
      <alignment horizontal="left"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8" fillId="13" borderId="23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27" xfId="0" applyFont="1" applyFill="1" applyBorder="1" applyAlignment="1">
      <alignment horizontal="center" vertical="center" wrapText="1"/>
    </xf>
    <xf numFmtId="0" fontId="78" fillId="13" borderId="6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3" xfId="0" applyFont="1" applyFill="1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78" fillId="13" borderId="20" xfId="0" applyFont="1" applyFill="1" applyBorder="1" applyAlignment="1">
      <alignment horizontal="center" vertical="center" wrapText="1"/>
    </xf>
    <xf numFmtId="0" fontId="78" fillId="13" borderId="28" xfId="0" applyFont="1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105" fillId="15" borderId="15" xfId="0" applyFont="1" applyFill="1" applyBorder="1" applyAlignment="1">
      <alignment horizontal="center" vertical="center" wrapText="1"/>
    </xf>
    <xf numFmtId="0" fontId="77" fillId="17" borderId="5" xfId="0" applyFont="1" applyFill="1" applyBorder="1" applyAlignment="1"/>
    <xf numFmtId="0" fontId="105" fillId="17" borderId="5" xfId="0" applyFont="1" applyFill="1" applyBorder="1" applyAlignment="1"/>
    <xf numFmtId="0" fontId="86" fillId="13" borderId="16" xfId="0" applyFont="1" applyFill="1" applyBorder="1" applyAlignment="1">
      <alignment horizontal="center" vertical="center" wrapText="1"/>
    </xf>
    <xf numFmtId="0" fontId="87" fillId="13" borderId="25" xfId="0" applyFont="1" applyFill="1" applyBorder="1" applyAlignment="1">
      <alignment horizontal="center" vertical="center" wrapText="1"/>
    </xf>
    <xf numFmtId="0" fontId="87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21" borderId="5" xfId="0" applyFont="1" applyFill="1" applyBorder="1" applyAlignment="1"/>
    <xf numFmtId="0" fontId="0" fillId="21" borderId="5" xfId="0" applyFill="1" applyBorder="1" applyAlignment="1"/>
    <xf numFmtId="2" fontId="77" fillId="13" borderId="11" xfId="0" applyNumberFormat="1" applyFont="1" applyFill="1" applyBorder="1" applyAlignment="1">
      <alignment horizontal="center" vertical="center"/>
    </xf>
    <xf numFmtId="0" fontId="77" fillId="13" borderId="2" xfId="0" applyFont="1" applyFill="1" applyBorder="1" applyAlignment="1">
      <alignment horizontal="center" vertical="center"/>
    </xf>
    <xf numFmtId="0" fontId="79" fillId="13" borderId="4" xfId="0" applyFont="1" applyFill="1" applyBorder="1" applyAlignment="1">
      <alignment horizontal="center" vertical="center"/>
    </xf>
    <xf numFmtId="0" fontId="79" fillId="15" borderId="0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62" fillId="11" borderId="7" xfId="0" applyFont="1" applyFill="1" applyBorder="1" applyAlignment="1">
      <alignment horizontal="center" vertical="center" wrapText="1"/>
    </xf>
    <xf numFmtId="0" fontId="61" fillId="11" borderId="5" xfId="0" applyFont="1" applyFill="1" applyBorder="1" applyAlignment="1">
      <alignment horizontal="center" vertical="center" wrapText="1"/>
    </xf>
    <xf numFmtId="2" fontId="105" fillId="13" borderId="25" xfId="0" applyNumberFormat="1" applyFont="1" applyFill="1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9" xfId="0" applyFont="1" applyFill="1" applyBorder="1" applyAlignment="1">
      <alignment horizontal="center" vertical="center" wrapText="1"/>
    </xf>
    <xf numFmtId="2" fontId="85" fillId="4" borderId="11" xfId="0" applyNumberFormat="1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18" fillId="21" borderId="3" xfId="0" applyFont="1" applyFill="1" applyBorder="1" applyAlignment="1"/>
    <xf numFmtId="0" fontId="1" fillId="6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78" fillId="15" borderId="15" xfId="0" applyNumberFormat="1" applyFont="1" applyFill="1" applyBorder="1" applyAlignment="1">
      <alignment horizontal="center" vertical="center" wrapText="1"/>
    </xf>
    <xf numFmtId="0" fontId="79" fillId="15" borderId="15" xfId="0" applyFont="1" applyFill="1" applyBorder="1" applyAlignment="1">
      <alignment horizontal="center" vertical="center" wrapText="1"/>
    </xf>
    <xf numFmtId="0" fontId="105" fillId="15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74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4" fillId="9" borderId="1" xfId="0" applyFont="1" applyFill="1" applyBorder="1" applyAlignment="1">
      <alignment vertical="center"/>
    </xf>
    <xf numFmtId="0" fontId="76" fillId="9" borderId="0" xfId="0" applyFont="1" applyFill="1" applyBorder="1" applyAlignment="1">
      <alignment vertical="center"/>
    </xf>
    <xf numFmtId="0" fontId="76" fillId="9" borderId="22" xfId="0" applyFont="1" applyFill="1" applyBorder="1" applyAlignment="1">
      <alignment vertical="center"/>
    </xf>
    <xf numFmtId="2" fontId="85" fillId="7" borderId="3" xfId="0" applyNumberFormat="1" applyFont="1" applyFill="1" applyBorder="1" applyAlignment="1"/>
    <xf numFmtId="0" fontId="84" fillId="7" borderId="3" xfId="0" applyFont="1" applyFill="1" applyBorder="1" applyAlignment="1"/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2" fontId="0" fillId="7" borderId="3" xfId="0" applyNumberFormat="1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101" fillId="13" borderId="11" xfId="2" applyFont="1" applyFill="1" applyBorder="1" applyAlignment="1" applyProtection="1">
      <alignment horizontal="center" vertical="center" wrapText="1"/>
    </xf>
    <xf numFmtId="0" fontId="101" fillId="13" borderId="2" xfId="2" applyFont="1" applyFill="1" applyBorder="1" applyAlignment="1" applyProtection="1">
      <alignment horizontal="center" vertical="center" wrapText="1"/>
    </xf>
    <xf numFmtId="0" fontId="101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7" fillId="9" borderId="40" xfId="0" applyFont="1" applyFill="1" applyBorder="1" applyAlignment="1">
      <alignment horizontal="center" vertical="center" wrapText="1"/>
    </xf>
    <xf numFmtId="0" fontId="37" fillId="9" borderId="31" xfId="0" applyFont="1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100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3" fillId="13" borderId="39" xfId="0" applyFont="1" applyFill="1" applyBorder="1" applyAlignment="1">
      <alignment horizontal="center" vertical="center" wrapText="1"/>
    </xf>
    <xf numFmtId="0" fontId="79" fillId="13" borderId="29" xfId="0" applyFont="1" applyFill="1" applyBorder="1" applyAlignment="1">
      <alignment horizontal="center" vertical="center" wrapText="1"/>
    </xf>
    <xf numFmtId="0" fontId="79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0" fillId="6" borderId="3" xfId="0" applyNumberFormat="1" applyFill="1" applyBorder="1" applyAlignment="1"/>
    <xf numFmtId="0" fontId="98" fillId="13" borderId="11" xfId="0" applyFont="1" applyFill="1" applyBorder="1" applyAlignment="1">
      <alignment horizontal="center" vertical="center" wrapText="1"/>
    </xf>
    <xf numFmtId="0" fontId="98" fillId="13" borderId="2" xfId="0" applyFont="1" applyFill="1" applyBorder="1" applyAlignment="1">
      <alignment horizontal="center" vertical="center" wrapText="1"/>
    </xf>
    <xf numFmtId="0" fontId="99" fillId="13" borderId="4" xfId="0" applyFont="1" applyFill="1" applyBorder="1" applyAlignment="1">
      <alignment horizontal="center" vertical="center" wrapText="1"/>
    </xf>
    <xf numFmtId="2" fontId="0" fillId="4" borderId="3" xfId="0" applyNumberFormat="1" applyFill="1" applyBorder="1" applyAlignment="1"/>
    <xf numFmtId="2" fontId="17" fillId="7" borderId="11" xfId="0" applyNumberFormat="1" applyFont="1" applyFill="1" applyBorder="1" applyAlignment="1"/>
    <xf numFmtId="0" fontId="85" fillId="7" borderId="3" xfId="0" applyFont="1" applyFill="1" applyBorder="1" applyAlignment="1">
      <alignment horizontal="left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73" fillId="4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2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2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73" fillId="21" borderId="3" xfId="0" applyNumberFormat="1" applyFont="1" applyFill="1" applyBorder="1" applyAlignment="1"/>
    <xf numFmtId="0" fontId="66" fillId="21" borderId="3" xfId="0" applyFont="1" applyFill="1" applyBorder="1" applyAlignment="1"/>
    <xf numFmtId="0" fontId="106" fillId="12" borderId="16" xfId="0" applyFont="1" applyFill="1" applyBorder="1" applyAlignment="1">
      <alignment horizontal="center" vertical="center" wrapText="1"/>
    </xf>
    <xf numFmtId="0" fontId="106" fillId="12" borderId="25" xfId="0" applyFont="1" applyFill="1" applyBorder="1" applyAlignment="1">
      <alignment horizontal="center" vertical="center" wrapText="1"/>
    </xf>
    <xf numFmtId="0" fontId="106" fillId="12" borderId="19" xfId="0" applyFont="1" applyFill="1" applyBorder="1" applyAlignment="1">
      <alignment horizontal="center" vertical="center" wrapText="1"/>
    </xf>
    <xf numFmtId="0" fontId="106" fillId="12" borderId="1" xfId="0" applyFont="1" applyFill="1" applyBorder="1" applyAlignment="1">
      <alignment horizontal="center" vertical="center" wrapText="1"/>
    </xf>
    <xf numFmtId="0" fontId="106" fillId="12" borderId="0" xfId="0" applyFont="1" applyFill="1" applyBorder="1" applyAlignment="1">
      <alignment horizontal="center" vertical="center" wrapText="1"/>
    </xf>
    <xf numFmtId="0" fontId="106" fillId="12" borderId="22" xfId="0" applyFont="1" applyFill="1" applyBorder="1" applyAlignment="1">
      <alignment horizontal="center" vertical="center" wrapText="1"/>
    </xf>
    <xf numFmtId="0" fontId="106" fillId="12" borderId="18" xfId="0" applyFont="1" applyFill="1" applyBorder="1" applyAlignment="1">
      <alignment horizontal="center" vertical="center" wrapText="1"/>
    </xf>
    <xf numFmtId="0" fontId="106" fillId="12" borderId="12" xfId="0" applyFont="1" applyFill="1" applyBorder="1" applyAlignment="1">
      <alignment horizontal="center" vertical="center" wrapText="1"/>
    </xf>
    <xf numFmtId="0" fontId="106" fillId="12" borderId="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67" fillId="9" borderId="0" xfId="0" applyFont="1" applyFill="1" applyBorder="1" applyAlignment="1"/>
    <xf numFmtId="0" fontId="66" fillId="0" borderId="0" xfId="0" applyFont="1" applyAlignment="1"/>
    <xf numFmtId="0" fontId="66" fillId="0" borderId="22" xfId="0" applyFont="1" applyBorder="1" applyAlignment="1"/>
    <xf numFmtId="0" fontId="2" fillId="4" borderId="3" xfId="0" applyFont="1" applyFill="1" applyBorder="1" applyAlignment="1">
      <alignment horizontal="left" vertical="center" wrapText="1"/>
    </xf>
    <xf numFmtId="2" fontId="60" fillId="1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2" fontId="67" fillId="12" borderId="16" xfId="0" applyNumberFormat="1" applyFont="1" applyFill="1" applyBorder="1" applyAlignment="1">
      <alignment horizontal="center" vertical="center" wrapText="1"/>
    </xf>
    <xf numFmtId="0" fontId="73" fillId="1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12" borderId="1" xfId="0" applyFont="1" applyFill="1" applyBorder="1" applyAlignment="1">
      <alignment horizontal="center" vertical="center" wrapText="1"/>
    </xf>
    <xf numFmtId="0" fontId="73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3" fillId="12" borderId="18" xfId="0" applyFont="1" applyFill="1" applyBorder="1" applyAlignment="1">
      <alignment horizontal="center" vertical="center" wrapText="1"/>
    </xf>
    <xf numFmtId="0" fontId="73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5" fillId="21" borderId="5" xfId="0" applyNumberFormat="1" applyFont="1" applyFill="1" applyBorder="1" applyAlignment="1"/>
    <xf numFmtId="2" fontId="1" fillId="21" borderId="5" xfId="0" applyNumberFormat="1" applyFont="1" applyFill="1" applyBorder="1" applyAlignment="1"/>
    <xf numFmtId="0" fontId="1" fillId="6" borderId="3" xfId="0" applyFont="1" applyFill="1" applyBorder="1" applyAlignment="1"/>
    <xf numFmtId="2" fontId="41" fillId="7" borderId="3" xfId="0" applyNumberFormat="1" applyFont="1" applyFill="1" applyBorder="1" applyAlignment="1">
      <alignment horizontal="center" vertical="center" wrapText="1"/>
    </xf>
    <xf numFmtId="2" fontId="46" fillId="7" borderId="3" xfId="0" applyNumberFormat="1" applyFont="1" applyFill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0" fillId="7" borderId="11" xfId="0" applyFill="1" applyBorder="1" applyAlignment="1"/>
    <xf numFmtId="0" fontId="0" fillId="4" borderId="11" xfId="0" applyFill="1" applyBorder="1" applyAlignment="1"/>
    <xf numFmtId="0" fontId="39" fillId="7" borderId="3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73" fillId="12" borderId="19" xfId="0" applyFont="1" applyFill="1" applyBorder="1" applyAlignment="1">
      <alignment horizontal="center" vertical="center" wrapText="1"/>
    </xf>
    <xf numFmtId="0" fontId="73" fillId="12" borderId="9" xfId="0" applyFont="1" applyFill="1" applyBorder="1" applyAlignment="1">
      <alignment horizontal="center" vertical="center" wrapText="1"/>
    </xf>
    <xf numFmtId="0" fontId="95" fillId="9" borderId="0" xfId="0" applyFont="1" applyFill="1" applyBorder="1" applyAlignment="1"/>
    <xf numFmtId="0" fontId="66" fillId="9" borderId="0" xfId="0" applyFont="1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0" fontId="0" fillId="7" borderId="7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60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60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9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9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0" fontId="64" fillId="2" borderId="7" xfId="2" applyFont="1" applyFill="1" applyBorder="1" applyAlignment="1" applyProtection="1">
      <alignment horizontal="center" vertical="center"/>
    </xf>
    <xf numFmtId="0" fontId="64" fillId="0" borderId="5" xfId="2" applyFont="1" applyBorder="1" applyAlignment="1" applyProtection="1">
      <alignment horizontal="center" vertical="center"/>
    </xf>
    <xf numFmtId="0" fontId="46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5" fillId="19" borderId="25" xfId="0" applyFont="1" applyFill="1" applyBorder="1" applyAlignment="1">
      <alignment horizontal="center" vertical="center" wrapText="1"/>
    </xf>
    <xf numFmtId="0" fontId="45" fillId="19" borderId="19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88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6" fillId="19" borderId="18" xfId="2" applyFont="1" applyFill="1" applyBorder="1" applyAlignment="1" applyProtection="1">
      <alignment horizontal="left" vertical="center"/>
    </xf>
    <xf numFmtId="0" fontId="116" fillId="19" borderId="12" xfId="2" applyFont="1" applyFill="1" applyBorder="1" applyAlignment="1" applyProtection="1">
      <alignment horizontal="left" vertical="center"/>
    </xf>
    <xf numFmtId="0" fontId="91" fillId="20" borderId="11" xfId="0" applyFont="1" applyFill="1" applyBorder="1" applyAlignment="1">
      <alignment horizontal="center" vertical="center"/>
    </xf>
    <xf numFmtId="0" fontId="92" fillId="20" borderId="2" xfId="0" applyFont="1" applyFill="1" applyBorder="1" applyAlignment="1">
      <alignment horizontal="center" vertical="center"/>
    </xf>
    <xf numFmtId="0" fontId="92" fillId="20" borderId="4" xfId="0" applyFont="1" applyFill="1" applyBorder="1" applyAlignment="1">
      <alignment horizontal="center" vertical="center"/>
    </xf>
    <xf numFmtId="0" fontId="119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5" fillId="19" borderId="16" xfId="2" applyFont="1" applyFill="1" applyBorder="1" applyAlignment="1" applyProtection="1">
      <alignment horizontal="center" vertical="center" wrapText="1"/>
    </xf>
    <xf numFmtId="0" fontId="115" fillId="19" borderId="25" xfId="2" applyFont="1" applyFill="1" applyBorder="1" applyAlignment="1" applyProtection="1">
      <alignment horizontal="center" vertical="center" wrapText="1"/>
    </xf>
    <xf numFmtId="0" fontId="115" fillId="19" borderId="19" xfId="2" applyFont="1" applyFill="1" applyBorder="1" applyAlignment="1" applyProtection="1">
      <alignment horizontal="center" vertical="center" wrapText="1"/>
    </xf>
    <xf numFmtId="0" fontId="115" fillId="19" borderId="18" xfId="2" applyFont="1" applyFill="1" applyBorder="1" applyAlignment="1" applyProtection="1">
      <alignment horizontal="center" vertical="center" wrapText="1"/>
    </xf>
    <xf numFmtId="0" fontId="115" fillId="19" borderId="12" xfId="2" applyFont="1" applyFill="1" applyBorder="1" applyAlignment="1" applyProtection="1">
      <alignment horizontal="center" vertical="center" wrapText="1"/>
    </xf>
    <xf numFmtId="0" fontId="115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3" fillId="8" borderId="11" xfId="0" applyFont="1" applyFill="1" applyBorder="1" applyAlignment="1">
      <alignment horizontal="center" vertical="center" wrapText="1"/>
    </xf>
    <xf numFmtId="0" fontId="113" fillId="8" borderId="2" xfId="0" applyFont="1" applyFill="1" applyBorder="1" applyAlignment="1">
      <alignment horizontal="center" vertical="center" wrapText="1"/>
    </xf>
    <xf numFmtId="0" fontId="114" fillId="8" borderId="4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wrapText="1"/>
    </xf>
    <xf numFmtId="0" fontId="54" fillId="3" borderId="2" xfId="0" applyFont="1" applyFill="1" applyBorder="1" applyAlignment="1">
      <alignment horizontal="center" wrapText="1"/>
    </xf>
    <xf numFmtId="0" fontId="48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4" fillId="4" borderId="11" xfId="0" applyFont="1" applyFill="1" applyBorder="1" applyAlignment="1">
      <alignment horizontal="center" vertical="center"/>
    </xf>
    <xf numFmtId="0" fontId="92" fillId="4" borderId="2" xfId="0" applyFont="1" applyFill="1" applyBorder="1" applyAlignment="1">
      <alignment horizontal="center" vertical="center"/>
    </xf>
    <xf numFmtId="0" fontId="92" fillId="4" borderId="2" xfId="0" applyFont="1" applyFill="1" applyBorder="1" applyAlignment="1"/>
    <xf numFmtId="0" fontId="92" fillId="4" borderId="4" xfId="0" applyFont="1" applyFill="1" applyBorder="1" applyAlignment="1"/>
    <xf numFmtId="0" fontId="111" fillId="19" borderId="11" xfId="0" applyFont="1" applyFill="1" applyBorder="1" applyAlignment="1">
      <alignment horizontal="center" vertical="center" wrapText="1"/>
    </xf>
    <xf numFmtId="0" fontId="112" fillId="19" borderId="2" xfId="0" applyFont="1" applyFill="1" applyBorder="1" applyAlignment="1">
      <alignment horizontal="center" vertical="center" wrapText="1"/>
    </xf>
    <xf numFmtId="0" fontId="112" fillId="19" borderId="4" xfId="0" applyFont="1" applyFill="1" applyBorder="1" applyAlignment="1">
      <alignment horizontal="center" vertical="center" wrapText="1"/>
    </xf>
    <xf numFmtId="0" fontId="89" fillId="13" borderId="11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/>
    </xf>
    <xf numFmtId="0" fontId="79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90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53" fillId="4" borderId="0" xfId="2" applyFont="1" applyFill="1" applyAlignment="1" applyProtection="1"/>
    <xf numFmtId="0" fontId="53" fillId="0" borderId="0" xfId="2" applyFont="1" applyAlignment="1" applyProtection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2" fontId="59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/>
    <xf numFmtId="0" fontId="0" fillId="6" borderId="5" xfId="0" applyFill="1" applyBorder="1" applyAlignment="1"/>
    <xf numFmtId="2" fontId="59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74" fillId="4" borderId="1" xfId="0" applyFont="1" applyFill="1" applyBorder="1" applyAlignment="1"/>
    <xf numFmtId="0" fontId="0" fillId="4" borderId="0" xfId="0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4" fillId="9" borderId="0" xfId="0" applyFont="1" applyFill="1" applyBorder="1" applyAlignment="1"/>
    <xf numFmtId="0" fontId="74" fillId="9" borderId="22" xfId="0" applyFont="1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67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7" fillId="12" borderId="1" xfId="0" applyFont="1" applyFill="1" applyBorder="1" applyAlignment="1">
      <alignment horizontal="center" vertical="center" wrapText="1"/>
    </xf>
    <xf numFmtId="0" fontId="67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4" borderId="18" xfId="0" applyFont="1" applyFill="1" applyBorder="1" applyAlignment="1"/>
    <xf numFmtId="0" fontId="1" fillId="21" borderId="3" xfId="0" applyFont="1" applyFill="1" applyBorder="1" applyAlignment="1"/>
    <xf numFmtId="0" fontId="4" fillId="19" borderId="22" xfId="2" applyFont="1" applyFill="1" applyBorder="1" applyAlignment="1" applyProtection="1">
      <alignment horizontal="center" vertical="center" wrapText="1"/>
    </xf>
    <xf numFmtId="2" fontId="5" fillId="21" borderId="3" xfId="0" applyNumberFormat="1" applyFont="1" applyFill="1" applyBorder="1" applyAlignment="1">
      <alignment wrapText="1"/>
    </xf>
    <xf numFmtId="0" fontId="62" fillId="19" borderId="15" xfId="0" applyFont="1" applyFill="1" applyBorder="1" applyAlignment="1">
      <alignment horizontal="center" vertical="center"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CFF99"/>
      <color rgb="FFFF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jpe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jpe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737</xdr:row>
      <xdr:rowOff>28575</xdr:rowOff>
    </xdr:from>
    <xdr:to>
      <xdr:col>1</xdr:col>
      <xdr:colOff>295275</xdr:colOff>
      <xdr:row>737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735</xdr:row>
      <xdr:rowOff>19050</xdr:rowOff>
    </xdr:from>
    <xdr:to>
      <xdr:col>1</xdr:col>
      <xdr:colOff>180975</xdr:colOff>
      <xdr:row>735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116</xdr:row>
      <xdr:rowOff>0</xdr:rowOff>
    </xdr:from>
    <xdr:to>
      <xdr:col>38</xdr:col>
      <xdr:colOff>371475</xdr:colOff>
      <xdr:row>119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725</xdr:row>
      <xdr:rowOff>76200</xdr:rowOff>
    </xdr:from>
    <xdr:to>
      <xdr:col>8</xdr:col>
      <xdr:colOff>353861</xdr:colOff>
      <xdr:row>731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739</xdr:row>
      <xdr:rowOff>38100</xdr:rowOff>
    </xdr:from>
    <xdr:to>
      <xdr:col>1</xdr:col>
      <xdr:colOff>295275</xdr:colOff>
      <xdr:row>739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738</xdr:row>
      <xdr:rowOff>38100</xdr:rowOff>
    </xdr:from>
    <xdr:to>
      <xdr:col>1</xdr:col>
      <xdr:colOff>295275</xdr:colOff>
      <xdr:row>738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19050</xdr:rowOff>
    </xdr:from>
    <xdr:to>
      <xdr:col>1</xdr:col>
      <xdr:colOff>0</xdr:colOff>
      <xdr:row>650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754</xdr:row>
      <xdr:rowOff>36168</xdr:rowOff>
    </xdr:from>
    <xdr:to>
      <xdr:col>22</xdr:col>
      <xdr:colOff>273705</xdr:colOff>
      <xdr:row>754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28575</xdr:rowOff>
    </xdr:from>
    <xdr:to>
      <xdr:col>1</xdr:col>
      <xdr:colOff>0</xdr:colOff>
      <xdr:row>355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28575</xdr:rowOff>
    </xdr:from>
    <xdr:to>
      <xdr:col>1</xdr:col>
      <xdr:colOff>0</xdr:colOff>
      <xdr:row>223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28575</xdr:rowOff>
    </xdr:from>
    <xdr:to>
      <xdr:col>1</xdr:col>
      <xdr:colOff>0</xdr:colOff>
      <xdr:row>451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633</xdr:row>
      <xdr:rowOff>19050</xdr:rowOff>
    </xdr:from>
    <xdr:to>
      <xdr:col>24</xdr:col>
      <xdr:colOff>47625</xdr:colOff>
      <xdr:row>633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634</xdr:row>
      <xdr:rowOff>19050</xdr:rowOff>
    </xdr:from>
    <xdr:to>
      <xdr:col>24</xdr:col>
      <xdr:colOff>47625</xdr:colOff>
      <xdr:row>634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635</xdr:row>
      <xdr:rowOff>19050</xdr:rowOff>
    </xdr:from>
    <xdr:to>
      <xdr:col>24</xdr:col>
      <xdr:colOff>47625</xdr:colOff>
      <xdr:row>635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636</xdr:row>
      <xdr:rowOff>19050</xdr:rowOff>
    </xdr:from>
    <xdr:to>
      <xdr:col>24</xdr:col>
      <xdr:colOff>47625</xdr:colOff>
      <xdr:row>636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664</xdr:row>
      <xdr:rowOff>19050</xdr:rowOff>
    </xdr:from>
    <xdr:to>
      <xdr:col>24</xdr:col>
      <xdr:colOff>47625</xdr:colOff>
      <xdr:row>664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654</xdr:row>
      <xdr:rowOff>19050</xdr:rowOff>
    </xdr:from>
    <xdr:to>
      <xdr:col>24</xdr:col>
      <xdr:colOff>47625</xdr:colOff>
      <xdr:row>654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276</xdr:row>
      <xdr:rowOff>19050</xdr:rowOff>
    </xdr:from>
    <xdr:to>
      <xdr:col>26</xdr:col>
      <xdr:colOff>9524</xdr:colOff>
      <xdr:row>276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47625</xdr:colOff>
      <xdr:row>225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183</xdr:row>
      <xdr:rowOff>19050</xdr:rowOff>
    </xdr:from>
    <xdr:to>
      <xdr:col>26</xdr:col>
      <xdr:colOff>9524</xdr:colOff>
      <xdr:row>183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116</xdr:row>
      <xdr:rowOff>19050</xdr:rowOff>
    </xdr:from>
    <xdr:to>
      <xdr:col>26</xdr:col>
      <xdr:colOff>9524</xdr:colOff>
      <xdr:row>116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324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626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28575</xdr:rowOff>
    </xdr:from>
    <xdr:to>
      <xdr:col>1</xdr:col>
      <xdr:colOff>0</xdr:colOff>
      <xdr:row>359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618</xdr:row>
      <xdr:rowOff>19050</xdr:rowOff>
    </xdr:from>
    <xdr:to>
      <xdr:col>24</xdr:col>
      <xdr:colOff>47625</xdr:colOff>
      <xdr:row>618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19050</xdr:rowOff>
    </xdr:from>
    <xdr:to>
      <xdr:col>24</xdr:col>
      <xdr:colOff>47625</xdr:colOff>
      <xdr:row>619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227</xdr:row>
      <xdr:rowOff>19050</xdr:rowOff>
    </xdr:from>
    <xdr:to>
      <xdr:col>26</xdr:col>
      <xdr:colOff>9524</xdr:colOff>
      <xdr:row>227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538</xdr:row>
      <xdr:rowOff>19050</xdr:rowOff>
    </xdr:from>
    <xdr:to>
      <xdr:col>24</xdr:col>
      <xdr:colOff>48389</xdr:colOff>
      <xdr:row>538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532</xdr:row>
      <xdr:rowOff>19050</xdr:rowOff>
    </xdr:from>
    <xdr:to>
      <xdr:col>24</xdr:col>
      <xdr:colOff>48389</xdr:colOff>
      <xdr:row>532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541</xdr:row>
      <xdr:rowOff>19050</xdr:rowOff>
    </xdr:from>
    <xdr:to>
      <xdr:col>24</xdr:col>
      <xdr:colOff>47625</xdr:colOff>
      <xdr:row>541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629</xdr:row>
      <xdr:rowOff>19050</xdr:rowOff>
    </xdr:from>
    <xdr:to>
      <xdr:col>10</xdr:col>
      <xdr:colOff>1</xdr:colOff>
      <xdr:row>629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630</xdr:row>
      <xdr:rowOff>19050</xdr:rowOff>
    </xdr:from>
    <xdr:to>
      <xdr:col>10</xdr:col>
      <xdr:colOff>1</xdr:colOff>
      <xdr:row>630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631</xdr:row>
      <xdr:rowOff>19050</xdr:rowOff>
    </xdr:from>
    <xdr:to>
      <xdr:col>10</xdr:col>
      <xdr:colOff>1</xdr:colOff>
      <xdr:row>631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632</xdr:row>
      <xdr:rowOff>19050</xdr:rowOff>
    </xdr:from>
    <xdr:to>
      <xdr:col>10</xdr:col>
      <xdr:colOff>1</xdr:colOff>
      <xdr:row>632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650</xdr:row>
      <xdr:rowOff>19050</xdr:rowOff>
    </xdr:from>
    <xdr:to>
      <xdr:col>10</xdr:col>
      <xdr:colOff>1</xdr:colOff>
      <xdr:row>650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47625</xdr:colOff>
      <xdr:row>620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633</xdr:row>
      <xdr:rowOff>19050</xdr:rowOff>
    </xdr:from>
    <xdr:to>
      <xdr:col>10</xdr:col>
      <xdr:colOff>1</xdr:colOff>
      <xdr:row>633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634</xdr:row>
      <xdr:rowOff>19050</xdr:rowOff>
    </xdr:from>
    <xdr:to>
      <xdr:col>10</xdr:col>
      <xdr:colOff>1</xdr:colOff>
      <xdr:row>634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635</xdr:row>
      <xdr:rowOff>19050</xdr:rowOff>
    </xdr:from>
    <xdr:to>
      <xdr:col>10</xdr:col>
      <xdr:colOff>1</xdr:colOff>
      <xdr:row>635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682</xdr:row>
      <xdr:rowOff>19050</xdr:rowOff>
    </xdr:from>
    <xdr:to>
      <xdr:col>10</xdr:col>
      <xdr:colOff>1</xdr:colOff>
      <xdr:row>682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10</xdr:col>
      <xdr:colOff>1</xdr:colOff>
      <xdr:row>213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644</xdr:row>
      <xdr:rowOff>19050</xdr:rowOff>
    </xdr:from>
    <xdr:to>
      <xdr:col>10</xdr:col>
      <xdr:colOff>1</xdr:colOff>
      <xdr:row>644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47624</xdr:colOff>
      <xdr:row>220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312</xdr:row>
      <xdr:rowOff>19050</xdr:rowOff>
    </xdr:from>
    <xdr:to>
      <xdr:col>25</xdr:col>
      <xdr:colOff>83819</xdr:colOff>
      <xdr:row>312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261</xdr:row>
      <xdr:rowOff>19050</xdr:rowOff>
    </xdr:from>
    <xdr:to>
      <xdr:col>24</xdr:col>
      <xdr:colOff>47624</xdr:colOff>
      <xdr:row>261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268</xdr:row>
      <xdr:rowOff>19050</xdr:rowOff>
    </xdr:from>
    <xdr:to>
      <xdr:col>26</xdr:col>
      <xdr:colOff>9524</xdr:colOff>
      <xdr:row>268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275</xdr:row>
      <xdr:rowOff>19050</xdr:rowOff>
    </xdr:from>
    <xdr:to>
      <xdr:col>26</xdr:col>
      <xdr:colOff>9524</xdr:colOff>
      <xdr:row>275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149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344</xdr:row>
      <xdr:rowOff>19050</xdr:rowOff>
    </xdr:from>
    <xdr:to>
      <xdr:col>26</xdr:col>
      <xdr:colOff>9524</xdr:colOff>
      <xdr:row>344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363</xdr:row>
      <xdr:rowOff>19050</xdr:rowOff>
    </xdr:from>
    <xdr:to>
      <xdr:col>26</xdr:col>
      <xdr:colOff>9524</xdr:colOff>
      <xdr:row>363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243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624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222</xdr:row>
      <xdr:rowOff>28575</xdr:rowOff>
    </xdr:from>
    <xdr:to>
      <xdr:col>1</xdr:col>
      <xdr:colOff>0</xdr:colOff>
      <xdr:row>222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662</xdr:row>
      <xdr:rowOff>19050</xdr:rowOff>
    </xdr:from>
    <xdr:to>
      <xdr:col>10</xdr:col>
      <xdr:colOff>1</xdr:colOff>
      <xdr:row>662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322</xdr:row>
      <xdr:rowOff>19050</xdr:rowOff>
    </xdr:from>
    <xdr:to>
      <xdr:col>25</xdr:col>
      <xdr:colOff>74294</xdr:colOff>
      <xdr:row>322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567</xdr:row>
      <xdr:rowOff>19050</xdr:rowOff>
    </xdr:from>
    <xdr:to>
      <xdr:col>24</xdr:col>
      <xdr:colOff>75821</xdr:colOff>
      <xdr:row>567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492</xdr:row>
      <xdr:rowOff>19050</xdr:rowOff>
    </xdr:from>
    <xdr:to>
      <xdr:col>24</xdr:col>
      <xdr:colOff>75821</xdr:colOff>
      <xdr:row>492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252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189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189</xdr:row>
      <xdr:rowOff>19050</xdr:rowOff>
    </xdr:from>
    <xdr:to>
      <xdr:col>26</xdr:col>
      <xdr:colOff>9524</xdr:colOff>
      <xdr:row>189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277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539</xdr:row>
      <xdr:rowOff>19050</xdr:rowOff>
    </xdr:from>
    <xdr:to>
      <xdr:col>24</xdr:col>
      <xdr:colOff>47625</xdr:colOff>
      <xdr:row>539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536</xdr:row>
      <xdr:rowOff>19050</xdr:rowOff>
    </xdr:from>
    <xdr:to>
      <xdr:col>24</xdr:col>
      <xdr:colOff>47625</xdr:colOff>
      <xdr:row>536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537</xdr:row>
      <xdr:rowOff>19050</xdr:rowOff>
    </xdr:from>
    <xdr:to>
      <xdr:col>24</xdr:col>
      <xdr:colOff>47625</xdr:colOff>
      <xdr:row>537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521</xdr:row>
      <xdr:rowOff>19050</xdr:rowOff>
    </xdr:from>
    <xdr:to>
      <xdr:col>24</xdr:col>
      <xdr:colOff>47625</xdr:colOff>
      <xdr:row>521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47625</xdr:colOff>
      <xdr:row>519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309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253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483</xdr:row>
      <xdr:rowOff>19050</xdr:rowOff>
    </xdr:from>
    <xdr:to>
      <xdr:col>11</xdr:col>
      <xdr:colOff>0</xdr:colOff>
      <xdr:row>483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484</xdr:row>
      <xdr:rowOff>19050</xdr:rowOff>
    </xdr:from>
    <xdr:to>
      <xdr:col>11</xdr:col>
      <xdr:colOff>0</xdr:colOff>
      <xdr:row>484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485</xdr:row>
      <xdr:rowOff>19050</xdr:rowOff>
    </xdr:from>
    <xdr:to>
      <xdr:col>11</xdr:col>
      <xdr:colOff>0</xdr:colOff>
      <xdr:row>485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486</xdr:row>
      <xdr:rowOff>19050</xdr:rowOff>
    </xdr:from>
    <xdr:to>
      <xdr:col>11</xdr:col>
      <xdr:colOff>0</xdr:colOff>
      <xdr:row>486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488</xdr:row>
      <xdr:rowOff>19050</xdr:rowOff>
    </xdr:from>
    <xdr:to>
      <xdr:col>11</xdr:col>
      <xdr:colOff>0</xdr:colOff>
      <xdr:row>488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489</xdr:row>
      <xdr:rowOff>19050</xdr:rowOff>
    </xdr:from>
    <xdr:to>
      <xdr:col>11</xdr:col>
      <xdr:colOff>0</xdr:colOff>
      <xdr:row>489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254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272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249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534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535</xdr:row>
      <xdr:rowOff>19050</xdr:rowOff>
    </xdr:from>
    <xdr:to>
      <xdr:col>24</xdr:col>
      <xdr:colOff>48389</xdr:colOff>
      <xdr:row>535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403</xdr:row>
      <xdr:rowOff>16566</xdr:rowOff>
    </xdr:from>
    <xdr:to>
      <xdr:col>24</xdr:col>
      <xdr:colOff>46383</xdr:colOff>
      <xdr:row>403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370</xdr:row>
      <xdr:rowOff>16566</xdr:rowOff>
    </xdr:from>
    <xdr:to>
      <xdr:col>24</xdr:col>
      <xdr:colOff>46383</xdr:colOff>
      <xdr:row>370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530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289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289</xdr:row>
      <xdr:rowOff>16566</xdr:rowOff>
    </xdr:from>
    <xdr:to>
      <xdr:col>25</xdr:col>
      <xdr:colOff>82577</xdr:colOff>
      <xdr:row>289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712</xdr:row>
      <xdr:rowOff>19050</xdr:rowOff>
    </xdr:from>
    <xdr:to>
      <xdr:col>13</xdr:col>
      <xdr:colOff>1</xdr:colOff>
      <xdr:row>712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713</xdr:row>
      <xdr:rowOff>19050</xdr:rowOff>
    </xdr:from>
    <xdr:to>
      <xdr:col>13</xdr:col>
      <xdr:colOff>1</xdr:colOff>
      <xdr:row>713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714</xdr:row>
      <xdr:rowOff>19050</xdr:rowOff>
    </xdr:from>
    <xdr:to>
      <xdr:col>13</xdr:col>
      <xdr:colOff>1</xdr:colOff>
      <xdr:row>714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381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527</xdr:row>
      <xdr:rowOff>19050</xdr:rowOff>
    </xdr:from>
    <xdr:to>
      <xdr:col>24</xdr:col>
      <xdr:colOff>47625</xdr:colOff>
      <xdr:row>527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410</xdr:row>
      <xdr:rowOff>28575</xdr:rowOff>
    </xdr:from>
    <xdr:to>
      <xdr:col>1</xdr:col>
      <xdr:colOff>0</xdr:colOff>
      <xdr:row>410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291</xdr:row>
      <xdr:rowOff>19050</xdr:rowOff>
    </xdr:from>
    <xdr:to>
      <xdr:col>24</xdr:col>
      <xdr:colOff>47624</xdr:colOff>
      <xdr:row>291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292</xdr:row>
      <xdr:rowOff>19050</xdr:rowOff>
    </xdr:from>
    <xdr:to>
      <xdr:col>24</xdr:col>
      <xdr:colOff>47624</xdr:colOff>
      <xdr:row>292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47624</xdr:colOff>
      <xdr:row>312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357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648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650</xdr:row>
      <xdr:rowOff>19050</xdr:rowOff>
    </xdr:from>
    <xdr:to>
      <xdr:col>24</xdr:col>
      <xdr:colOff>49180</xdr:colOff>
      <xdr:row>650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646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49180</xdr:colOff>
      <xdr:row>682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676</xdr:row>
      <xdr:rowOff>19050</xdr:rowOff>
    </xdr:from>
    <xdr:to>
      <xdr:col>24</xdr:col>
      <xdr:colOff>49180</xdr:colOff>
      <xdr:row>676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677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643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286</xdr:row>
      <xdr:rowOff>19050</xdr:rowOff>
    </xdr:from>
    <xdr:to>
      <xdr:col>18</xdr:col>
      <xdr:colOff>9526</xdr:colOff>
      <xdr:row>286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525</xdr:row>
      <xdr:rowOff>19050</xdr:rowOff>
    </xdr:from>
    <xdr:to>
      <xdr:col>24</xdr:col>
      <xdr:colOff>47625</xdr:colOff>
      <xdr:row>525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300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221</xdr:row>
      <xdr:rowOff>19050</xdr:rowOff>
    </xdr:from>
    <xdr:to>
      <xdr:col>24</xdr:col>
      <xdr:colOff>75821</xdr:colOff>
      <xdr:row>221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47624</xdr:colOff>
      <xdr:row>218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47624</xdr:colOff>
      <xdr:row>219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120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655</xdr:row>
      <xdr:rowOff>19050</xdr:rowOff>
    </xdr:from>
    <xdr:to>
      <xdr:col>10</xdr:col>
      <xdr:colOff>1</xdr:colOff>
      <xdr:row>655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656</xdr:row>
      <xdr:rowOff>19050</xdr:rowOff>
    </xdr:from>
    <xdr:to>
      <xdr:col>10</xdr:col>
      <xdr:colOff>1</xdr:colOff>
      <xdr:row>656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657</xdr:row>
      <xdr:rowOff>19050</xdr:rowOff>
    </xdr:from>
    <xdr:to>
      <xdr:col>10</xdr:col>
      <xdr:colOff>1</xdr:colOff>
      <xdr:row>657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658</xdr:row>
      <xdr:rowOff>19050</xdr:rowOff>
    </xdr:from>
    <xdr:to>
      <xdr:col>10</xdr:col>
      <xdr:colOff>1</xdr:colOff>
      <xdr:row>658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659</xdr:row>
      <xdr:rowOff>19050</xdr:rowOff>
    </xdr:from>
    <xdr:to>
      <xdr:col>10</xdr:col>
      <xdr:colOff>1</xdr:colOff>
      <xdr:row>659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660</xdr:row>
      <xdr:rowOff>19050</xdr:rowOff>
    </xdr:from>
    <xdr:to>
      <xdr:col>10</xdr:col>
      <xdr:colOff>1</xdr:colOff>
      <xdr:row>660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661</xdr:row>
      <xdr:rowOff>19050</xdr:rowOff>
    </xdr:from>
    <xdr:to>
      <xdr:col>10</xdr:col>
      <xdr:colOff>1</xdr:colOff>
      <xdr:row>661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654</xdr:row>
      <xdr:rowOff>19050</xdr:rowOff>
    </xdr:from>
    <xdr:to>
      <xdr:col>10</xdr:col>
      <xdr:colOff>1</xdr:colOff>
      <xdr:row>654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7736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323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371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373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47624</xdr:colOff>
      <xdr:row>466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47624</xdr:colOff>
      <xdr:row>465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415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47624</xdr:colOff>
      <xdr:row>383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47624</xdr:colOff>
      <xdr:row>343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28575</xdr:rowOff>
    </xdr:from>
    <xdr:to>
      <xdr:col>1</xdr:col>
      <xdr:colOff>0</xdr:colOff>
      <xdr:row>378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427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683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684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649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8213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255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307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647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647</xdr:row>
      <xdr:rowOff>19050</xdr:rowOff>
    </xdr:from>
    <xdr:to>
      <xdr:col>24</xdr:col>
      <xdr:colOff>47625</xdr:colOff>
      <xdr:row>647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394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574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551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552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553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313</xdr:row>
      <xdr:rowOff>19050</xdr:rowOff>
    </xdr:from>
    <xdr:to>
      <xdr:col>25</xdr:col>
      <xdr:colOff>83819</xdr:colOff>
      <xdr:row>313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28575</xdr:rowOff>
    </xdr:from>
    <xdr:to>
      <xdr:col>25</xdr:col>
      <xdr:colOff>83819</xdr:colOff>
      <xdr:row>310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379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242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279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570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596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681</xdr:row>
      <xdr:rowOff>19050</xdr:rowOff>
    </xdr:from>
    <xdr:to>
      <xdr:col>24</xdr:col>
      <xdr:colOff>47624</xdr:colOff>
      <xdr:row>681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366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366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251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459</xdr:row>
      <xdr:rowOff>19050</xdr:rowOff>
    </xdr:from>
    <xdr:to>
      <xdr:col>24</xdr:col>
      <xdr:colOff>47624</xdr:colOff>
      <xdr:row>459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165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119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418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563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287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287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228</xdr:row>
      <xdr:rowOff>28575</xdr:rowOff>
    </xdr:from>
    <xdr:to>
      <xdr:col>1</xdr:col>
      <xdr:colOff>0</xdr:colOff>
      <xdr:row>228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327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680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686</xdr:row>
      <xdr:rowOff>19050</xdr:rowOff>
    </xdr:from>
    <xdr:to>
      <xdr:col>24</xdr:col>
      <xdr:colOff>47625</xdr:colOff>
      <xdr:row>686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646</xdr:row>
      <xdr:rowOff>19050</xdr:rowOff>
    </xdr:from>
    <xdr:to>
      <xdr:col>26</xdr:col>
      <xdr:colOff>0</xdr:colOff>
      <xdr:row>646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649</xdr:row>
      <xdr:rowOff>19050</xdr:rowOff>
    </xdr:from>
    <xdr:to>
      <xdr:col>24</xdr:col>
      <xdr:colOff>47625</xdr:colOff>
      <xdr:row>649</xdr:row>
      <xdr:rowOff>142875</xdr:rowOff>
    </xdr:to>
    <xdr:pic>
      <xdr:nvPicPr>
        <xdr:cNvPr id="139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821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47625</xdr:colOff>
      <xdr:row>683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648</xdr:row>
      <xdr:rowOff>19050</xdr:rowOff>
    </xdr:from>
    <xdr:to>
      <xdr:col>26</xdr:col>
      <xdr:colOff>0</xdr:colOff>
      <xdr:row>648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670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387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388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267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308</xdr:row>
      <xdr:rowOff>28575</xdr:rowOff>
    </xdr:from>
    <xdr:ext cx="342900" cy="104775"/>
    <xdr:pic>
      <xdr:nvPicPr>
        <xdr:cNvPr id="145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311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311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311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595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162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161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1430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090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256</xdr:row>
      <xdr:rowOff>19050</xdr:rowOff>
    </xdr:from>
    <xdr:to>
      <xdr:col>26</xdr:col>
      <xdr:colOff>0</xdr:colOff>
      <xdr:row>256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24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233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233</xdr:row>
      <xdr:rowOff>19050</xdr:rowOff>
    </xdr:from>
    <xdr:to>
      <xdr:col>26</xdr:col>
      <xdr:colOff>0</xdr:colOff>
      <xdr:row>233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234</xdr:row>
      <xdr:rowOff>19050</xdr:rowOff>
    </xdr:from>
    <xdr:to>
      <xdr:col>26</xdr:col>
      <xdr:colOff>0</xdr:colOff>
      <xdr:row>234</xdr:row>
      <xdr:rowOff>142875</xdr:rowOff>
    </xdr:to>
    <xdr:pic>
      <xdr:nvPicPr>
        <xdr:cNvPr id="1492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240</xdr:row>
      <xdr:rowOff>28575</xdr:rowOff>
    </xdr:from>
    <xdr:to>
      <xdr:col>26</xdr:col>
      <xdr:colOff>0</xdr:colOff>
      <xdr:row>241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679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679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675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264</xdr:row>
      <xdr:rowOff>28575</xdr:rowOff>
    </xdr:from>
    <xdr:to>
      <xdr:col>1</xdr:col>
      <xdr:colOff>0</xdr:colOff>
      <xdr:row>264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194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944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5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301</xdr:row>
      <xdr:rowOff>19050</xdr:rowOff>
    </xdr:from>
    <xdr:ext cx="502919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55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0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19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171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611</xdr:row>
      <xdr:rowOff>19050</xdr:rowOff>
    </xdr:from>
    <xdr:to>
      <xdr:col>24</xdr:col>
      <xdr:colOff>47624</xdr:colOff>
      <xdr:row>611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28575</xdr:rowOff>
    </xdr:from>
    <xdr:to>
      <xdr:col>1</xdr:col>
      <xdr:colOff>0</xdr:colOff>
      <xdr:row>369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155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72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691</xdr:row>
      <xdr:rowOff>28575</xdr:rowOff>
    </xdr:from>
    <xdr:to>
      <xdr:col>1</xdr:col>
      <xdr:colOff>0</xdr:colOff>
      <xdr:row>691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08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28575</xdr:rowOff>
    </xdr:from>
    <xdr:to>
      <xdr:col>1</xdr:col>
      <xdr:colOff>0</xdr:colOff>
      <xdr:row>693</xdr:row>
      <xdr:rowOff>133350</xdr:rowOff>
    </xdr:to>
    <xdr:pic>
      <xdr:nvPicPr>
        <xdr:cNvPr id="155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13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28575</xdr:rowOff>
    </xdr:from>
    <xdr:to>
      <xdr:col>1</xdr:col>
      <xdr:colOff>0</xdr:colOff>
      <xdr:row>579</xdr:row>
      <xdr:rowOff>133350</xdr:rowOff>
    </xdr:to>
    <xdr:pic>
      <xdr:nvPicPr>
        <xdr:cNvPr id="155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25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365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7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502" TargetMode="External"/><Relationship Id="rId531" Type="http://schemas.openxmlformats.org/officeDocument/2006/relationships/hyperlink" Target="https://www.jivi.com.ar/ficha.php?id=1491" TargetMode="External"/><Relationship Id="rId629" Type="http://schemas.openxmlformats.org/officeDocument/2006/relationships/hyperlink" Target="https://www.jivi.com.ar/ficha.php?id=2097" TargetMode="External"/><Relationship Id="rId170" Type="http://schemas.openxmlformats.org/officeDocument/2006/relationships/hyperlink" Target="https://www.jivi.com.ar/ficha.php?id=1154" TargetMode="External"/><Relationship Id="rId268" Type="http://schemas.openxmlformats.org/officeDocument/2006/relationships/hyperlink" Target="https://www.jivi.com.ar/ficha.php?id=1420" TargetMode="External"/><Relationship Id="rId475" Type="http://schemas.openxmlformats.org/officeDocument/2006/relationships/hyperlink" Target="https://www.jivi.com.ar/ficha.php?id=1732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6" TargetMode="External"/><Relationship Id="rId335" Type="http://schemas.openxmlformats.org/officeDocument/2006/relationships/hyperlink" Target="https://www.jivi.com.ar/ficha.php?id=1523" TargetMode="External"/><Relationship Id="rId542" Type="http://schemas.openxmlformats.org/officeDocument/2006/relationships/hyperlink" Target="https://www.jivi.com.ar/ficha.php?id=1864" TargetMode="External"/><Relationship Id="rId181" Type="http://schemas.openxmlformats.org/officeDocument/2006/relationships/hyperlink" Target="https://www.jivi.com.ar/ficha.php?id=1182" TargetMode="External"/><Relationship Id="rId402" Type="http://schemas.openxmlformats.org/officeDocument/2006/relationships/hyperlink" Target="https://www.jivi.com.ar/ficha.php?id=1598" TargetMode="External"/><Relationship Id="rId279" Type="http://schemas.openxmlformats.org/officeDocument/2006/relationships/hyperlink" Target="https://www.jivi.com.ar/ficha.php?id=1702" TargetMode="External"/><Relationship Id="rId486" Type="http://schemas.openxmlformats.org/officeDocument/2006/relationships/hyperlink" Target="https://www.jivi.com.ar/ficha.php?id=1748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67" TargetMode="External"/><Relationship Id="rId346" Type="http://schemas.openxmlformats.org/officeDocument/2006/relationships/hyperlink" Target="https://www.jivi.com.ar/ficha.php?id=1545" TargetMode="External"/><Relationship Id="rId553" Type="http://schemas.openxmlformats.org/officeDocument/2006/relationships/hyperlink" Target="https://www.jivi.com.ar/ficha.php?id=1579" TargetMode="External"/><Relationship Id="rId192" Type="http://schemas.openxmlformats.org/officeDocument/2006/relationships/hyperlink" Target="https://www.jivi.com.ar/ficha.php?id=1223" TargetMode="External"/><Relationship Id="rId206" Type="http://schemas.openxmlformats.org/officeDocument/2006/relationships/hyperlink" Target="https://www.jivi.com.ar/ficha.php?id=1261" TargetMode="External"/><Relationship Id="rId413" Type="http://schemas.openxmlformats.org/officeDocument/2006/relationships/hyperlink" Target="https://www.jivi.com.ar/ficha.php?id=1609" TargetMode="External"/><Relationship Id="rId497" Type="http://schemas.openxmlformats.org/officeDocument/2006/relationships/hyperlink" Target="https://www.jivi.com.ar/ficha.php?id=1778" TargetMode="External"/><Relationship Id="rId620" Type="http://schemas.openxmlformats.org/officeDocument/2006/relationships/hyperlink" Target="https://www.jivi.com.ar/ficha.php?id=2083" TargetMode="External"/><Relationship Id="rId357" Type="http://schemas.openxmlformats.org/officeDocument/2006/relationships/hyperlink" Target="https://www.jivi.com.ar/ficha.php?id=1557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87" TargetMode="External"/><Relationship Id="rId564" Type="http://schemas.openxmlformats.org/officeDocument/2006/relationships/hyperlink" Target="https://www.jivi.com.ar/ficha.php?id=2002" TargetMode="External"/><Relationship Id="rId424" Type="http://schemas.openxmlformats.org/officeDocument/2006/relationships/hyperlink" Target="https://www.jivi.com.ar/ficha.php?id=1619" TargetMode="External"/><Relationship Id="rId631" Type="http://schemas.openxmlformats.org/officeDocument/2006/relationships/drawing" Target="../drawings/drawing1.xml"/><Relationship Id="rId270" Type="http://schemas.openxmlformats.org/officeDocument/2006/relationships/hyperlink" Target="https://www.jivi.com.ar/ficha.php?id=1422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18" TargetMode="External"/><Relationship Id="rId368" Type="http://schemas.openxmlformats.org/officeDocument/2006/relationships/hyperlink" Target="https://www.jivi.com.ar/ficha.php?id=1409" TargetMode="External"/><Relationship Id="rId575" Type="http://schemas.openxmlformats.org/officeDocument/2006/relationships/hyperlink" Target="https://www.jivi.com.ar/ficha.php?id=2011" TargetMode="External"/><Relationship Id="rId228" Type="http://schemas.openxmlformats.org/officeDocument/2006/relationships/hyperlink" Target="https://www.jivi.com.ar/ficha.php?id=1360" TargetMode="External"/><Relationship Id="rId435" Type="http://schemas.openxmlformats.org/officeDocument/2006/relationships/hyperlink" Target="https://www.jivi.com.ar/ficha.php?id=1639" TargetMode="External"/><Relationship Id="rId281" Type="http://schemas.openxmlformats.org/officeDocument/2006/relationships/hyperlink" Target="https://www.jivi.com.ar/ficha.php?id=1442" TargetMode="External"/><Relationship Id="rId502" Type="http://schemas.openxmlformats.org/officeDocument/2006/relationships/hyperlink" Target="https://www.jivi.com.ar/ficha.php?id=1779" TargetMode="External"/><Relationship Id="rId76" Type="http://schemas.openxmlformats.org/officeDocument/2006/relationships/hyperlink" Target="https://www.jivi.com.ar/ficha.php?id=18" TargetMode="External"/><Relationship Id="rId141" Type="http://schemas.openxmlformats.org/officeDocument/2006/relationships/hyperlink" Target="https://www.jivi.com.ar/ficha.php?id=850" TargetMode="External"/><Relationship Id="rId379" Type="http://schemas.openxmlformats.org/officeDocument/2006/relationships/hyperlink" Target="https://www.jivi.com.ar/ficha.php?id=1573" TargetMode="External"/><Relationship Id="rId586" Type="http://schemas.openxmlformats.org/officeDocument/2006/relationships/hyperlink" Target="https://www.jivi.com.ar/ficha.php?id=2040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85" TargetMode="External"/><Relationship Id="rId446" Type="http://schemas.openxmlformats.org/officeDocument/2006/relationships/hyperlink" Target="https://www.jivi.com.ar/ficha.php?id=1272" TargetMode="External"/><Relationship Id="rId292" Type="http://schemas.openxmlformats.org/officeDocument/2006/relationships/hyperlink" Target="https://www.jivi.com.ar/ficha.php?id=1064" TargetMode="External"/><Relationship Id="rId306" Type="http://schemas.openxmlformats.org/officeDocument/2006/relationships/hyperlink" Target="https://www.jivi.com.ar/ficha.php?id=996" TargetMode="External"/><Relationship Id="rId87" Type="http://schemas.openxmlformats.org/officeDocument/2006/relationships/hyperlink" Target="https://www.jivi.com.ar/ficha.php?id=171" TargetMode="External"/><Relationship Id="rId513" Type="http://schemas.openxmlformats.org/officeDocument/2006/relationships/hyperlink" Target="https://www.jivi.com.ar/ficha.php?id=1447" TargetMode="External"/><Relationship Id="rId597" Type="http://schemas.openxmlformats.org/officeDocument/2006/relationships/hyperlink" Target="https://www.jivi.com.ar/articulos.php?search=1066" TargetMode="External"/><Relationship Id="rId152" Type="http://schemas.openxmlformats.org/officeDocument/2006/relationships/hyperlink" Target="https://www.jivi.com.ar/ficha.php?id=364" TargetMode="External"/><Relationship Id="rId457" Type="http://schemas.openxmlformats.org/officeDocument/2006/relationships/hyperlink" Target="https://www.jivi.com.ar/ficha.php?id=1462" TargetMode="External"/><Relationship Id="rId14" Type="http://schemas.openxmlformats.org/officeDocument/2006/relationships/hyperlink" Target="https://www.jivi.com.ar/ficha.php?id=164" TargetMode="External"/><Relationship Id="rId317" Type="http://schemas.openxmlformats.org/officeDocument/2006/relationships/hyperlink" Target="https://www.jivi.com.ar/ficha.php?id=1494" TargetMode="External"/><Relationship Id="rId524" Type="http://schemas.openxmlformats.org/officeDocument/2006/relationships/hyperlink" Target="https://www.jivi.com.ar/ficha.php?id=1131" TargetMode="External"/><Relationship Id="rId98" Type="http://schemas.openxmlformats.org/officeDocument/2006/relationships/hyperlink" Target="https://www.jivi.com.ar/ficha.php?id=48" TargetMode="External"/><Relationship Id="rId163" Type="http://schemas.openxmlformats.org/officeDocument/2006/relationships/hyperlink" Target="https://www.jivi.com.ar/ficha.php?id=1098" TargetMode="External"/><Relationship Id="rId370" Type="http://schemas.openxmlformats.org/officeDocument/2006/relationships/hyperlink" Target="https://www.jivi.com.ar/ficha.php?id=1564" TargetMode="External"/><Relationship Id="rId230" Type="http://schemas.openxmlformats.org/officeDocument/2006/relationships/hyperlink" Target="https://www.jivi.com.ar/ficha.php?id=1366" TargetMode="External"/><Relationship Id="rId468" Type="http://schemas.openxmlformats.org/officeDocument/2006/relationships/hyperlink" Target="https://www.jivi.com.ar/ficha.php?id=1723" TargetMode="External"/><Relationship Id="rId25" Type="http://schemas.openxmlformats.org/officeDocument/2006/relationships/hyperlink" Target="https://www.jivi.com.ar/ficha.php?id=103" TargetMode="External"/><Relationship Id="rId328" Type="http://schemas.openxmlformats.org/officeDocument/2006/relationships/hyperlink" Target="https://www.jivi.com.ar/ficha.php?id=1507" TargetMode="External"/><Relationship Id="rId535" Type="http://schemas.openxmlformats.org/officeDocument/2006/relationships/hyperlink" Target="https://www.jivi.com.ar/ficha.php?id=1799" TargetMode="External"/><Relationship Id="rId174" Type="http://schemas.openxmlformats.org/officeDocument/2006/relationships/hyperlink" Target="https://www.jivi.com.ar/ficha.php?id=1156" TargetMode="External"/><Relationship Id="rId381" Type="http://schemas.openxmlformats.org/officeDocument/2006/relationships/hyperlink" Target="https://www.jivi.com.ar/ficha.php?id=1271" TargetMode="External"/><Relationship Id="rId602" Type="http://schemas.openxmlformats.org/officeDocument/2006/relationships/hyperlink" Target="https://www.jivi.com.ar/ficha.php?id=2053" TargetMode="External"/><Relationship Id="rId241" Type="http://schemas.openxmlformats.org/officeDocument/2006/relationships/hyperlink" Target="https://www.jivi.com.ar/ficha.php?id=1389" TargetMode="External"/><Relationship Id="rId479" Type="http://schemas.openxmlformats.org/officeDocument/2006/relationships/hyperlink" Target="https://www.jivi.com.ar/ficha.php?id=1742" TargetMode="External"/><Relationship Id="rId36" Type="http://schemas.openxmlformats.org/officeDocument/2006/relationships/hyperlink" Target="https://www.jivi.com.ar/ficha.php?id=114" TargetMode="External"/><Relationship Id="rId339" Type="http://schemas.openxmlformats.org/officeDocument/2006/relationships/hyperlink" Target="https://www.jivi.com.ar/ficha.php?id=1534" TargetMode="External"/><Relationship Id="rId546" Type="http://schemas.openxmlformats.org/officeDocument/2006/relationships/hyperlink" Target="https://www.jivi.com.ar/ficha.php?id=1739" TargetMode="External"/><Relationship Id="rId101" Type="http://schemas.openxmlformats.org/officeDocument/2006/relationships/hyperlink" Target="https://www.jivi.com.ar/ficha.php?id=473" TargetMode="External"/><Relationship Id="rId185" Type="http://schemas.openxmlformats.org/officeDocument/2006/relationships/hyperlink" Target="https://www.jivi.com.ar/ficha.php?id=1190" TargetMode="External"/><Relationship Id="rId406" Type="http://schemas.openxmlformats.org/officeDocument/2006/relationships/hyperlink" Target="https://www.jivi.com.ar/ficha.php?id=1701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991" TargetMode="External"/><Relationship Id="rId392" Type="http://schemas.openxmlformats.org/officeDocument/2006/relationships/hyperlink" Target="https://www.jivi.com.ar/ficha.php?id=1587" TargetMode="External"/><Relationship Id="rId448" Type="http://schemas.openxmlformats.org/officeDocument/2006/relationships/hyperlink" Target="https://www.jivi.com.ar/ficha.php?id=1672" TargetMode="External"/><Relationship Id="rId613" Type="http://schemas.openxmlformats.org/officeDocument/2006/relationships/hyperlink" Target="https://www.jivi.com.ar/ficha.php?id=2066" TargetMode="External"/><Relationship Id="rId252" Type="http://schemas.openxmlformats.org/officeDocument/2006/relationships/hyperlink" Target="https://www.jivi.com.ar/ficha.php?id=1230" TargetMode="External"/><Relationship Id="rId294" Type="http://schemas.openxmlformats.org/officeDocument/2006/relationships/hyperlink" Target="https://www.jivi.com.ar/ficha.php?id=1454" TargetMode="External"/><Relationship Id="rId308" Type="http://schemas.openxmlformats.org/officeDocument/2006/relationships/hyperlink" Target="https://www.jivi.com.ar/ficha.php?id=1478" TargetMode="External"/><Relationship Id="rId515" Type="http://schemas.openxmlformats.org/officeDocument/2006/relationships/hyperlink" Target="https://www.jivi.com.ar/ficha.php?id=1128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9" TargetMode="External"/><Relationship Id="rId112" Type="http://schemas.openxmlformats.org/officeDocument/2006/relationships/hyperlink" Target="https://www.jivi.com.ar/ficha.php?id=215" TargetMode="External"/><Relationship Id="rId154" Type="http://schemas.openxmlformats.org/officeDocument/2006/relationships/hyperlink" Target="https://www.jivi.com.ar/ficha.php?id=1079" TargetMode="External"/><Relationship Id="rId361" Type="http://schemas.openxmlformats.org/officeDocument/2006/relationships/hyperlink" Target="https://www.jivi.com.ar/ficha.php?id=26" TargetMode="External"/><Relationship Id="rId557" Type="http://schemas.openxmlformats.org/officeDocument/2006/relationships/hyperlink" Target="https://www.jivi.com.ar/ficha.php?id=1912" TargetMode="External"/><Relationship Id="rId599" Type="http://schemas.openxmlformats.org/officeDocument/2006/relationships/hyperlink" Target="https://www.jivi.com.ar/ficha.php?id=1416" TargetMode="External"/><Relationship Id="rId196" Type="http://schemas.openxmlformats.org/officeDocument/2006/relationships/hyperlink" Target="https://www.jivi.com.ar/ficha.php?id=1226" TargetMode="External"/><Relationship Id="rId417" Type="http://schemas.openxmlformats.org/officeDocument/2006/relationships/hyperlink" Target="https://www.jivi.com.ar/ficha.php?id=1612" TargetMode="External"/><Relationship Id="rId459" Type="http://schemas.openxmlformats.org/officeDocument/2006/relationships/hyperlink" Target="https://www.jivi.com.ar/ficha.php?id=1528" TargetMode="External"/><Relationship Id="rId624" Type="http://schemas.openxmlformats.org/officeDocument/2006/relationships/hyperlink" Target="https://www.jivi.com.ar/ficha.php?id=1001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36" TargetMode="External"/><Relationship Id="rId263" Type="http://schemas.openxmlformats.org/officeDocument/2006/relationships/hyperlink" Target="https://www.jivi.com.ar/ficha.php?id=1084" TargetMode="External"/><Relationship Id="rId319" Type="http://schemas.openxmlformats.org/officeDocument/2006/relationships/hyperlink" Target="https://www.jivi.com.ar/ficha.php?id=1496" TargetMode="External"/><Relationship Id="rId470" Type="http://schemas.openxmlformats.org/officeDocument/2006/relationships/hyperlink" Target="https://www.jivi.com.ar/ficha.php?id=1727" TargetMode="External"/><Relationship Id="rId526" Type="http://schemas.openxmlformats.org/officeDocument/2006/relationships/hyperlink" Target="https://www.jivi.com.ar/ficha.php?id=1820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54" TargetMode="External"/><Relationship Id="rId330" Type="http://schemas.openxmlformats.org/officeDocument/2006/relationships/hyperlink" Target="https://www.jivi.com.ar/ficha.php?id=1509" TargetMode="External"/><Relationship Id="rId568" Type="http://schemas.openxmlformats.org/officeDocument/2006/relationships/hyperlink" Target="https://www.jivi.com.ar/ficha.php?id=2003" TargetMode="External"/><Relationship Id="rId165" Type="http://schemas.openxmlformats.org/officeDocument/2006/relationships/hyperlink" Target="https://www.jivi.com.ar/ficha.php?id=1104" TargetMode="External"/><Relationship Id="rId372" Type="http://schemas.openxmlformats.org/officeDocument/2006/relationships/hyperlink" Target="https://www.jivi.com.ar/ficha.php?id=1567" TargetMode="External"/><Relationship Id="rId428" Type="http://schemas.openxmlformats.org/officeDocument/2006/relationships/hyperlink" Target="https://www.jivi.com.ar/ficha.php?id=1634" TargetMode="External"/><Relationship Id="rId232" Type="http://schemas.openxmlformats.org/officeDocument/2006/relationships/hyperlink" Target="https://www.jivi.com.ar/ficha.php?id=864" TargetMode="External"/><Relationship Id="rId274" Type="http://schemas.openxmlformats.org/officeDocument/2006/relationships/hyperlink" Target="https://www.jivi.com.ar/ficha.php?id=1429" TargetMode="External"/><Relationship Id="rId481" Type="http://schemas.openxmlformats.org/officeDocument/2006/relationships/hyperlink" Target="https://www.jivi.com.ar/ficha.php?id=1743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48" TargetMode="External"/><Relationship Id="rId537" Type="http://schemas.openxmlformats.org/officeDocument/2006/relationships/hyperlink" Target="https://www.jivi.com.ar/ficha.php?id=666" TargetMode="External"/><Relationship Id="rId579" Type="http://schemas.openxmlformats.org/officeDocument/2006/relationships/hyperlink" Target="https://www.jivi.com.ar/ficha.php?id=2018" TargetMode="External"/><Relationship Id="rId80" Type="http://schemas.openxmlformats.org/officeDocument/2006/relationships/hyperlink" Target="https://www.jivi.com.ar/ficha.php?id=393" TargetMode="External"/><Relationship Id="rId176" Type="http://schemas.openxmlformats.org/officeDocument/2006/relationships/hyperlink" Target="https://www.jivi.com.ar/ficha.php?id=1172" TargetMode="External"/><Relationship Id="rId341" Type="http://schemas.openxmlformats.org/officeDocument/2006/relationships/hyperlink" Target="https://www.jivi.com.ar/ficha.php?id=1536" TargetMode="External"/><Relationship Id="rId383" Type="http://schemas.openxmlformats.org/officeDocument/2006/relationships/hyperlink" Target="https://www.jivi.com.ar/ficha.php?id=1139" TargetMode="External"/><Relationship Id="rId439" Type="http://schemas.openxmlformats.org/officeDocument/2006/relationships/hyperlink" Target="https://www.jivi.com.ar/ficha.php?id=1657" TargetMode="External"/><Relationship Id="rId590" Type="http://schemas.openxmlformats.org/officeDocument/2006/relationships/hyperlink" Target="https://www.jivi.com.ar/ficha.php?id=249" TargetMode="External"/><Relationship Id="rId604" Type="http://schemas.openxmlformats.org/officeDocument/2006/relationships/hyperlink" Target="https://www.jivi.com.ar/ficha.php?id=2058" TargetMode="External"/><Relationship Id="rId201" Type="http://schemas.openxmlformats.org/officeDocument/2006/relationships/hyperlink" Target="https://www.jivi.com.ar/ficha.php?id=920" TargetMode="External"/><Relationship Id="rId243" Type="http://schemas.openxmlformats.org/officeDocument/2006/relationships/hyperlink" Target="https://www.jivi.com.ar/ficha.php?id=236" TargetMode="External"/><Relationship Id="rId285" Type="http://schemas.openxmlformats.org/officeDocument/2006/relationships/hyperlink" Target="https://www.jivi.com.ar/ficha.php?id=1334" TargetMode="External"/><Relationship Id="rId450" Type="http://schemas.openxmlformats.org/officeDocument/2006/relationships/hyperlink" Target="https://www.jivi.com.ar/ficha.php?id=1691" TargetMode="External"/><Relationship Id="rId506" Type="http://schemas.openxmlformats.org/officeDocument/2006/relationships/hyperlink" Target="https://www.jivi.com.ar/ficha.php?id=1265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252" TargetMode="External"/><Relationship Id="rId310" Type="http://schemas.openxmlformats.org/officeDocument/2006/relationships/hyperlink" Target="https://www.jivi.com.ar/ficha.php?id=1480" TargetMode="External"/><Relationship Id="rId492" Type="http://schemas.openxmlformats.org/officeDocument/2006/relationships/hyperlink" Target="https://www.jivi.com.ar/ficha.php?id=1776" TargetMode="External"/><Relationship Id="rId548" Type="http://schemas.openxmlformats.org/officeDocument/2006/relationships/hyperlink" Target="https://www.jivi.com.ar/ficha.php?id=1379" TargetMode="External"/><Relationship Id="rId91" Type="http://schemas.openxmlformats.org/officeDocument/2006/relationships/hyperlink" Target="https://www.jivi.com.ar/ficha.php?id=158" TargetMode="External"/><Relationship Id="rId145" Type="http://schemas.openxmlformats.org/officeDocument/2006/relationships/hyperlink" Target="https://www.jivi.com.ar/ficha.php?id=1023" TargetMode="External"/><Relationship Id="rId187" Type="http://schemas.openxmlformats.org/officeDocument/2006/relationships/hyperlink" Target="https://www.jivi.com.ar/ficha.php?id=1209" TargetMode="External"/><Relationship Id="rId352" Type="http://schemas.openxmlformats.org/officeDocument/2006/relationships/hyperlink" Target="https://www.jivi.com.ar/ficha.php?id=1552" TargetMode="External"/><Relationship Id="rId394" Type="http://schemas.openxmlformats.org/officeDocument/2006/relationships/hyperlink" Target="https://www.jivi.com.ar/ficha.php?id=1588" TargetMode="External"/><Relationship Id="rId408" Type="http://schemas.openxmlformats.org/officeDocument/2006/relationships/hyperlink" Target="https://www.jivi.com.ar/ficha.php?id=1606" TargetMode="External"/><Relationship Id="rId615" Type="http://schemas.openxmlformats.org/officeDocument/2006/relationships/hyperlink" Target="https://www.jivi.com.ar/ficha.php?id=2068" TargetMode="External"/><Relationship Id="rId212" Type="http://schemas.openxmlformats.org/officeDocument/2006/relationships/hyperlink" Target="https://www.jivi.com.ar/ficha.php?id=1607" TargetMode="External"/><Relationship Id="rId254" Type="http://schemas.openxmlformats.org/officeDocument/2006/relationships/hyperlink" Target="https://www.jivi.com.ar/ficha.php?id=1111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51" TargetMode="External"/><Relationship Id="rId296" Type="http://schemas.openxmlformats.org/officeDocument/2006/relationships/hyperlink" Target="https://www.jivi.com.ar/ficha.php?id=1463" TargetMode="External"/><Relationship Id="rId461" Type="http://schemas.openxmlformats.org/officeDocument/2006/relationships/hyperlink" Target="https://www.jivi.com.ar/ficha.php?id=977" TargetMode="External"/><Relationship Id="rId517" Type="http://schemas.openxmlformats.org/officeDocument/2006/relationships/hyperlink" Target="https://www.jivi.com.ar/ficha.php?id=1804" TargetMode="External"/><Relationship Id="rId559" Type="http://schemas.openxmlformats.org/officeDocument/2006/relationships/hyperlink" Target="https://www.jivi.com.ar/ficha.php?id=1880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89" TargetMode="External"/><Relationship Id="rId198" Type="http://schemas.openxmlformats.org/officeDocument/2006/relationships/hyperlink" Target="https://www.jivi.com.ar/ficha.php?id=1060" TargetMode="External"/><Relationship Id="rId321" Type="http://schemas.openxmlformats.org/officeDocument/2006/relationships/hyperlink" Target="httphttps://www.jivi.com.ar/ficha.php?id=1498" TargetMode="External"/><Relationship Id="rId363" Type="http://schemas.openxmlformats.org/officeDocument/2006/relationships/hyperlink" Target="https://www.jivi.com.ar/ficha.php?id=1562" TargetMode="External"/><Relationship Id="rId419" Type="http://schemas.openxmlformats.org/officeDocument/2006/relationships/hyperlink" Target="https://www.jivi.com.ar/ficha.php?id=1452" TargetMode="External"/><Relationship Id="rId570" Type="http://schemas.openxmlformats.org/officeDocument/2006/relationships/hyperlink" Target="https://www.jivi.com.ar/ficha.php?id=1258" TargetMode="External"/><Relationship Id="rId626" Type="http://schemas.openxmlformats.org/officeDocument/2006/relationships/hyperlink" Target="https://www.jivi.com.ar/ficha.php?id=1512" TargetMode="External"/><Relationship Id="rId223" Type="http://schemas.openxmlformats.org/officeDocument/2006/relationships/hyperlink" Target="https://www.jivi.com.ar/ficha.php?id=1333" TargetMode="External"/><Relationship Id="rId430" Type="http://schemas.openxmlformats.org/officeDocument/2006/relationships/hyperlink" Target="https://www.jivi.com.ar/ficha.php?id=968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19" TargetMode="External"/><Relationship Id="rId472" Type="http://schemas.openxmlformats.org/officeDocument/2006/relationships/hyperlink" Target="https://www.jivi.com.ar/ficha.php?id=1729" TargetMode="External"/><Relationship Id="rId528" Type="http://schemas.openxmlformats.org/officeDocument/2006/relationships/hyperlink" Target="https://www.jivi.com.ar/ficha.php?id=1533" TargetMode="External"/><Relationship Id="rId125" Type="http://schemas.openxmlformats.org/officeDocument/2006/relationships/hyperlink" Target="https://www.jivi.com.ar/ficha.php?id=888" TargetMode="External"/><Relationship Id="rId167" Type="http://schemas.openxmlformats.org/officeDocument/2006/relationships/hyperlink" Target="https://www.jivi.com.ar/ficha.php?id=1116" TargetMode="External"/><Relationship Id="rId332" Type="http://schemas.openxmlformats.org/officeDocument/2006/relationships/hyperlink" Target="https://www.jivi.com.ar/ficha.php?id=1515" TargetMode="External"/><Relationship Id="rId374" Type="http://schemas.openxmlformats.org/officeDocument/2006/relationships/hyperlink" Target="https://www.jivi.com.ar/ficha.php?id=1569" TargetMode="External"/><Relationship Id="rId581" Type="http://schemas.openxmlformats.org/officeDocument/2006/relationships/hyperlink" Target="https://www.jivi.com.ar/ficha.php?id=2026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7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32" TargetMode="External"/><Relationship Id="rId441" Type="http://schemas.openxmlformats.org/officeDocument/2006/relationships/hyperlink" Target="https://www.jivi.com.ar/ficha.php?id=440" TargetMode="External"/><Relationship Id="rId483" Type="http://schemas.openxmlformats.org/officeDocument/2006/relationships/hyperlink" Target="https://www.jivi.com.ar/ficha.php?id=1745" TargetMode="External"/><Relationship Id="rId539" Type="http://schemas.openxmlformats.org/officeDocument/2006/relationships/hyperlink" Target="https://www.jivi.com.ar/ficha.php?id=1847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55" TargetMode="External"/><Relationship Id="rId178" Type="http://schemas.openxmlformats.org/officeDocument/2006/relationships/hyperlink" Target="https://www.jivi.com.ar/ficha.php?id=488" TargetMode="External"/><Relationship Id="rId301" Type="http://schemas.openxmlformats.org/officeDocument/2006/relationships/hyperlink" Target="https://www.jivi.com.ar/ficha.php?id=1470" TargetMode="External"/><Relationship Id="rId343" Type="http://schemas.openxmlformats.org/officeDocument/2006/relationships/hyperlink" Target="https://www.jivi.com.ar/ficha.php?id=1540" TargetMode="External"/><Relationship Id="rId550" Type="http://schemas.openxmlformats.org/officeDocument/2006/relationships/hyperlink" Target="https://www.jivi.com.ar/ficha.php?id=1840" TargetMode="External"/><Relationship Id="rId82" Type="http://schemas.openxmlformats.org/officeDocument/2006/relationships/hyperlink" Target="https://www.jivi.com.ar/ficha.php?id=136" TargetMode="External"/><Relationship Id="rId203" Type="http://schemas.openxmlformats.org/officeDocument/2006/relationships/hyperlink" Target="https://www.jivi.com.ar/ficha.php?id=1248" TargetMode="External"/><Relationship Id="rId385" Type="http://schemas.openxmlformats.org/officeDocument/2006/relationships/hyperlink" Target="https://www.jivi.com.ar/ficha.php?id=1574" TargetMode="External"/><Relationship Id="rId592" Type="http://schemas.openxmlformats.org/officeDocument/2006/relationships/hyperlink" Target="https://www.jivi.com.ar/ficha.php?id=1390" TargetMode="External"/><Relationship Id="rId606" Type="http://schemas.openxmlformats.org/officeDocument/2006/relationships/hyperlink" Target="https://www.jivi.com.ar/ficha.php?id=2059" TargetMode="External"/><Relationship Id="rId245" Type="http://schemas.openxmlformats.org/officeDocument/2006/relationships/hyperlink" Target="https://www.jivi.com.ar/ficha.php?id=1394" TargetMode="External"/><Relationship Id="rId287" Type="http://schemas.openxmlformats.org/officeDocument/2006/relationships/hyperlink" Target="https://www.jivi.com.ar/ficha.php?id=1446" TargetMode="External"/><Relationship Id="rId410" Type="http://schemas.openxmlformats.org/officeDocument/2006/relationships/hyperlink" Target="https://www.jivi.com.ar/ficha.php?id=1270" TargetMode="External"/><Relationship Id="rId452" Type="http://schemas.openxmlformats.org/officeDocument/2006/relationships/hyperlink" Target="https://www.jivi.com.ar/ficha.php?id=36" TargetMode="External"/><Relationship Id="rId494" Type="http://schemas.openxmlformats.org/officeDocument/2006/relationships/hyperlink" Target="https://www.jivi.com.ar/ficha.php?id=1304" TargetMode="External"/><Relationship Id="rId508" Type="http://schemas.openxmlformats.org/officeDocument/2006/relationships/hyperlink" Target="https://www.jivi.com.ar/ficha.php?id=1308" TargetMode="External"/><Relationship Id="rId105" Type="http://schemas.openxmlformats.org/officeDocument/2006/relationships/hyperlink" Target="https://www.jivi.com.ar/ficha.php?id=220" TargetMode="External"/><Relationship Id="rId147" Type="http://schemas.openxmlformats.org/officeDocument/2006/relationships/hyperlink" Target="https://www.jivi.com.ar/ficha.php?id=647" TargetMode="External"/><Relationship Id="rId312" Type="http://schemas.openxmlformats.org/officeDocument/2006/relationships/hyperlink" Target="https://www.jivi.com.ar/ficha.php?id=1483" TargetMode="External"/><Relationship Id="rId354" Type="http://schemas.openxmlformats.org/officeDocument/2006/relationships/hyperlink" Target="https://www.jivi.com.ar/ficha.php?id=1553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622" TargetMode="External"/><Relationship Id="rId189" Type="http://schemas.openxmlformats.org/officeDocument/2006/relationships/hyperlink" Target="https://www.jivi.com.ar/ficha.php?id=1219" TargetMode="External"/><Relationship Id="rId396" Type="http://schemas.openxmlformats.org/officeDocument/2006/relationships/hyperlink" Target="https://www.jivi.com.ar/ficha.php?id=1590" TargetMode="External"/><Relationship Id="rId561" Type="http://schemas.openxmlformats.org/officeDocument/2006/relationships/hyperlink" Target="https://www.jivi.com.ar/ficha.php?id=1998" TargetMode="External"/><Relationship Id="rId617" Type="http://schemas.openxmlformats.org/officeDocument/2006/relationships/hyperlink" Target="https://www.jivi.com.ar/ficha.php?id=2069" TargetMode="External"/><Relationship Id="rId214" Type="http://schemas.openxmlformats.org/officeDocument/2006/relationships/hyperlink" Target="https://www.jivi.com.ar/ficha.php?id=1303" TargetMode="External"/><Relationship Id="rId256" Type="http://schemas.openxmlformats.org/officeDocument/2006/relationships/hyperlink" Target="https://www.jivi.com.ar/ficha.php?id=376" TargetMode="External"/><Relationship Id="rId298" Type="http://schemas.openxmlformats.org/officeDocument/2006/relationships/hyperlink" Target="https://www.jivi.com.ar/ficha.php?id=1466" TargetMode="External"/><Relationship Id="rId421" Type="http://schemas.openxmlformats.org/officeDocument/2006/relationships/hyperlink" Target="https://www.jivi.com.ar/ficha.php?id=1615" TargetMode="External"/><Relationship Id="rId463" Type="http://schemas.openxmlformats.org/officeDocument/2006/relationships/hyperlink" Target="https://www.jivi.com.ar/ficha.php?id=1456" TargetMode="External"/><Relationship Id="rId519" Type="http://schemas.openxmlformats.org/officeDocument/2006/relationships/hyperlink" Target="https://www.jivi.com.ar/ficha.php?id=1342" TargetMode="External"/><Relationship Id="rId116" Type="http://schemas.openxmlformats.org/officeDocument/2006/relationships/hyperlink" Target="https://www.jivi.com.ar/ficha.php?id=809" TargetMode="External"/><Relationship Id="rId158" Type="http://schemas.openxmlformats.org/officeDocument/2006/relationships/hyperlink" Target="https://www.jivi.com.ar/ficha.php?id=1091" TargetMode="External"/><Relationship Id="rId323" Type="http://schemas.openxmlformats.org/officeDocument/2006/relationships/hyperlink" Target="https://www.jivi.com.ar/ficha.php?id=1500" TargetMode="External"/><Relationship Id="rId530" Type="http://schemas.openxmlformats.org/officeDocument/2006/relationships/hyperlink" Target="https://www.jivi.com.ar/ficha.php?id=1825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414" TargetMode="External"/><Relationship Id="rId572" Type="http://schemas.openxmlformats.org/officeDocument/2006/relationships/hyperlink" Target="https://www.jivi.com.ar/ficha.php?id=1658" TargetMode="External"/><Relationship Id="rId628" Type="http://schemas.openxmlformats.org/officeDocument/2006/relationships/hyperlink" Target="https://www.jivi.com.ar/ficha.php?id=1299" TargetMode="External"/><Relationship Id="rId225" Type="http://schemas.openxmlformats.org/officeDocument/2006/relationships/hyperlink" Target="https://www.jivi.com.ar/ficha.php?id=1347" TargetMode="External"/><Relationship Id="rId267" Type="http://schemas.openxmlformats.org/officeDocument/2006/relationships/hyperlink" Target="https://www.jivi.com.ar/ficha.php?id=1281" TargetMode="External"/><Relationship Id="rId432" Type="http://schemas.openxmlformats.org/officeDocument/2006/relationships/hyperlink" Target="https://www.jivi.com.ar/ficha.php?id=1642" TargetMode="External"/><Relationship Id="rId474" Type="http://schemas.openxmlformats.org/officeDocument/2006/relationships/hyperlink" Target="https://www.jivi.com.ar/ficha.php?id=1731" TargetMode="External"/><Relationship Id="rId127" Type="http://schemas.openxmlformats.org/officeDocument/2006/relationships/hyperlink" Target="https://www.jivi.com.ar/ficha.php?id=903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120" TargetMode="External"/><Relationship Id="rId334" Type="http://schemas.openxmlformats.org/officeDocument/2006/relationships/hyperlink" Target="https://www.jivi.com.ar/ficha.php?id=1517" TargetMode="External"/><Relationship Id="rId376" Type="http://schemas.openxmlformats.org/officeDocument/2006/relationships/hyperlink" Target="https://www.jivi.com.ar/ficha.php?id=1571" TargetMode="External"/><Relationship Id="rId541" Type="http://schemas.openxmlformats.org/officeDocument/2006/relationships/hyperlink" Target="https://www.jivi.com.ar/ficha.php?id=1520" TargetMode="External"/><Relationship Id="rId583" Type="http://schemas.openxmlformats.org/officeDocument/2006/relationships/hyperlink" Target="https://www.jivi.com.ar/ficha.php?id=444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15" TargetMode="External"/><Relationship Id="rId236" Type="http://schemas.openxmlformats.org/officeDocument/2006/relationships/hyperlink" Target="https://www.jivi.com.ar/ficha.php?id=1383" TargetMode="External"/><Relationship Id="rId278" Type="http://schemas.openxmlformats.org/officeDocument/2006/relationships/hyperlink" Target="https://www.jivi.com.ar/ficha.php?id=1437" TargetMode="External"/><Relationship Id="rId401" Type="http://schemas.openxmlformats.org/officeDocument/2006/relationships/hyperlink" Target="https://www.jivi.com.ar/ficha.php?id=1596" TargetMode="External"/><Relationship Id="rId443" Type="http://schemas.openxmlformats.org/officeDocument/2006/relationships/hyperlink" Target="https://www.jivi.com.ar/ficha.php?id=1666" TargetMode="External"/><Relationship Id="rId303" Type="http://schemas.openxmlformats.org/officeDocument/2006/relationships/hyperlink" Target="https://www.jivi.com.ar/ficha.php?id=1472" TargetMode="External"/><Relationship Id="rId485" Type="http://schemas.openxmlformats.org/officeDocument/2006/relationships/hyperlink" Target="https://www.jivi.com.ar/ficha.php?id=1747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8" TargetMode="External"/><Relationship Id="rId138" Type="http://schemas.openxmlformats.org/officeDocument/2006/relationships/hyperlink" Target="https://www.jivi.com.ar/ficha.php?id=957" TargetMode="External"/><Relationship Id="rId345" Type="http://schemas.openxmlformats.org/officeDocument/2006/relationships/hyperlink" Target="https://www.jivi.com.ar/ficha.php?id=1542" TargetMode="External"/><Relationship Id="rId387" Type="http://schemas.openxmlformats.org/officeDocument/2006/relationships/hyperlink" Target="https://www.jivi.com.ar/ficha.php?id=1580" TargetMode="External"/><Relationship Id="rId510" Type="http://schemas.openxmlformats.org/officeDocument/2006/relationships/hyperlink" Target="https://www.jivi.com.ar/ficha.php?id=1790" TargetMode="External"/><Relationship Id="rId552" Type="http://schemas.openxmlformats.org/officeDocument/2006/relationships/hyperlink" Target="https://www.jivi.com.ar/ficha.php?id=1886" TargetMode="External"/><Relationship Id="rId594" Type="http://schemas.openxmlformats.org/officeDocument/2006/relationships/hyperlink" Target="https://www.jivi.com.ar/ficha.php?id=1278" TargetMode="External"/><Relationship Id="rId608" Type="http://schemas.openxmlformats.org/officeDocument/2006/relationships/hyperlink" Target="https://www.jivi.com.ar/ficha.php?id=2061" TargetMode="External"/><Relationship Id="rId191" Type="http://schemas.openxmlformats.org/officeDocument/2006/relationships/hyperlink" Target="https://www.jivi.com.ar/ficha.php?id=1222" TargetMode="External"/><Relationship Id="rId205" Type="http://schemas.openxmlformats.org/officeDocument/2006/relationships/hyperlink" Target="https://www.jivi.com.ar/ficha.php?id=1124" TargetMode="External"/><Relationship Id="rId247" Type="http://schemas.openxmlformats.org/officeDocument/2006/relationships/hyperlink" Target="https://www.jivi.com.ar/ficha.php?id=1399" TargetMode="External"/><Relationship Id="rId412" Type="http://schemas.openxmlformats.org/officeDocument/2006/relationships/hyperlink" Target="https://www.jivi.com.ar/ficha.php?id=1608" TargetMode="External"/><Relationship Id="rId107" Type="http://schemas.openxmlformats.org/officeDocument/2006/relationships/hyperlink" Target="https://www.jivi.com.ar/ficha.php?id=398" TargetMode="External"/><Relationship Id="rId289" Type="http://schemas.openxmlformats.org/officeDocument/2006/relationships/hyperlink" Target="https://www.jivi.com.ar/ficha.php?id=1448" TargetMode="External"/><Relationship Id="rId454" Type="http://schemas.openxmlformats.org/officeDocument/2006/relationships/hyperlink" Target="https://www.jivi.com.ar/ficha.php?id=1698" TargetMode="External"/><Relationship Id="rId496" Type="http://schemas.openxmlformats.org/officeDocument/2006/relationships/hyperlink" Target="https://www.jivi.com.ar/ficha.php?id=1777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59" TargetMode="External"/><Relationship Id="rId314" Type="http://schemas.openxmlformats.org/officeDocument/2006/relationships/hyperlink" Target="https://www.jivi.com.ar/ficha.php?id=1488" TargetMode="External"/><Relationship Id="rId356" Type="http://schemas.openxmlformats.org/officeDocument/2006/relationships/hyperlink" Target="https://www.jivi.com.ar/ficha.php?id=1555" TargetMode="External"/><Relationship Id="rId398" Type="http://schemas.openxmlformats.org/officeDocument/2006/relationships/hyperlink" Target="https://www.jivi.com.ar/ficha.php?id=1592" TargetMode="External"/><Relationship Id="rId521" Type="http://schemas.openxmlformats.org/officeDocument/2006/relationships/hyperlink" Target="https://www.jivi.com.ar/ficha.php?id=1377" TargetMode="External"/><Relationship Id="rId563" Type="http://schemas.openxmlformats.org/officeDocument/2006/relationships/hyperlink" Target="https://www.jivi.com.ar/ficha.php?id=2000" TargetMode="External"/><Relationship Id="rId619" Type="http://schemas.openxmlformats.org/officeDocument/2006/relationships/hyperlink" Target="https://www.jivi.com.ar/ficha.php?id=1775" TargetMode="External"/><Relationship Id="rId95" Type="http://schemas.openxmlformats.org/officeDocument/2006/relationships/hyperlink" Target="https://www.jivi.com.ar/ficha.php?id=246" TargetMode="External"/><Relationship Id="rId160" Type="http://schemas.openxmlformats.org/officeDocument/2006/relationships/hyperlink" Target="https://www.jivi.com.ar/ficha.php?id=1094" TargetMode="External"/><Relationship Id="rId216" Type="http://schemas.openxmlformats.org/officeDocument/2006/relationships/hyperlink" Target="https://www.jivi.com.ar/ficha.php?id=1306" TargetMode="External"/><Relationship Id="rId423" Type="http://schemas.openxmlformats.org/officeDocument/2006/relationships/hyperlink" Target="https://www.jivi.com.ar/ficha.php?id=1618" TargetMode="External"/><Relationship Id="rId258" Type="http://schemas.openxmlformats.org/officeDocument/2006/relationships/hyperlink" Target="https://www.jivi.com.ar/ficha.php?id=1393" TargetMode="External"/><Relationship Id="rId465" Type="http://schemas.openxmlformats.org/officeDocument/2006/relationships/hyperlink" Target="https://www.jivi.com.ar/ficha.php?id=1708" TargetMode="External"/><Relationship Id="rId630" Type="http://schemas.openxmlformats.org/officeDocument/2006/relationships/printerSettings" Target="../printerSettings/printerSettings1.bin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08" TargetMode="External"/><Relationship Id="rId325" Type="http://schemas.openxmlformats.org/officeDocument/2006/relationships/hyperlink" Target="https://www.jivi.com.ar/ficha.php?id=1504" TargetMode="External"/><Relationship Id="rId367" Type="http://schemas.openxmlformats.org/officeDocument/2006/relationships/hyperlink" Target="https://www.jivi.com.ar/ficha.php?id=1407" TargetMode="External"/><Relationship Id="rId532" Type="http://schemas.openxmlformats.org/officeDocument/2006/relationships/hyperlink" Target="https://www.jivi.com.ar/ficha.php?id=149" TargetMode="External"/><Relationship Id="rId574" Type="http://schemas.openxmlformats.org/officeDocument/2006/relationships/hyperlink" Target="https://www.jivi.com.ar/ficha.php?id=2010" TargetMode="External"/><Relationship Id="rId171" Type="http://schemas.openxmlformats.org/officeDocument/2006/relationships/hyperlink" Target="https://www.jivi.com.ar/ficha.php?id=1157" TargetMode="External"/><Relationship Id="rId227" Type="http://schemas.openxmlformats.org/officeDocument/2006/relationships/hyperlink" Target="https://www.jivi.com.ar/ficha.php?id=1359" TargetMode="External"/><Relationship Id="rId269" Type="http://schemas.openxmlformats.org/officeDocument/2006/relationships/hyperlink" Target="https://www.jivi.com.ar/ficha.php?id=1421" TargetMode="External"/><Relationship Id="rId434" Type="http://schemas.openxmlformats.org/officeDocument/2006/relationships/hyperlink" Target="https://www.jivi.com.ar/ficha.php?id=1641" TargetMode="External"/><Relationship Id="rId476" Type="http://schemas.openxmlformats.org/officeDocument/2006/relationships/hyperlink" Target="https://www.jivi.com.ar/ficha.php?id=1734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916" TargetMode="External"/><Relationship Id="rId280" Type="http://schemas.openxmlformats.org/officeDocument/2006/relationships/hyperlink" Target="https://www.jivi.com.ar/ficha.php?id=1439" TargetMode="External"/><Relationship Id="rId336" Type="http://schemas.openxmlformats.org/officeDocument/2006/relationships/hyperlink" Target="https://www.jivi.com.ar/ficha.php?id=1559" TargetMode="External"/><Relationship Id="rId501" Type="http://schemas.openxmlformats.org/officeDocument/2006/relationships/hyperlink" Target="https://www.jivi.com.ar/ficha.php?id=1737" TargetMode="External"/><Relationship Id="rId543" Type="http://schemas.openxmlformats.org/officeDocument/2006/relationships/hyperlink" Target="https://www.jivi.com.ar/ficha.php?id=1443" TargetMode="External"/><Relationship Id="rId75" Type="http://schemas.openxmlformats.org/officeDocument/2006/relationships/hyperlink" Target="https://www.jivi.com.ar/ficha.php?id=145" TargetMode="External"/><Relationship Id="rId140" Type="http://schemas.openxmlformats.org/officeDocument/2006/relationships/hyperlink" Target="https://www.jivi.com.ar/ficha.php?id=973" TargetMode="External"/><Relationship Id="rId182" Type="http://schemas.openxmlformats.org/officeDocument/2006/relationships/hyperlink" Target="https://www.jivi.com.ar/ficha.php?id=1183" TargetMode="External"/><Relationship Id="rId378" Type="http://schemas.openxmlformats.org/officeDocument/2006/relationships/hyperlink" Target="https://www.jivi.com.ar/ficha.php?id=1572" TargetMode="External"/><Relationship Id="rId403" Type="http://schemas.openxmlformats.org/officeDocument/2006/relationships/hyperlink" Target="https://www.jivi.com.ar/ficha.php?id=1599" TargetMode="External"/><Relationship Id="rId585" Type="http://schemas.openxmlformats.org/officeDocument/2006/relationships/hyperlink" Target="https://www.jivi.com.ar/ficha.php?id=2035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28" TargetMode="External"/><Relationship Id="rId445" Type="http://schemas.openxmlformats.org/officeDocument/2006/relationships/hyperlink" Target="https://www.jivi.com.ar/ficha.php?id=1684" TargetMode="External"/><Relationship Id="rId487" Type="http://schemas.openxmlformats.org/officeDocument/2006/relationships/hyperlink" Target="https://www.jivi.com.ar/ficha.php?id=1749" TargetMode="External"/><Relationship Id="rId610" Type="http://schemas.openxmlformats.org/officeDocument/2006/relationships/hyperlink" Target="https://www.jivi.com.ar/ficha.php?id=1369" TargetMode="External"/><Relationship Id="rId291" Type="http://schemas.openxmlformats.org/officeDocument/2006/relationships/hyperlink" Target="https://www.jivi.com.ar/ficha.php?id=1560" TargetMode="External"/><Relationship Id="rId305" Type="http://schemas.openxmlformats.org/officeDocument/2006/relationships/hyperlink" Target="https://www.jivi.com.ar/ficha.php?id=995" TargetMode="External"/><Relationship Id="rId347" Type="http://schemas.openxmlformats.org/officeDocument/2006/relationships/hyperlink" Target="https://www.jivi.com.ar/ficha.php?id=1547" TargetMode="External"/><Relationship Id="rId512" Type="http://schemas.openxmlformats.org/officeDocument/2006/relationships/hyperlink" Target="https://www.jivi.com.ar/ficha.php?id=1791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66" TargetMode="External"/><Relationship Id="rId151" Type="http://schemas.openxmlformats.org/officeDocument/2006/relationships/hyperlink" Target="https://www.jivi.com.ar/ficha.php?id=1062" TargetMode="External"/><Relationship Id="rId389" Type="http://schemas.openxmlformats.org/officeDocument/2006/relationships/hyperlink" Target="https://www.jivi.com.ar/ficha.php?id=1583" TargetMode="External"/><Relationship Id="rId554" Type="http://schemas.openxmlformats.org/officeDocument/2006/relationships/hyperlink" Target="https://www.jivi.com.ar/ficha.php?id=1138" TargetMode="External"/><Relationship Id="rId596" Type="http://schemas.openxmlformats.org/officeDocument/2006/relationships/hyperlink" Target="https://www.jivi.com.ar/ficha.php?id=1410" TargetMode="External"/><Relationship Id="rId193" Type="http://schemas.openxmlformats.org/officeDocument/2006/relationships/hyperlink" Target="https://www.jivi.com.ar/ficha.php?id=904" TargetMode="External"/><Relationship Id="rId207" Type="http://schemas.openxmlformats.org/officeDocument/2006/relationships/hyperlink" Target="https://www.jivi.com.ar/ficha.php?id=1267" TargetMode="External"/><Relationship Id="rId249" Type="http://schemas.openxmlformats.org/officeDocument/2006/relationships/hyperlink" Target="https://www.jivi.com.ar/ficha.php?id=1400" TargetMode="External"/><Relationship Id="rId414" Type="http://schemas.openxmlformats.org/officeDocument/2006/relationships/hyperlink" Target="https://www.jivi.com.ar/ficha.php?id=1274" TargetMode="External"/><Relationship Id="rId456" Type="http://schemas.openxmlformats.org/officeDocument/2006/relationships/hyperlink" Target="https://www.jivi.com.ar/ficha.php?id=1510" TargetMode="External"/><Relationship Id="rId498" Type="http://schemas.openxmlformats.org/officeDocument/2006/relationships/hyperlink" Target="https://www.jivi.com.ar/ficha.php?id=1709" TargetMode="External"/><Relationship Id="rId621" Type="http://schemas.openxmlformats.org/officeDocument/2006/relationships/hyperlink" Target="https://www.jivi.com.ar/ficha.php?id=1266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566" TargetMode="External"/><Relationship Id="rId260" Type="http://schemas.openxmlformats.org/officeDocument/2006/relationships/hyperlink" Target="https://www.jivi.com.ar/ficha.php?id=1413" TargetMode="External"/><Relationship Id="rId316" Type="http://schemas.openxmlformats.org/officeDocument/2006/relationships/hyperlink" Target="https://www.jivi.com.ar/ficha.php?id=1493" TargetMode="External"/><Relationship Id="rId523" Type="http://schemas.openxmlformats.org/officeDocument/2006/relationships/hyperlink" Target="https://www.jivi.com.ar/ficha.php?id=159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728" TargetMode="External"/><Relationship Id="rId120" Type="http://schemas.openxmlformats.org/officeDocument/2006/relationships/hyperlink" Target="https://www.jivi.com.ar/ficha.php?id=840" TargetMode="External"/><Relationship Id="rId358" Type="http://schemas.openxmlformats.org/officeDocument/2006/relationships/hyperlink" Target="https://www.jivi.com.ar/ficha.php?id=1558" TargetMode="External"/><Relationship Id="rId565" Type="http://schemas.openxmlformats.org/officeDocument/2006/relationships/hyperlink" Target="https://www.jivi.com.ar/ficha.php?id=1601" TargetMode="External"/><Relationship Id="rId162" Type="http://schemas.openxmlformats.org/officeDocument/2006/relationships/hyperlink" Target="https://www.jivi.com.ar/ficha.php?id=1097" TargetMode="External"/><Relationship Id="rId218" Type="http://schemas.openxmlformats.org/officeDocument/2006/relationships/hyperlink" Target="https://www.jivi.com.ar/ficha.php?id=1290" TargetMode="External"/><Relationship Id="rId425" Type="http://schemas.openxmlformats.org/officeDocument/2006/relationships/hyperlink" Target="https://www.jivi.com.ar/ficha.php?id=1620" TargetMode="External"/><Relationship Id="rId467" Type="http://schemas.openxmlformats.org/officeDocument/2006/relationships/hyperlink" Target="https://www.jivi.com.ar/ficha.php?id=1722" TargetMode="External"/><Relationship Id="rId632" Type="http://schemas.openxmlformats.org/officeDocument/2006/relationships/vmlDrawing" Target="../drawings/vmlDrawing1.vml"/><Relationship Id="rId271" Type="http://schemas.openxmlformats.org/officeDocument/2006/relationships/hyperlink" Target="https://www.jivi.com.ar/ficha.php?id=1423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926" TargetMode="External"/><Relationship Id="rId327" Type="http://schemas.openxmlformats.org/officeDocument/2006/relationships/hyperlink" Target="https://www.jivi.com.ar/ficha.php?id=1506" TargetMode="External"/><Relationship Id="rId369" Type="http://schemas.openxmlformats.org/officeDocument/2006/relationships/hyperlink" Target="https://www.jivi.com.ar/ficha.php?id=1408" TargetMode="External"/><Relationship Id="rId534" Type="http://schemas.openxmlformats.org/officeDocument/2006/relationships/hyperlink" Target="https://www.jivi.com.ar/ficha.php?id=1835" TargetMode="External"/><Relationship Id="rId576" Type="http://schemas.openxmlformats.org/officeDocument/2006/relationships/hyperlink" Target="https://www.jivi.com.ar/ficha.php?id=2012" TargetMode="External"/><Relationship Id="rId173" Type="http://schemas.openxmlformats.org/officeDocument/2006/relationships/hyperlink" Target="hhttps://www.jivi.com.ar/ficha.php?id=1155" TargetMode="External"/><Relationship Id="rId229" Type="http://schemas.openxmlformats.org/officeDocument/2006/relationships/hyperlink" Target="https://www.jivi.com.ar/ficha.php?id=1365" TargetMode="External"/><Relationship Id="rId380" Type="http://schemas.openxmlformats.org/officeDocument/2006/relationships/hyperlink" Target="https://www.jivi.com.ar/ficha.php?id=1294" TargetMode="External"/><Relationship Id="rId436" Type="http://schemas.openxmlformats.org/officeDocument/2006/relationships/hyperlink" Target="https://www.jivi.com.ar/ficha.php?id=1637" TargetMode="External"/><Relationship Id="rId601" Type="http://schemas.openxmlformats.org/officeDocument/2006/relationships/hyperlink" Target="https://www.jivi.com.ar/ficha.php?id=2052" TargetMode="External"/><Relationship Id="rId240" Type="http://schemas.openxmlformats.org/officeDocument/2006/relationships/hyperlink" Target="https://www.jivi.com.ar/ficha.php?id=1387" TargetMode="External"/><Relationship Id="rId478" Type="http://schemas.openxmlformats.org/officeDocument/2006/relationships/hyperlink" Target="https://www.jivi.com.ar/ficha.php?id=1740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9" TargetMode="External"/><Relationship Id="rId100" Type="http://schemas.openxmlformats.org/officeDocument/2006/relationships/hyperlink" Target="https://www.jivi.com.ar/ficha.php?id=472" TargetMode="External"/><Relationship Id="rId282" Type="http://schemas.openxmlformats.org/officeDocument/2006/relationships/hyperlink" Target="https://www.jivi.com.ar/ficha.php?id=1427" TargetMode="External"/><Relationship Id="rId338" Type="http://schemas.openxmlformats.org/officeDocument/2006/relationships/hyperlink" Target="https://www.jivi.com.ar/ficha.php?id=1532" TargetMode="External"/><Relationship Id="rId503" Type="http://schemas.openxmlformats.org/officeDocument/2006/relationships/hyperlink" Target="https://www.jivi.com.ar/ficha.php?id=1781" TargetMode="External"/><Relationship Id="rId545" Type="http://schemas.openxmlformats.org/officeDocument/2006/relationships/hyperlink" Target="https://www.jivi.com.ar/ficha.php?id=1733" TargetMode="External"/><Relationship Id="rId587" Type="http://schemas.openxmlformats.org/officeDocument/2006/relationships/hyperlink" Target="https://www.jivi.com.ar/ficha.php?id=1662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1006" TargetMode="External"/><Relationship Id="rId184" Type="http://schemas.openxmlformats.org/officeDocument/2006/relationships/hyperlink" Target="https://www.jivi.com.ar/ficha.php?id=349" TargetMode="External"/><Relationship Id="rId391" Type="http://schemas.openxmlformats.org/officeDocument/2006/relationships/hyperlink" Target="https://www.jivi.com.ar/ficha.php?id=1586" TargetMode="External"/><Relationship Id="rId405" Type="http://schemas.openxmlformats.org/officeDocument/2006/relationships/hyperlink" Target="https://www.jivi.com.ar/ficha.php?id=1603" TargetMode="External"/><Relationship Id="rId447" Type="http://schemas.openxmlformats.org/officeDocument/2006/relationships/hyperlink" Target="https://www.jivi.com.ar/ficha.php?id=1687" TargetMode="External"/><Relationship Id="rId612" Type="http://schemas.openxmlformats.org/officeDocument/2006/relationships/hyperlink" Target="https://www.jivi.com.ar/ficha.php?id=1391" TargetMode="External"/><Relationship Id="rId251" Type="http://schemas.openxmlformats.org/officeDocument/2006/relationships/hyperlink" Target="https://www.jivi.com.ar/ficha.php?id=1392" TargetMode="External"/><Relationship Id="rId489" Type="http://schemas.openxmlformats.org/officeDocument/2006/relationships/hyperlink" Target="https://www.jivi.com.ar/ficha.php?id=1750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063" TargetMode="External"/><Relationship Id="rId307" Type="http://schemas.openxmlformats.org/officeDocument/2006/relationships/hyperlink" Target="https://www.jivi.com.ar/ficha.php?id=835" TargetMode="External"/><Relationship Id="rId349" Type="http://schemas.openxmlformats.org/officeDocument/2006/relationships/hyperlink" Target="https://www.jivi.com.ar/ficha.php?id=1548" TargetMode="External"/><Relationship Id="rId514" Type="http://schemas.openxmlformats.org/officeDocument/2006/relationships/hyperlink" Target="https://www.jivi.com.ar/ficha.php?id=1087" TargetMode="External"/><Relationship Id="rId556" Type="http://schemas.openxmlformats.org/officeDocument/2006/relationships/hyperlink" Target="https://www.jivi.com.ar/ficha.php?id=1916" TargetMode="External"/><Relationship Id="rId88" Type="http://schemas.openxmlformats.org/officeDocument/2006/relationships/hyperlink" Target="https://www.jivi.com.ar/ficha.php?id=168" TargetMode="External"/><Relationship Id="rId111" Type="http://schemas.openxmlformats.org/officeDocument/2006/relationships/hyperlink" Target="https://www.jivi.com.ar/ficha.php?id=214" TargetMode="External"/><Relationship Id="rId153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ttps://www.jivi.com.ar/ficha.php?id=1225" TargetMode="External"/><Relationship Id="rId209" Type="http://schemas.openxmlformats.org/officeDocument/2006/relationships/hyperlink" Target="https://www.jivi.com.ar/ficha.php?id=1277" TargetMode="External"/><Relationship Id="rId360" Type="http://schemas.openxmlformats.org/officeDocument/2006/relationships/hyperlink" Target="https://www.jivi.com.ar/ficha.php?id=1561" TargetMode="External"/><Relationship Id="rId416" Type="http://schemas.openxmlformats.org/officeDocument/2006/relationships/hyperlink" Target="https://www.jivi.com.ar/ficha.php?id=1611" TargetMode="External"/><Relationship Id="rId598" Type="http://schemas.openxmlformats.org/officeDocument/2006/relationships/hyperlink" Target="https://www.jivi.com.ar/ficha.php?id=1433" TargetMode="External"/><Relationship Id="rId220" Type="http://schemas.openxmlformats.org/officeDocument/2006/relationships/hyperlink" Target="https://www.jivi.com.ar/ficha.php?id=1314" TargetMode="External"/><Relationship Id="rId458" Type="http://schemas.openxmlformats.org/officeDocument/2006/relationships/hyperlink" Target="https://www.jivi.com.ar/ficha.php?id=1531" TargetMode="External"/><Relationship Id="rId623" Type="http://schemas.openxmlformats.org/officeDocument/2006/relationships/hyperlink" Target="https://www.jivi.com.ar/ficha.php?id=2085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356" TargetMode="External"/><Relationship Id="rId318" Type="http://schemas.openxmlformats.org/officeDocument/2006/relationships/hyperlink" Target="https://www.jivi.com.ar/ficha.php?id=1495" TargetMode="External"/><Relationship Id="rId525" Type="http://schemas.openxmlformats.org/officeDocument/2006/relationships/hyperlink" Target="https://www.jivi.com.ar/ficha.php?id=1774" TargetMode="External"/><Relationship Id="rId567" Type="http://schemas.openxmlformats.org/officeDocument/2006/relationships/hyperlink" Target="https://www.jivi.com.ar/ficha.php?id=1245" TargetMode="External"/><Relationship Id="rId99" Type="http://schemas.openxmlformats.org/officeDocument/2006/relationships/hyperlink" Target="https://www.jivi.com.ar/ficha.php?id=181" TargetMode="External"/><Relationship Id="rId122" Type="http://schemas.openxmlformats.org/officeDocument/2006/relationships/hyperlink" Target="https://www.jivi.com.ar/ficha.php?id=848" TargetMode="External"/><Relationship Id="rId164" Type="http://schemas.openxmlformats.org/officeDocument/2006/relationships/hyperlink" Target="https://www.jivi.com.ar/ficha.php?id=885" TargetMode="External"/><Relationship Id="rId371" Type="http://schemas.openxmlformats.org/officeDocument/2006/relationships/hyperlink" Target="https://www.jivi.com.ar/ficha.php?id=1434" TargetMode="External"/><Relationship Id="rId427" Type="http://schemas.openxmlformats.org/officeDocument/2006/relationships/hyperlink" Target="https://www.jivi.com.ar/ficha.php?id=1621" TargetMode="External"/><Relationship Id="rId469" Type="http://schemas.openxmlformats.org/officeDocument/2006/relationships/hyperlink" Target="https://www.jivi.com.ar/ficha.php?id=1725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registro.php" TargetMode="External"/><Relationship Id="rId273" Type="http://schemas.openxmlformats.org/officeDocument/2006/relationships/hyperlink" Target="https://www.jivi.com.ar/ficha.php?id=1426" TargetMode="External"/><Relationship Id="rId329" Type="http://schemas.openxmlformats.org/officeDocument/2006/relationships/hyperlink" Target="https://www.jivi.com.ar/ficha.php?id=1508" TargetMode="External"/><Relationship Id="rId480" Type="http://schemas.openxmlformats.org/officeDocument/2006/relationships/hyperlink" Target="https://www.jivi.com.ar/ficha.php?id=1575" TargetMode="External"/><Relationship Id="rId536" Type="http://schemas.openxmlformats.org/officeDocument/2006/relationships/hyperlink" Target="https://www.jivi.com.ar/ficha.php?id=1152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247" TargetMode="External"/><Relationship Id="rId175" Type="http://schemas.openxmlformats.org/officeDocument/2006/relationships/hyperlink" Target="https://www.jivi.com.ar/ficha.php?id=1168" TargetMode="External"/><Relationship Id="rId340" Type="http://schemas.openxmlformats.org/officeDocument/2006/relationships/hyperlink" Target="https://www.jivi.com.ar/ficha.php?id=1535" TargetMode="External"/><Relationship Id="rId578" Type="http://schemas.openxmlformats.org/officeDocument/2006/relationships/hyperlink" Target="https://www.jivi.com.ar/ficha.php?id=2017" TargetMode="External"/><Relationship Id="rId200" Type="http://schemas.openxmlformats.org/officeDocument/2006/relationships/hyperlink" Target="https://www.jivi.com.ar/ficha.php?id=883" TargetMode="External"/><Relationship Id="rId382" Type="http://schemas.openxmlformats.org/officeDocument/2006/relationships/hyperlink" Target="https://www.jivi.com.ar/ficha.php?id=1296" TargetMode="External"/><Relationship Id="rId438" Type="http://schemas.openxmlformats.org/officeDocument/2006/relationships/hyperlink" Target="https://www.jivi.com.ar/ficha.php?id=1640" TargetMode="External"/><Relationship Id="rId603" Type="http://schemas.openxmlformats.org/officeDocument/2006/relationships/hyperlink" Target="https://www.jivi.com.ar/ficha.php?id=2055" TargetMode="External"/><Relationship Id="rId242" Type="http://schemas.openxmlformats.org/officeDocument/2006/relationships/hyperlink" Target="https://www.jivi.com.ar/ficha.php?id=363" TargetMode="External"/><Relationship Id="rId284" Type="http://schemas.openxmlformats.org/officeDocument/2006/relationships/hyperlink" Target="https://www.jivi.com.ar/ficha.php?id=1056" TargetMode="External"/><Relationship Id="rId491" Type="http://schemas.openxmlformats.org/officeDocument/2006/relationships/hyperlink" Target="https://www.jivi.com.ar/ficha.php?id=1461" TargetMode="External"/><Relationship Id="rId505" Type="http://schemas.openxmlformats.org/officeDocument/2006/relationships/hyperlink" Target="https://www.jivi.com.ar/ficha.php?id=1340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392" TargetMode="External"/><Relationship Id="rId102" Type="http://schemas.openxmlformats.org/officeDocument/2006/relationships/hyperlink" Target="http://whttps/www.jivi.com.ar/ficha.php?id=253" TargetMode="External"/><Relationship Id="rId144" Type="http://schemas.openxmlformats.org/officeDocument/2006/relationships/hyperlink" Target="https://www.jivi.com.ar/ficha.php?id=251" TargetMode="External"/><Relationship Id="rId547" Type="http://schemas.openxmlformats.org/officeDocument/2006/relationships/hyperlink" Target="https://www.jivi.com.ar/ficha.php?id=1530" TargetMode="External"/><Relationship Id="rId589" Type="http://schemas.openxmlformats.org/officeDocument/2006/relationships/hyperlink" Target="https://www.jivi.com.ar/ficha.php?id=248" TargetMode="External"/><Relationship Id="rId90" Type="http://schemas.openxmlformats.org/officeDocument/2006/relationships/hyperlink" Target="https://www.jivi.com.ar/ficha.php?id=148" TargetMode="External"/><Relationship Id="rId186" Type="http://schemas.openxmlformats.org/officeDocument/2006/relationships/hyperlink" Target="https://www.jivi.com.ar/ficha.php?id=1181" TargetMode="External"/><Relationship Id="rId351" Type="http://schemas.openxmlformats.org/officeDocument/2006/relationships/hyperlink" Target="https://www.jivi.com.ar/ficha.php?id=1551" TargetMode="External"/><Relationship Id="rId393" Type="http://schemas.openxmlformats.org/officeDocument/2006/relationships/hyperlink" Target="https://www.jivi.com.ar/ficha.php?id=1221" TargetMode="External"/><Relationship Id="rId407" Type="http://schemas.openxmlformats.org/officeDocument/2006/relationships/hyperlink" Target="https://www.jivi.com.ar/ficha.php?id=1604" TargetMode="External"/><Relationship Id="rId449" Type="http://schemas.openxmlformats.org/officeDocument/2006/relationships/hyperlink" Target="https://www.jivi.com.ar/ficha.php?id=1690" TargetMode="External"/><Relationship Id="rId614" Type="http://schemas.openxmlformats.org/officeDocument/2006/relationships/hyperlink" Target="https://www.jivi.com.ar/ficha.php?id=2067" TargetMode="External"/><Relationship Id="rId211" Type="http://schemas.openxmlformats.org/officeDocument/2006/relationships/hyperlink" Target="https://www.jivi.com.ar/ficha.php?id=378" TargetMode="External"/><Relationship Id="rId253" Type="http://schemas.openxmlformats.org/officeDocument/2006/relationships/hyperlink" Target="https://www.jivi.com.ar/ficha.php?id=1110" TargetMode="External"/><Relationship Id="rId295" Type="http://schemas.openxmlformats.org/officeDocument/2006/relationships/hyperlink" Target="https://www.jivi.com.ar/ficha.php?id=969" TargetMode="External"/><Relationship Id="rId309" Type="http://schemas.openxmlformats.org/officeDocument/2006/relationships/hyperlink" Target="https://www.jivi.com.ar/ficha.php?id=1479" TargetMode="External"/><Relationship Id="rId460" Type="http://schemas.openxmlformats.org/officeDocument/2006/relationships/hyperlink" Target="https://www.jivi.com.ar/ficha.php?id=1704" TargetMode="External"/><Relationship Id="rId516" Type="http://schemas.openxmlformats.org/officeDocument/2006/relationships/hyperlink" Target="https://www.jivi.com.ar/ficha.php?id=1451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34" TargetMode="External"/><Relationship Id="rId320" Type="http://schemas.openxmlformats.org/officeDocument/2006/relationships/hyperlink" Target="https://www.jivi.com.ar/ficha.php?id=1497" TargetMode="External"/><Relationship Id="rId558" Type="http://schemas.openxmlformats.org/officeDocument/2006/relationships/hyperlink" Target="https://www.jivi.com.ar/ficha.php?id=1386" TargetMode="External"/><Relationship Id="rId155" Type="http://schemas.openxmlformats.org/officeDocument/2006/relationships/hyperlink" Target="https://www.jivi.com.ar/ficha.php?id=1088" TargetMode="External"/><Relationship Id="rId197" Type="http://schemas.openxmlformats.org/officeDocument/2006/relationships/hyperlink" Target="https://www.jivi.com.ar/ficha.php?id=919" TargetMode="External"/><Relationship Id="rId362" Type="http://schemas.openxmlformats.org/officeDocument/2006/relationships/hyperlink" Target="https://www.jivi.com.ar/ficha.php?id=1066" TargetMode="External"/><Relationship Id="rId418" Type="http://schemas.openxmlformats.org/officeDocument/2006/relationships/hyperlink" Target="https://www.jivi.com.ar/ficha.php?id=1614" TargetMode="External"/><Relationship Id="rId625" Type="http://schemas.openxmlformats.org/officeDocument/2006/relationships/hyperlink" Target="https://www.jivi.com.ar/ficha.php?id=333" TargetMode="External"/><Relationship Id="rId222" Type="http://schemas.openxmlformats.org/officeDocument/2006/relationships/hyperlink" Target="https://www.jivi.com.ar/ficha.php?id=1344" TargetMode="External"/><Relationship Id="rId264" Type="http://schemas.openxmlformats.org/officeDocument/2006/relationships/hyperlink" Target="https://www.jivi.com.ar/ficha.php?id=1353" TargetMode="External"/><Relationship Id="rId471" Type="http://schemas.openxmlformats.org/officeDocument/2006/relationships/hyperlink" Target="https://www.jivi.com.ar/ficha.php?id=1728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62" TargetMode="External"/><Relationship Id="rId527" Type="http://schemas.openxmlformats.org/officeDocument/2006/relationships/hyperlink" Target="https://www.jivi.com.ar/ficha.php?id=1544" TargetMode="External"/><Relationship Id="rId569" Type="http://schemas.openxmlformats.org/officeDocument/2006/relationships/hyperlink" Target="https://www.jivi.com.ar/ficha.php?id=2007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108" TargetMode="External"/><Relationship Id="rId331" Type="http://schemas.openxmlformats.org/officeDocument/2006/relationships/hyperlink" Target="https://www.jivi.com.ar/ficha.php?id=1511" TargetMode="External"/><Relationship Id="rId373" Type="http://schemas.openxmlformats.org/officeDocument/2006/relationships/hyperlink" Target="https://www.jivi.com.ar/ficha.php?id=1568" TargetMode="External"/><Relationship Id="rId429" Type="http://schemas.openxmlformats.org/officeDocument/2006/relationships/hyperlink" Target="https://www.jivi.com.ar/ficha.php?id=1635" TargetMode="External"/><Relationship Id="rId580" Type="http://schemas.openxmlformats.org/officeDocument/2006/relationships/hyperlink" Target="https://www.jivi.com.ar/ficha.php?id=1339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72" TargetMode="External"/><Relationship Id="rId440" Type="http://schemas.openxmlformats.org/officeDocument/2006/relationships/hyperlink" Target="https://www.jivi.com.ar/ficha.php?id=1660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31" TargetMode="External"/><Relationship Id="rId300" Type="http://schemas.openxmlformats.org/officeDocument/2006/relationships/hyperlink" Target="https://www.jivi.com.ar/ficha.php?id=1468" TargetMode="External"/><Relationship Id="rId482" Type="http://schemas.openxmlformats.org/officeDocument/2006/relationships/hyperlink" Target="https://www.jivi.com.ar/ficha.php?id=1744" TargetMode="External"/><Relationship Id="rId538" Type="http://schemas.openxmlformats.org/officeDocument/2006/relationships/hyperlink" Target="https://www.jivi.com.ar/ficha.php?id=1077" TargetMode="External"/><Relationship Id="rId81" Type="http://schemas.openxmlformats.org/officeDocument/2006/relationships/hyperlink" Target="https://www.jivi.com.ar/ficha.php?id=135" TargetMode="External"/><Relationship Id="rId135" Type="http://schemas.openxmlformats.org/officeDocument/2006/relationships/hyperlink" Target="https://www.jivi.com.ar/ficha.php?id=954" TargetMode="External"/><Relationship Id="rId177" Type="http://schemas.openxmlformats.org/officeDocument/2006/relationships/hyperlink" Target="https://www.jivi.com.ar/ficha.php?id=975" TargetMode="External"/><Relationship Id="rId342" Type="http://schemas.openxmlformats.org/officeDocument/2006/relationships/hyperlink" Target="https://www.jivi.com.ar/ficha.php?id=1539" TargetMode="External"/><Relationship Id="rId384" Type="http://schemas.openxmlformats.org/officeDocument/2006/relationships/hyperlink" Target="https://www.jivi.com.ar/ficha.php?id=1249" TargetMode="External"/><Relationship Id="rId591" Type="http://schemas.openxmlformats.org/officeDocument/2006/relationships/hyperlink" Target="https://www.jivi.com.ar/ficha.php?id=2043" TargetMode="External"/><Relationship Id="rId605" Type="http://schemas.openxmlformats.org/officeDocument/2006/relationships/hyperlink" Target="https://www.jivi.com.ar/ficha.php?id=971" TargetMode="External"/><Relationship Id="rId202" Type="http://schemas.openxmlformats.org/officeDocument/2006/relationships/hyperlink" Target="https://jivi.com.ar/ficha.php?id=89" TargetMode="External"/><Relationship Id="rId244" Type="http://schemas.openxmlformats.org/officeDocument/2006/relationships/hyperlink" Target="https://www.jivi.com.ar/ficha.php?id=134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335" TargetMode="External"/><Relationship Id="rId451" Type="http://schemas.openxmlformats.org/officeDocument/2006/relationships/hyperlink" Target="https://www.jivi.com.ar/ficha.php?id=1438" TargetMode="External"/><Relationship Id="rId493" Type="http://schemas.openxmlformats.org/officeDocument/2006/relationships/hyperlink" Target="https://www.jivi.com.ar/ficha.php?id=1310" TargetMode="External"/><Relationship Id="rId507" Type="http://schemas.openxmlformats.org/officeDocument/2006/relationships/hyperlink" Target="https://www.jivi.com.ar/ficha.php?id=1487" TargetMode="External"/><Relationship Id="rId549" Type="http://schemas.openxmlformats.org/officeDocument/2006/relationships/hyperlink" Target="https://www.jivi.com.ar/ficha.php?id=1380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23" TargetMode="External"/><Relationship Id="rId146" Type="http://schemas.openxmlformats.org/officeDocument/2006/relationships/hyperlink" Target="https://www.jivi.com.ar/ficha.php?id=1025" TargetMode="External"/><Relationship Id="rId188" Type="http://schemas.openxmlformats.org/officeDocument/2006/relationships/hyperlink" Target="https://www.jivi.com.ar/ficha.php?id=1218" TargetMode="External"/><Relationship Id="rId311" Type="http://schemas.openxmlformats.org/officeDocument/2006/relationships/hyperlink" Target="https://www.jivi.com.ar/ficha.php?id=1481" TargetMode="External"/><Relationship Id="rId353" Type="http://schemas.openxmlformats.org/officeDocument/2006/relationships/hyperlink" Target="https://www.jivi.com.ar/ficha.php?id=1311" TargetMode="External"/><Relationship Id="rId395" Type="http://schemas.openxmlformats.org/officeDocument/2006/relationships/hyperlink" Target="https://www.jivi.com.ar/ficha.php?id=1589" TargetMode="External"/><Relationship Id="rId409" Type="http://schemas.openxmlformats.org/officeDocument/2006/relationships/hyperlink" Target="https://www.jivi.com.ar/ficha.php?id=1424" TargetMode="External"/><Relationship Id="rId560" Type="http://schemas.openxmlformats.org/officeDocument/2006/relationships/hyperlink" Target="https://www.jivi.com.ar/ficha.php?id=1566" TargetMode="External"/><Relationship Id="rId92" Type="http://schemas.openxmlformats.org/officeDocument/2006/relationships/hyperlink" Target="https://www.jivi.com.ar/ficha.php?id=621" TargetMode="External"/><Relationship Id="rId213" Type="http://schemas.openxmlformats.org/officeDocument/2006/relationships/hyperlink" Target="https://www.jivi.com.ar/ficha.php?id=1302" TargetMode="External"/><Relationship Id="rId420" Type="http://schemas.openxmlformats.org/officeDocument/2006/relationships/hyperlink" Target="https://www.jivi.com.ar/ficha.php?id=608" TargetMode="External"/><Relationship Id="rId616" Type="http://schemas.openxmlformats.org/officeDocument/2006/relationships/hyperlink" Target="https://www.jivi.com.ar/ficha.php?id=1295" TargetMode="External"/><Relationship Id="rId255" Type="http://schemas.openxmlformats.org/officeDocument/2006/relationships/hyperlink" Target="https://www.jivi.com.ar/ficha.php?id=477" TargetMode="External"/><Relationship Id="rId297" Type="http://schemas.openxmlformats.org/officeDocument/2006/relationships/hyperlink" Target="https://www.jivi.com.ar/ficha.php?id=1464" TargetMode="External"/><Relationship Id="rId462" Type="http://schemas.openxmlformats.org/officeDocument/2006/relationships/hyperlink" Target="https://www.jivi.com.ar/ficha.php?id=1457" TargetMode="External"/><Relationship Id="rId518" Type="http://schemas.openxmlformats.org/officeDocument/2006/relationships/hyperlink" Target="https://www.jivi.com.ar/ficha.php?id=1805" TargetMode="External"/><Relationship Id="rId115" Type="http://schemas.openxmlformats.org/officeDocument/2006/relationships/hyperlink" Target="https://www.jivi.com.ar/ficha.php?id=780" TargetMode="External"/><Relationship Id="rId157" Type="http://schemas.openxmlformats.org/officeDocument/2006/relationships/hyperlink" Target="https://www.jivi.com.ar/ficha.php?id=1090" TargetMode="External"/><Relationship Id="rId322" Type="http://schemas.openxmlformats.org/officeDocument/2006/relationships/hyperlink" Target="https://www.jivi.com.ar/ficha.php?id=1499" TargetMode="External"/><Relationship Id="rId364" Type="http://schemas.openxmlformats.org/officeDocument/2006/relationships/hyperlink" Target="https://www.jivi.com.ar/ficha.php?id=1563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32" TargetMode="External"/><Relationship Id="rId571" Type="http://schemas.openxmlformats.org/officeDocument/2006/relationships/hyperlink" Target="https://www.jivi.com.ar/ficha.php?id=2008" TargetMode="External"/><Relationship Id="rId627" Type="http://schemas.openxmlformats.org/officeDocument/2006/relationships/hyperlink" Target="https://www.jivi.com.ar/ficha.php?id=1786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46" TargetMode="External"/><Relationship Id="rId266" Type="http://schemas.openxmlformats.org/officeDocument/2006/relationships/hyperlink" Target="https://www.jivi.com.ar/ficha.php?id=1418" TargetMode="External"/><Relationship Id="rId431" Type="http://schemas.openxmlformats.org/officeDocument/2006/relationships/hyperlink" Target="https://www.jivi.com.ar/ficha.php?id=1643" TargetMode="External"/><Relationship Id="rId473" Type="http://schemas.openxmlformats.org/officeDocument/2006/relationships/hyperlink" Target="https://www.jivi.com.ar/ficha.php?id=1730" TargetMode="External"/><Relationship Id="rId529" Type="http://schemas.openxmlformats.org/officeDocument/2006/relationships/hyperlink" Target="https://www.jivi.com.ar/ficha.php?id=1556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82" TargetMode="External"/><Relationship Id="rId168" Type="http://schemas.openxmlformats.org/officeDocument/2006/relationships/hyperlink" Target="https://www.jivi.com.ar/ficha.php?id=1119" TargetMode="External"/><Relationship Id="rId333" Type="http://schemas.openxmlformats.org/officeDocument/2006/relationships/hyperlink" Target="https://www.jivi.com.ar/ficha.php?id=1516" TargetMode="External"/><Relationship Id="rId540" Type="http://schemas.openxmlformats.org/officeDocument/2006/relationships/hyperlink" Target="https://www.jivi.com.ar/ficha.php?id=1616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70" TargetMode="External"/><Relationship Id="rId582" Type="http://schemas.openxmlformats.org/officeDocument/2006/relationships/hyperlink" Target="https://www.jivi.com.ar/ficha.php?id=335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2" TargetMode="External"/><Relationship Id="rId277" Type="http://schemas.openxmlformats.org/officeDocument/2006/relationships/hyperlink" Target="https://www.jivi.com.ar/ficha.php?id=1436" TargetMode="External"/><Relationship Id="rId400" Type="http://schemas.openxmlformats.org/officeDocument/2006/relationships/hyperlink" Target="https://www.jivi.com.ar/ficha.php?id=1595" TargetMode="External"/><Relationship Id="rId442" Type="http://schemas.openxmlformats.org/officeDocument/2006/relationships/hyperlink" Target="https://www.jivi.com.ar/ficha.php?id=1664" TargetMode="External"/><Relationship Id="rId484" Type="http://schemas.openxmlformats.org/officeDocument/2006/relationships/hyperlink" Target="https://www.jivi.com.ar/ficha.php?id=1746" TargetMode="External"/><Relationship Id="rId137" Type="http://schemas.openxmlformats.org/officeDocument/2006/relationships/hyperlink" Target="https://www.jivi.com.ar/ficha.php?id=956" TargetMode="External"/><Relationship Id="rId302" Type="http://schemas.openxmlformats.org/officeDocument/2006/relationships/hyperlink" Target="https://www.jivi.com.ar/ficha.php?id=1471" TargetMode="External"/><Relationship Id="rId344" Type="http://schemas.openxmlformats.org/officeDocument/2006/relationships/hyperlink" Target="https://www.jivi.com.ar/ficha.php?id=1541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7" TargetMode="External"/><Relationship Id="rId179" Type="http://schemas.openxmlformats.org/officeDocument/2006/relationships/hyperlink" Target="https://www.jivi.com.ar/ficha.php?id=1175" TargetMode="External"/><Relationship Id="rId386" Type="http://schemas.openxmlformats.org/officeDocument/2006/relationships/hyperlink" Target="https://www.jivi.com.ar/ficha.php?id=1576" TargetMode="External"/><Relationship Id="rId551" Type="http://schemas.openxmlformats.org/officeDocument/2006/relationships/hyperlink" Target="https://www.jivi.com.ar/ficha.php?id=1371" TargetMode="External"/><Relationship Id="rId593" Type="http://schemas.openxmlformats.org/officeDocument/2006/relationships/hyperlink" Target="https://www.jivi.com.ar/ficha.php?id=1280" TargetMode="External"/><Relationship Id="rId607" Type="http://schemas.openxmlformats.org/officeDocument/2006/relationships/hyperlink" Target="https://www.jivi.com.ar/ficha.php?id=2060" TargetMode="External"/><Relationship Id="rId190" Type="http://schemas.openxmlformats.org/officeDocument/2006/relationships/hyperlink" Target="https://www.jivi.com.ar/ficha.php?id=1220" TargetMode="External"/><Relationship Id="rId204" Type="http://schemas.openxmlformats.org/officeDocument/2006/relationships/hyperlink" Target="https://www.jivi.com.ar/ficha.php?id=1253" TargetMode="External"/><Relationship Id="rId246" Type="http://schemas.openxmlformats.org/officeDocument/2006/relationships/hyperlink" Target="https://www.jivi.com.ar/ficha.php?id=872" TargetMode="External"/><Relationship Id="rId288" Type="http://schemas.openxmlformats.org/officeDocument/2006/relationships/hyperlink" Target="https://www.jivi.com.ar/ficha.php?id=1354" TargetMode="External"/><Relationship Id="rId411" Type="http://schemas.openxmlformats.org/officeDocument/2006/relationships/hyperlink" Target="https://www.jivi.com.ar/ficha.php?id=1459" TargetMode="External"/><Relationship Id="rId453" Type="http://schemas.openxmlformats.org/officeDocument/2006/relationships/hyperlink" Target="https://www.jivi.com.ar/ficha.php?id=1697" TargetMode="External"/><Relationship Id="rId509" Type="http://schemas.openxmlformats.org/officeDocument/2006/relationships/hyperlink" Target="https://www.jivi.com.ar/ficha.php?id=1186" TargetMode="External"/><Relationship Id="rId106" Type="http://schemas.openxmlformats.org/officeDocument/2006/relationships/hyperlink" Target="https://www.jivi.com.ar/ficha.php?id=221" TargetMode="External"/><Relationship Id="rId313" Type="http://schemas.openxmlformats.org/officeDocument/2006/relationships/hyperlink" Target="https://www.jivi.com.ar/ficha.php?id=1486" TargetMode="External"/><Relationship Id="rId495" Type="http://schemas.openxmlformats.org/officeDocument/2006/relationships/hyperlink" Target="https://www.jivi.com.ar/ficha.php?id=76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456" TargetMode="External"/><Relationship Id="rId148" Type="http://schemas.openxmlformats.org/officeDocument/2006/relationships/hyperlink" Target="https://www.jivi.com.ar/ficha.php?id=1049" TargetMode="External"/><Relationship Id="rId355" Type="http://schemas.openxmlformats.org/officeDocument/2006/relationships/hyperlink" Target="https://www.jivi.com.ar/ficha.php?id=1554" TargetMode="External"/><Relationship Id="rId397" Type="http://schemas.openxmlformats.org/officeDocument/2006/relationships/hyperlink" Target="https://www.jivi.com.ar/ficha.php?id=1591" TargetMode="External"/><Relationship Id="rId520" Type="http://schemas.openxmlformats.org/officeDocument/2006/relationships/hyperlink" Target="https://www.jivi.com.ar/ficha.php?id=1070" TargetMode="External"/><Relationship Id="rId562" Type="http://schemas.openxmlformats.org/officeDocument/2006/relationships/hyperlink" Target="https://www.jivi.com.ar/ficha.php?id=1411" TargetMode="External"/><Relationship Id="rId618" Type="http://schemas.openxmlformats.org/officeDocument/2006/relationships/hyperlink" Target="https://www.jivi.com.ar/ficha.php?id=2070" TargetMode="External"/><Relationship Id="rId215" Type="http://schemas.openxmlformats.org/officeDocument/2006/relationships/hyperlink" Target="https://www.jivi.com.ar/ficha.php?id=1305" TargetMode="External"/><Relationship Id="rId257" Type="http://schemas.openxmlformats.org/officeDocument/2006/relationships/hyperlink" Target="https://www.jivi.com.ar/ficha.php?id=1402" TargetMode="External"/><Relationship Id="rId422" Type="http://schemas.openxmlformats.org/officeDocument/2006/relationships/hyperlink" Target="https://www.jivi.com.ar/ficha.php?id=1617" TargetMode="External"/><Relationship Id="rId464" Type="http://schemas.openxmlformats.org/officeDocument/2006/relationships/hyperlink" Target="https://www.jivi.com.ar/ficha.php?id=1707" TargetMode="External"/><Relationship Id="rId299" Type="http://schemas.openxmlformats.org/officeDocument/2006/relationships/hyperlink" Target="https://www.jivi.com.ar/ficha.php?id=1467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95" TargetMode="External"/><Relationship Id="rId366" Type="http://schemas.openxmlformats.org/officeDocument/2006/relationships/hyperlink" Target="https://www.jivi.com.ar/ficha.php?id=790" TargetMode="External"/><Relationship Id="rId573" Type="http://schemas.openxmlformats.org/officeDocument/2006/relationships/hyperlink" Target="https://www.jivi.com.ar/ficha.php?id=1720" TargetMode="External"/><Relationship Id="rId226" Type="http://schemas.openxmlformats.org/officeDocument/2006/relationships/hyperlink" Target="https://www.jivi.com.ar/ficha.php?id=1348" TargetMode="External"/><Relationship Id="rId433" Type="http://schemas.openxmlformats.org/officeDocument/2006/relationships/hyperlink" Target="https://www.jivi.com.ar/ficha.php?id=1644" TargetMode="External"/><Relationship Id="rId74" Type="http://schemas.openxmlformats.org/officeDocument/2006/relationships/hyperlink" Target="https://www.jivi.com.ar/ficha.php?id=394" TargetMode="External"/><Relationship Id="rId377" Type="http://schemas.openxmlformats.org/officeDocument/2006/relationships/hyperlink" Target="https://www.jivi.com.ar/ficha.php?id=1518" TargetMode="External"/><Relationship Id="rId500" Type="http://schemas.openxmlformats.org/officeDocument/2006/relationships/hyperlink" Target="https://www.jivi.com.ar/ficha.php?id=1736" TargetMode="External"/><Relationship Id="rId584" Type="http://schemas.openxmlformats.org/officeDocument/2006/relationships/hyperlink" Target="https://www.jivi.com.ar/ficha.php?id=2034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84" TargetMode="External"/><Relationship Id="rId444" Type="http://schemas.openxmlformats.org/officeDocument/2006/relationships/hyperlink" Target="https://www.jivi.com.ar/ficha.php?id=1667" TargetMode="External"/><Relationship Id="rId290" Type="http://schemas.openxmlformats.org/officeDocument/2006/relationships/hyperlink" Target="https://www.jivi.com.ar/ficha.php?id=1450" TargetMode="External"/><Relationship Id="rId304" Type="http://schemas.openxmlformats.org/officeDocument/2006/relationships/hyperlink" Target="htthttps://www.jivi.com.ar/ficha.php?id=1476" TargetMode="External"/><Relationship Id="rId388" Type="http://schemas.openxmlformats.org/officeDocument/2006/relationships/hyperlink" Target="https://www.jivi.com.ar/ficha.php?id=1581" TargetMode="External"/><Relationship Id="rId511" Type="http://schemas.openxmlformats.org/officeDocument/2006/relationships/hyperlink" Target="https://www.jivi.com.ar/ficha.php?id=1319" TargetMode="External"/><Relationship Id="rId609" Type="http://schemas.openxmlformats.org/officeDocument/2006/relationships/hyperlink" Target="https://www.jivi.com.ar/ficha.php?id=2062" TargetMode="External"/><Relationship Id="rId85" Type="http://schemas.openxmlformats.org/officeDocument/2006/relationships/hyperlink" Target="https://www.jivi.com.ar/ficha.php?id=245" TargetMode="External"/><Relationship Id="rId150" Type="http://schemas.openxmlformats.org/officeDocument/2006/relationships/hyperlink" Target="https://www.jivi.com.ar/ficha.php?id=1061" TargetMode="External"/><Relationship Id="rId595" Type="http://schemas.openxmlformats.org/officeDocument/2006/relationships/hyperlink" Target="https://www.jivi.com.ar/ficha.php?id=1256" TargetMode="External"/><Relationship Id="rId248" Type="http://schemas.openxmlformats.org/officeDocument/2006/relationships/hyperlink" Target="https://www.jivi.com.ar/ficha.php?id=1262" TargetMode="External"/><Relationship Id="rId455" Type="http://schemas.openxmlformats.org/officeDocument/2006/relationships/hyperlink" Target="https://www.jivi.com.ar/ficha.php?id=1699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568" TargetMode="External"/><Relationship Id="rId315" Type="http://schemas.openxmlformats.org/officeDocument/2006/relationships/hyperlink" Target="https://www.jivi.com.ar/ficha.php?id=1492" TargetMode="External"/><Relationship Id="rId522" Type="http://schemas.openxmlformats.org/officeDocument/2006/relationships/hyperlink" Target="https://www.jivi.com.ar/ficha.php?id=1453" TargetMode="External"/><Relationship Id="rId96" Type="http://schemas.openxmlformats.org/officeDocument/2006/relationships/hyperlink" Target="https://www.jivi.com.ar/ficha.php?id=431" TargetMode="External"/><Relationship Id="rId161" Type="http://schemas.openxmlformats.org/officeDocument/2006/relationships/hyperlink" Target="https://www.jivi.com.ar/ficha.php?id=297" TargetMode="External"/><Relationship Id="rId399" Type="http://schemas.openxmlformats.org/officeDocument/2006/relationships/hyperlink" Target="https://www.jivi.com.ar/ficha.php?id=1593" TargetMode="External"/><Relationship Id="rId259" Type="http://schemas.openxmlformats.org/officeDocument/2006/relationships/hyperlink" Target="https://www.jivi.com.ar/ficha.php?id=1405" TargetMode="External"/><Relationship Id="rId466" Type="http://schemas.openxmlformats.org/officeDocument/2006/relationships/hyperlink" Target="https://www.jivi.com.ar/ficha.php?id=1721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9" TargetMode="External"/><Relationship Id="rId326" Type="http://schemas.openxmlformats.org/officeDocument/2006/relationships/hyperlink" Target="https://www.jivi.com.ar/ficha.php?id=1505" TargetMode="External"/><Relationship Id="rId533" Type="http://schemas.openxmlformats.org/officeDocument/2006/relationships/hyperlink" Target="https://www.jivi.com.ar/ficha.php?id=1594" TargetMode="External"/><Relationship Id="rId172" Type="http://schemas.openxmlformats.org/officeDocument/2006/relationships/hyperlink" Target="https://www.jivi.com.ar/ficha.php?id=1158" TargetMode="External"/><Relationship Id="rId477" Type="http://schemas.openxmlformats.org/officeDocument/2006/relationships/hyperlink" Target="https://www.jivi.com.ar/ficha.php?id=1738" TargetMode="External"/><Relationship Id="rId600" Type="http://schemas.openxmlformats.org/officeDocument/2006/relationships/hyperlink" Target="https://www.jivi.com.ar/ficha.php?id=2051" TargetMode="External"/><Relationship Id="rId337" Type="http://schemas.openxmlformats.org/officeDocument/2006/relationships/hyperlink" Target="https://www.jivi.com.ar/ficha.php?id=1527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055" TargetMode="External"/><Relationship Id="rId183" Type="http://schemas.openxmlformats.org/officeDocument/2006/relationships/hyperlink" Target="https://www.jivi.com.ar/ficha.php?id=1185" TargetMode="External"/><Relationship Id="rId390" Type="http://schemas.openxmlformats.org/officeDocument/2006/relationships/hyperlink" Target="https://www.jivi.com.ar/ficha.php?id=1584" TargetMode="External"/><Relationship Id="rId404" Type="http://schemas.openxmlformats.org/officeDocument/2006/relationships/hyperlink" Target="https://www.jivi.com.ar/ficha.php?id=1602" TargetMode="External"/><Relationship Id="rId611" Type="http://schemas.openxmlformats.org/officeDocument/2006/relationships/hyperlink" Target="https://www.jivi.com.ar/ficha.php?id=1364" TargetMode="External"/><Relationship Id="rId250" Type="http://schemas.openxmlformats.org/officeDocument/2006/relationships/hyperlink" Target="https://www.jivi.com.ar/ficha.php?id=1401" TargetMode="External"/><Relationship Id="rId488" Type="http://schemas.openxmlformats.org/officeDocument/2006/relationships/hyperlink" Target="https://www.jivi.com.ar/ficha.php?id=1787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34" TargetMode="External"/><Relationship Id="rId348" Type="http://schemas.openxmlformats.org/officeDocument/2006/relationships/hyperlink" Target="https://www.jivi.com.ar/ficha.php?id=981" TargetMode="External"/><Relationship Id="rId555" Type="http://schemas.openxmlformats.org/officeDocument/2006/relationships/hyperlink" Target="https://www.jivi.com.ar/ficha.php?id=1911" TargetMode="External"/><Relationship Id="rId194" Type="http://schemas.openxmlformats.org/officeDocument/2006/relationships/hyperlink" Target="https://www.jivi.com.ar/ficha.php?id=1224" TargetMode="External"/><Relationship Id="rId208" Type="http://schemas.openxmlformats.org/officeDocument/2006/relationships/hyperlink" Target="https://www.jivi.com.ar/ficha.php?id=1268" TargetMode="External"/><Relationship Id="rId415" Type="http://schemas.openxmlformats.org/officeDocument/2006/relationships/hyperlink" Target="https://www.jivi.com.ar/ficha.php?id=1610" TargetMode="External"/><Relationship Id="rId622" Type="http://schemas.openxmlformats.org/officeDocument/2006/relationships/hyperlink" Target="https://www.jivi.com.ar/ficha.php?id=2084" TargetMode="External"/><Relationship Id="rId261" Type="http://schemas.openxmlformats.org/officeDocument/2006/relationships/hyperlink" Target="https://www.jivi.com.ar/ficha.php?id=1415" TargetMode="External"/><Relationship Id="rId499" Type="http://schemas.openxmlformats.org/officeDocument/2006/relationships/hyperlink" Target="https://www.jivi.com.ar/ficha.php?id=1710" TargetMode="External"/><Relationship Id="rId56" Type="http://schemas.openxmlformats.org/officeDocument/2006/relationships/hyperlink" Target="https://www.jivi.com.ar/ficha.php?id=120" TargetMode="External"/><Relationship Id="rId359" Type="http://schemas.openxmlformats.org/officeDocument/2006/relationships/hyperlink" Target="https://www.jivi.com.ar/ficha.php?id=518" TargetMode="External"/><Relationship Id="rId566" Type="http://schemas.openxmlformats.org/officeDocument/2006/relationships/hyperlink" Target="https://www.jivi.com.ar/ficha.php?id=1577" TargetMode="External"/><Relationship Id="rId121" Type="http://schemas.openxmlformats.org/officeDocument/2006/relationships/hyperlink" Target="https://www.jivi.com.ar/ficha.php?id=846" TargetMode="External"/><Relationship Id="rId219" Type="http://schemas.openxmlformats.org/officeDocument/2006/relationships/hyperlink" Target="https://www.jivi.com.ar/ficha.php?id=1316" TargetMode="External"/><Relationship Id="rId426" Type="http://schemas.openxmlformats.org/officeDocument/2006/relationships/hyperlink" Target="https://www.jivi.com.ar/ficha.php?id=1204" TargetMode="External"/><Relationship Id="rId633" Type="http://schemas.openxmlformats.org/officeDocument/2006/relationships/comments" Target="../comments1.xm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25" TargetMode="External"/><Relationship Id="rId577" Type="http://schemas.openxmlformats.org/officeDocument/2006/relationships/hyperlink" Target="https://www.jivi.com.ar/ficha.php?id=2014" TargetMode="External"/><Relationship Id="rId132" Type="http://schemas.openxmlformats.org/officeDocument/2006/relationships/hyperlink" Target="https://www.jivi.com.ar/ficha.php?id=938" TargetMode="External"/><Relationship Id="rId437" Type="http://schemas.openxmlformats.org/officeDocument/2006/relationships/hyperlink" Target="https://www.jivi.com.ar/ficha.php?id=1652" TargetMode="External"/><Relationship Id="rId283" Type="http://schemas.openxmlformats.org/officeDocument/2006/relationships/hyperlink" Target="https://www.jivi.com.ar/ficha.php?id=216" TargetMode="External"/><Relationship Id="rId490" Type="http://schemas.openxmlformats.org/officeDocument/2006/relationships/hyperlink" Target="https://www.jivi.com.ar/ficha.php?id=1751" TargetMode="External"/><Relationship Id="rId504" Type="http://schemas.openxmlformats.org/officeDocument/2006/relationships/hyperlink" Target="https://www.jivi.com.ar/ficha.php?id=1293" TargetMode="External"/><Relationship Id="rId78" Type="http://schemas.openxmlformats.org/officeDocument/2006/relationships/hyperlink" Target="https://www.jivi.com.ar/ficha.php?id=142" TargetMode="External"/><Relationship Id="rId143" Type="http://schemas.openxmlformats.org/officeDocument/2006/relationships/hyperlink" Target="https://www.jivi.com.ar/ficha.php?id=250" TargetMode="External"/><Relationship Id="rId350" Type="http://schemas.openxmlformats.org/officeDocument/2006/relationships/hyperlink" Target="https://www.jivi.com.ar/ficha.php?id=1549" TargetMode="External"/><Relationship Id="rId588" Type="http://schemas.openxmlformats.org/officeDocument/2006/relationships/hyperlink" Target="https://www.jivi.com.ar/ficha.php?id=2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130" t="s">
        <v>0</v>
      </c>
      <c r="C1" s="1131"/>
      <c r="D1" s="1131"/>
      <c r="E1" s="1131"/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  <c r="R1" s="1131"/>
      <c r="S1" s="1131"/>
      <c r="T1" s="1131"/>
      <c r="U1" s="1131"/>
      <c r="V1" s="1131"/>
      <c r="W1" s="1132"/>
      <c r="X1" s="478">
        <v>1</v>
      </c>
      <c r="Y1" s="1122" t="s">
        <v>1</v>
      </c>
      <c r="Z1" s="1123"/>
      <c r="AA1" s="1123"/>
      <c r="AB1" s="1123"/>
      <c r="AC1" s="1123"/>
      <c r="AD1" s="1124"/>
      <c r="AE1" s="1119" t="s">
        <v>2</v>
      </c>
      <c r="AF1" s="1120"/>
      <c r="AG1" s="1120"/>
      <c r="AH1" s="1120"/>
      <c r="AI1" s="1121"/>
      <c r="AJ1" s="1117" t="s">
        <v>3</v>
      </c>
      <c r="AK1" s="55"/>
      <c r="AL1" s="55"/>
      <c r="AM1" s="53"/>
    </row>
    <row r="2" spans="1:39" ht="14.25" customHeight="1" x14ac:dyDescent="0.2">
      <c r="A2" s="18"/>
      <c r="B2" s="1176" t="s">
        <v>974</v>
      </c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8"/>
      <c r="W2" s="1179"/>
      <c r="X2" s="479">
        <v>1065</v>
      </c>
      <c r="Y2" s="1136" t="s">
        <v>4</v>
      </c>
      <c r="Z2" s="1137"/>
      <c r="AA2" s="1137"/>
      <c r="AB2" s="1137"/>
      <c r="AC2" s="1137"/>
      <c r="AD2" s="1138"/>
      <c r="AE2" s="1128" t="s">
        <v>5</v>
      </c>
      <c r="AF2" s="1129"/>
      <c r="AG2" s="1129"/>
      <c r="AH2" s="480"/>
      <c r="AI2" s="481"/>
      <c r="AJ2" s="1118"/>
      <c r="AK2" s="172"/>
      <c r="AL2" s="172"/>
      <c r="AM2" s="53"/>
    </row>
    <row r="3" spans="1:39" ht="15.75" customHeight="1" x14ac:dyDescent="0.2">
      <c r="A3" s="18"/>
      <c r="B3" s="1145"/>
      <c r="C3" s="1146"/>
      <c r="D3" s="1147"/>
      <c r="E3" s="1169" t="s">
        <v>6</v>
      </c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P3" s="1170"/>
      <c r="Q3" s="1170"/>
      <c r="R3" s="1170"/>
      <c r="S3" s="1170"/>
      <c r="T3" s="1170"/>
      <c r="U3" s="1170"/>
      <c r="V3" s="1171"/>
      <c r="W3" s="1172"/>
      <c r="X3" s="1133" t="s">
        <v>953</v>
      </c>
      <c r="Y3" s="1134"/>
      <c r="Z3" s="1134"/>
      <c r="AA3" s="1134"/>
      <c r="AB3" s="1134"/>
      <c r="AC3" s="1134"/>
      <c r="AD3" s="1135"/>
      <c r="AE3" s="1126"/>
      <c r="AF3" s="1127"/>
      <c r="AG3" s="1127"/>
      <c r="AH3" s="1127"/>
      <c r="AI3" s="1127"/>
      <c r="AJ3" s="13"/>
      <c r="AK3" s="13"/>
      <c r="AL3" s="13"/>
      <c r="AM3" s="54"/>
    </row>
    <row r="4" spans="1:39" ht="21.75" customHeight="1" x14ac:dyDescent="0.2">
      <c r="A4" s="18"/>
      <c r="B4" s="1148"/>
      <c r="C4" s="1149"/>
      <c r="D4" s="1150"/>
      <c r="E4" s="1173" t="s">
        <v>7</v>
      </c>
      <c r="F4" s="1174"/>
      <c r="G4" s="1174"/>
      <c r="H4" s="1174"/>
      <c r="I4" s="1174"/>
      <c r="J4" s="1174"/>
      <c r="K4" s="1174"/>
      <c r="L4" s="1174"/>
      <c r="M4" s="1174"/>
      <c r="N4" s="1174"/>
      <c r="O4" s="1174"/>
      <c r="P4" s="1174"/>
      <c r="Q4" s="1174"/>
      <c r="R4" s="1174"/>
      <c r="S4" s="1174"/>
      <c r="T4" s="1174"/>
      <c r="U4" s="1174"/>
      <c r="V4" s="1174"/>
      <c r="W4" s="1175"/>
      <c r="X4" s="851"/>
      <c r="Y4" s="852"/>
      <c r="Z4" s="852"/>
      <c r="AA4" s="852"/>
      <c r="AB4" s="852"/>
      <c r="AC4" s="852"/>
      <c r="AD4" s="853"/>
      <c r="AE4" s="1127"/>
      <c r="AF4" s="1127"/>
      <c r="AG4" s="1127"/>
      <c r="AH4" s="1127"/>
      <c r="AI4" s="1127"/>
      <c r="AJ4" s="13"/>
      <c r="AK4" s="13"/>
      <c r="AL4" s="13"/>
      <c r="AM4" s="54"/>
    </row>
    <row r="5" spans="1:39" ht="23.25" customHeight="1" x14ac:dyDescent="0.2">
      <c r="A5" s="18"/>
      <c r="B5" s="1151"/>
      <c r="C5" s="1152"/>
      <c r="D5" s="1153"/>
      <c r="E5" s="1154" t="s">
        <v>8</v>
      </c>
      <c r="F5" s="1155"/>
      <c r="G5" s="1155"/>
      <c r="H5" s="1155"/>
      <c r="I5" s="1155"/>
      <c r="J5" s="1155"/>
      <c r="K5" s="1155"/>
      <c r="L5" s="1155"/>
      <c r="M5" s="1155"/>
      <c r="N5" s="1155"/>
      <c r="O5" s="1155"/>
      <c r="P5" s="1155"/>
      <c r="Q5" s="1155"/>
      <c r="R5" s="1155"/>
      <c r="S5" s="1155"/>
      <c r="T5" s="1155"/>
      <c r="U5" s="1155"/>
      <c r="V5" s="1155"/>
      <c r="W5" s="1156"/>
      <c r="X5" s="1160"/>
      <c r="Y5" s="1161"/>
      <c r="Z5" s="1161"/>
      <c r="AA5" s="1161"/>
      <c r="AB5" s="1161"/>
      <c r="AC5" s="1161"/>
      <c r="AD5" s="1162"/>
      <c r="AE5" s="1183"/>
      <c r="AF5" s="1183"/>
      <c r="AG5" s="1183"/>
      <c r="AH5" s="1183"/>
      <c r="AI5" s="1183"/>
      <c r="AJ5" s="13"/>
      <c r="AK5" s="13"/>
      <c r="AL5" s="13"/>
      <c r="AM5" s="54"/>
    </row>
    <row r="6" spans="1:39" ht="12" customHeight="1" x14ac:dyDescent="0.2">
      <c r="A6" s="18"/>
      <c r="B6" s="1157" t="s">
        <v>9</v>
      </c>
      <c r="C6" s="1158"/>
      <c r="D6" s="1158"/>
      <c r="E6" s="1158"/>
      <c r="F6" s="1158"/>
      <c r="G6" s="1158"/>
      <c r="H6" s="1158"/>
      <c r="I6" s="1158"/>
      <c r="J6" s="1158"/>
      <c r="K6" s="1158"/>
      <c r="L6" s="1158"/>
      <c r="M6" s="1158"/>
      <c r="N6" s="1158"/>
      <c r="O6" s="1158"/>
      <c r="P6" s="1158"/>
      <c r="Q6" s="1158"/>
      <c r="R6" s="1158"/>
      <c r="S6" s="1158"/>
      <c r="T6" s="1158"/>
      <c r="U6" s="1158"/>
      <c r="V6" s="1158"/>
      <c r="W6" s="1159"/>
      <c r="X6" s="1163"/>
      <c r="Y6" s="1164"/>
      <c r="Z6" s="1164"/>
      <c r="AA6" s="1164"/>
      <c r="AB6" s="1164"/>
      <c r="AC6" s="1164"/>
      <c r="AD6" s="1165"/>
      <c r="AE6" s="1183"/>
      <c r="AF6" s="1183"/>
      <c r="AG6" s="1183"/>
      <c r="AH6" s="1183"/>
      <c r="AI6" s="1183"/>
      <c r="AJ6" s="13"/>
      <c r="AK6" s="13"/>
      <c r="AL6" s="13"/>
      <c r="AM6" s="54"/>
    </row>
    <row r="7" spans="1:39" ht="13.5" customHeight="1" x14ac:dyDescent="0.2">
      <c r="A7" s="18"/>
      <c r="B7" s="1180" t="s">
        <v>10</v>
      </c>
      <c r="C7" s="1181"/>
      <c r="D7" s="1181"/>
      <c r="E7" s="1181"/>
      <c r="F7" s="1181"/>
      <c r="G7" s="1181"/>
      <c r="H7" s="1181"/>
      <c r="I7" s="1181"/>
      <c r="J7" s="1181"/>
      <c r="K7" s="1181"/>
      <c r="L7" s="1181"/>
      <c r="M7" s="1181"/>
      <c r="N7" s="1181"/>
      <c r="O7" s="1181"/>
      <c r="P7" s="1181"/>
      <c r="Q7" s="1181"/>
      <c r="R7" s="1181"/>
      <c r="S7" s="1181"/>
      <c r="T7" s="1181"/>
      <c r="U7" s="1181"/>
      <c r="V7" s="1181"/>
      <c r="W7" s="1182"/>
      <c r="X7" s="1166"/>
      <c r="Y7" s="1167"/>
      <c r="Z7" s="1167"/>
      <c r="AA7" s="1167"/>
      <c r="AB7" s="1167"/>
      <c r="AC7" s="1167"/>
      <c r="AD7" s="1168"/>
      <c r="AE7" s="1183"/>
      <c r="AF7" s="1183"/>
      <c r="AG7" s="1183"/>
      <c r="AH7" s="1183"/>
      <c r="AI7" s="1183"/>
    </row>
    <row r="8" spans="1:39" ht="14.25" customHeight="1" x14ac:dyDescent="0.2">
      <c r="A8" s="18"/>
      <c r="B8" s="726" t="s">
        <v>11</v>
      </c>
      <c r="C8" s="732" t="s">
        <v>12</v>
      </c>
      <c r="D8" s="733"/>
      <c r="E8" s="733"/>
      <c r="F8" s="709" t="s">
        <v>13</v>
      </c>
      <c r="G8" s="709" t="s">
        <v>13</v>
      </c>
      <c r="H8" s="730" t="s">
        <v>815</v>
      </c>
      <c r="I8" s="730"/>
      <c r="J8" s="731"/>
      <c r="K8" s="731"/>
      <c r="L8" s="731"/>
      <c r="M8" s="731"/>
      <c r="N8" s="731"/>
      <c r="O8" s="731"/>
      <c r="P8" s="731"/>
      <c r="Q8" s="731"/>
      <c r="R8" s="731"/>
      <c r="S8" s="731"/>
      <c r="T8" s="731"/>
      <c r="U8" s="731"/>
      <c r="V8" s="731"/>
      <c r="W8" s="731"/>
      <c r="X8" s="753" t="s">
        <v>14</v>
      </c>
      <c r="Y8" s="754"/>
      <c r="Z8" s="754"/>
      <c r="AA8" s="755"/>
      <c r="AB8" s="791" t="s">
        <v>15</v>
      </c>
      <c r="AC8" s="1139" t="s">
        <v>16</v>
      </c>
      <c r="AD8" s="1140"/>
      <c r="AE8" s="1140"/>
      <c r="AF8" s="1140"/>
      <c r="AG8" s="1140"/>
      <c r="AH8" s="1140"/>
      <c r="AI8" s="1141"/>
    </row>
    <row r="9" spans="1:39" ht="11.25" customHeight="1" x14ac:dyDescent="0.2">
      <c r="A9" s="18"/>
      <c r="B9" s="726"/>
      <c r="C9" s="733"/>
      <c r="D9" s="733"/>
      <c r="E9" s="733"/>
      <c r="F9" s="710"/>
      <c r="G9" s="710"/>
      <c r="H9" s="476"/>
      <c r="I9" s="474" t="s">
        <v>289</v>
      </c>
      <c r="J9" s="476"/>
      <c r="K9" s="474" t="s">
        <v>17</v>
      </c>
      <c r="L9" s="477"/>
      <c r="M9" s="477" t="s">
        <v>18</v>
      </c>
      <c r="N9" s="477"/>
      <c r="O9" s="474" t="s">
        <v>19</v>
      </c>
      <c r="P9" s="477"/>
      <c r="Q9" s="477" t="s">
        <v>291</v>
      </c>
      <c r="R9" s="477"/>
      <c r="S9" s="477" t="s">
        <v>20</v>
      </c>
      <c r="T9" s="477"/>
      <c r="U9" s="477" t="s">
        <v>21</v>
      </c>
      <c r="V9" s="477"/>
      <c r="W9" s="477" t="s">
        <v>22</v>
      </c>
      <c r="X9" s="756"/>
      <c r="Y9" s="757"/>
      <c r="Z9" s="757"/>
      <c r="AA9" s="758"/>
      <c r="AB9" s="792"/>
      <c r="AC9" s="1142"/>
      <c r="AD9" s="1143"/>
      <c r="AE9" s="1143"/>
      <c r="AF9" s="1143"/>
      <c r="AG9" s="1143"/>
      <c r="AH9" s="1143"/>
      <c r="AI9" s="1144"/>
    </row>
    <row r="10" spans="1:39" ht="12.6" customHeight="1" x14ac:dyDescent="0.2">
      <c r="A10" s="18"/>
      <c r="B10" s="1184" t="s">
        <v>703</v>
      </c>
      <c r="C10" s="1185"/>
      <c r="D10" s="1185"/>
      <c r="E10" s="1186"/>
      <c r="F10" s="319">
        <v>557</v>
      </c>
      <c r="G10" s="311">
        <f t="shared" ref="G10" si="0">+F10*$X$1</f>
        <v>557</v>
      </c>
      <c r="H10" s="608"/>
      <c r="I10" s="609"/>
      <c r="J10" s="90">
        <f>F10+120</f>
        <v>677</v>
      </c>
      <c r="K10" s="319"/>
      <c r="L10" s="102"/>
      <c r="M10" s="319"/>
      <c r="N10" s="460">
        <f>F10+55</f>
        <v>612</v>
      </c>
      <c r="O10" s="288">
        <f t="shared" ref="O10" si="1">+N10*$X$1</f>
        <v>612</v>
      </c>
      <c r="P10" s="460">
        <f>F10+50</f>
        <v>607</v>
      </c>
      <c r="Q10" s="288">
        <f t="shared" ref="Q10" si="2">+P10*$X$1</f>
        <v>607</v>
      </c>
      <c r="R10" s="460">
        <f>F10+42</f>
        <v>599</v>
      </c>
      <c r="S10" s="288">
        <f t="shared" ref="S10" si="3">+R10*$X$1</f>
        <v>599</v>
      </c>
      <c r="T10" s="460">
        <f>F10+35</f>
        <v>592</v>
      </c>
      <c r="U10" s="288">
        <f t="shared" ref="U10" si="4">+T10*$X$1</f>
        <v>592</v>
      </c>
      <c r="V10" s="460">
        <f>F10+30</f>
        <v>587</v>
      </c>
      <c r="W10" s="288">
        <f t="shared" ref="W10" si="5">+V10*$X$1</f>
        <v>587</v>
      </c>
      <c r="X10" s="131"/>
      <c r="Y10" s="131"/>
      <c r="Z10" s="131"/>
      <c r="AA10" s="131"/>
      <c r="AB10" s="405">
        <v>13</v>
      </c>
      <c r="AE10" s="61"/>
      <c r="AF10" s="1125" t="s">
        <v>850</v>
      </c>
      <c r="AG10" s="1125"/>
      <c r="AH10" s="1125"/>
    </row>
    <row r="11" spans="1:39" ht="12.6" customHeight="1" x14ac:dyDescent="0.2">
      <c r="A11" s="18"/>
      <c r="B11" s="827" t="s">
        <v>825</v>
      </c>
      <c r="C11" s="684"/>
      <c r="D11" s="684"/>
      <c r="E11" s="685"/>
      <c r="F11" s="287">
        <v>1063</v>
      </c>
      <c r="G11" s="312">
        <f t="shared" ref="G11" si="6">+F11*$X$1</f>
        <v>1063</v>
      </c>
      <c r="H11" s="281"/>
      <c r="I11" s="343"/>
      <c r="J11" s="71">
        <f>F11+120</f>
        <v>1183</v>
      </c>
      <c r="K11" s="287"/>
      <c r="L11" s="602"/>
      <c r="M11" s="287"/>
      <c r="N11" s="602">
        <f>F11+55</f>
        <v>1118</v>
      </c>
      <c r="O11" s="287">
        <f t="shared" ref="O11:O12" si="7">+N11*$X$1</f>
        <v>1118</v>
      </c>
      <c r="P11" s="602">
        <f>F11+50</f>
        <v>1113</v>
      </c>
      <c r="Q11" s="287">
        <f t="shared" ref="Q11:Q12" si="8">+P11*$X$1</f>
        <v>1113</v>
      </c>
      <c r="R11" s="602">
        <f>F11+42</f>
        <v>1105</v>
      </c>
      <c r="S11" s="287">
        <f t="shared" ref="S11:S12" si="9">+R11*$X$1</f>
        <v>1105</v>
      </c>
      <c r="T11" s="602">
        <f>F11+35</f>
        <v>1098</v>
      </c>
      <c r="U11" s="287">
        <f t="shared" ref="U11:U12" si="10">+T11*$X$1</f>
        <v>1098</v>
      </c>
      <c r="V11" s="602">
        <f>F11+30</f>
        <v>1093</v>
      </c>
      <c r="W11" s="287">
        <f t="shared" ref="W11:W12" si="11">+V11*$X$1</f>
        <v>1093</v>
      </c>
      <c r="X11" s="131"/>
      <c r="Y11" s="131"/>
      <c r="Z11" s="131"/>
      <c r="AA11" s="131"/>
      <c r="AB11" s="35"/>
      <c r="AE11" s="61"/>
      <c r="AF11" s="1125" t="s">
        <v>23</v>
      </c>
      <c r="AG11" s="1125"/>
      <c r="AH11" s="1125"/>
    </row>
    <row r="12" spans="1:39" ht="12.6" customHeight="1" x14ac:dyDescent="0.2">
      <c r="A12" s="18"/>
      <c r="B12" s="826" t="s">
        <v>702</v>
      </c>
      <c r="C12" s="690"/>
      <c r="D12" s="690"/>
      <c r="E12" s="690"/>
      <c r="F12" s="288">
        <v>1163</v>
      </c>
      <c r="G12" s="311">
        <f t="shared" ref="G12:G13" si="12">+F12*$X$1</f>
        <v>1163</v>
      </c>
      <c r="H12" s="280"/>
      <c r="I12" s="344"/>
      <c r="J12" s="89"/>
      <c r="K12" s="288"/>
      <c r="L12" s="460"/>
      <c r="M12" s="288"/>
      <c r="N12" s="460">
        <f>F12+55</f>
        <v>1218</v>
      </c>
      <c r="O12" s="288">
        <f t="shared" si="7"/>
        <v>1218</v>
      </c>
      <c r="P12" s="460">
        <f>F12+50</f>
        <v>1213</v>
      </c>
      <c r="Q12" s="288">
        <f t="shared" si="8"/>
        <v>1213</v>
      </c>
      <c r="R12" s="460">
        <f>F12+42</f>
        <v>1205</v>
      </c>
      <c r="S12" s="288">
        <f t="shared" si="9"/>
        <v>1205</v>
      </c>
      <c r="T12" s="460">
        <f>F12+35</f>
        <v>1198</v>
      </c>
      <c r="U12" s="288">
        <f t="shared" si="10"/>
        <v>1198</v>
      </c>
      <c r="V12" s="460">
        <f>F12+30</f>
        <v>1193</v>
      </c>
      <c r="W12" s="288">
        <f t="shared" si="11"/>
        <v>1193</v>
      </c>
      <c r="X12" s="131"/>
      <c r="Y12" s="131"/>
      <c r="Z12" s="131"/>
      <c r="AA12" s="131"/>
      <c r="AB12" s="405">
        <v>15</v>
      </c>
      <c r="AE12" s="61"/>
      <c r="AF12" s="1125" t="s">
        <v>415</v>
      </c>
      <c r="AG12" s="1125"/>
      <c r="AH12" s="1125"/>
    </row>
    <row r="13" spans="1:39" ht="12.6" customHeight="1" x14ac:dyDescent="0.2">
      <c r="A13" s="18"/>
      <c r="B13" s="827" t="s">
        <v>417</v>
      </c>
      <c r="C13" s="684"/>
      <c r="D13" s="684"/>
      <c r="E13" s="685"/>
      <c r="F13" s="287">
        <v>510</v>
      </c>
      <c r="G13" s="312">
        <f t="shared" si="12"/>
        <v>510</v>
      </c>
      <c r="H13" s="281"/>
      <c r="I13" s="343"/>
      <c r="J13" s="602">
        <f>F13+120</f>
        <v>630</v>
      </c>
      <c r="K13" s="287">
        <f t="shared" ref="K13:K14" si="13">+J13*$X$1</f>
        <v>630</v>
      </c>
      <c r="L13" s="602">
        <f>F13+90</f>
        <v>600</v>
      </c>
      <c r="M13" s="287">
        <f t="shared" ref="M13:M15" si="14">+L13*$X$1</f>
        <v>600</v>
      </c>
      <c r="N13" s="602">
        <f>F13+55</f>
        <v>565</v>
      </c>
      <c r="O13" s="287">
        <f t="shared" ref="O13:O15" si="15">+N13*$X$1</f>
        <v>565</v>
      </c>
      <c r="P13" s="602">
        <f>F13+49</f>
        <v>559</v>
      </c>
      <c r="Q13" s="287">
        <f t="shared" ref="Q13:Q15" si="16">+P13*$X$1</f>
        <v>559</v>
      </c>
      <c r="R13" s="602">
        <f>F13+42</f>
        <v>552</v>
      </c>
      <c r="S13" s="287">
        <f t="shared" ref="S13:S15" si="17">+R13*$X$1</f>
        <v>552</v>
      </c>
      <c r="T13" s="602">
        <f>F13+34</f>
        <v>544</v>
      </c>
      <c r="U13" s="287">
        <f t="shared" ref="U13:U15" si="18">+T13*$X$1</f>
        <v>544</v>
      </c>
      <c r="V13" s="602"/>
      <c r="W13" s="287"/>
      <c r="X13" s="131"/>
      <c r="Y13" s="131"/>
      <c r="Z13" s="131"/>
      <c r="AA13" s="131"/>
      <c r="AB13" s="405">
        <v>17</v>
      </c>
      <c r="AE13" s="61"/>
      <c r="AF13" s="1125" t="s">
        <v>370</v>
      </c>
      <c r="AG13" s="1125"/>
      <c r="AH13" s="1125"/>
      <c r="AI13" s="61"/>
    </row>
    <row r="14" spans="1:39" ht="12.6" customHeight="1" x14ac:dyDescent="0.2">
      <c r="A14" s="18"/>
      <c r="B14" s="668" t="s">
        <v>717</v>
      </c>
      <c r="C14" s="672"/>
      <c r="D14" s="672"/>
      <c r="E14" s="673"/>
      <c r="F14" s="384">
        <f>28.84*X2</f>
        <v>30714.6</v>
      </c>
      <c r="G14" s="311">
        <f>+F14*$X$1</f>
        <v>30714.6</v>
      </c>
      <c r="H14" s="499">
        <f>F14+400</f>
        <v>31114.6</v>
      </c>
      <c r="I14" s="288">
        <f t="shared" ref="I14" si="19">+H14*$X$1</f>
        <v>31114.6</v>
      </c>
      <c r="J14" s="460">
        <f>F14+150</f>
        <v>30864.6</v>
      </c>
      <c r="K14" s="288">
        <f t="shared" si="13"/>
        <v>30864.6</v>
      </c>
      <c r="L14" s="460">
        <f>F14+100</f>
        <v>30814.6</v>
      </c>
      <c r="M14" s="288">
        <f t="shared" si="14"/>
        <v>30814.6</v>
      </c>
      <c r="N14" s="460">
        <f>F14+70</f>
        <v>30784.6</v>
      </c>
      <c r="O14" s="288">
        <f t="shared" si="15"/>
        <v>30784.6</v>
      </c>
      <c r="P14" s="460">
        <f>F14+60</f>
        <v>30774.6</v>
      </c>
      <c r="Q14" s="288">
        <f t="shared" si="16"/>
        <v>30774.6</v>
      </c>
      <c r="R14" s="460">
        <f>F14+55</f>
        <v>30769.599999999999</v>
      </c>
      <c r="S14" s="288">
        <f t="shared" si="17"/>
        <v>30769.599999999999</v>
      </c>
      <c r="T14" s="460">
        <f>F14+49</f>
        <v>30763.599999999999</v>
      </c>
      <c r="U14" s="288">
        <f t="shared" si="18"/>
        <v>30763.599999999999</v>
      </c>
      <c r="V14" s="460"/>
      <c r="W14" s="288"/>
      <c r="X14" s="694"/>
      <c r="Y14" s="678"/>
      <c r="Z14" s="678"/>
      <c r="AA14" s="679"/>
      <c r="AB14" s="405">
        <v>18</v>
      </c>
      <c r="AE14" s="72"/>
      <c r="AF14" s="1125" t="s">
        <v>371</v>
      </c>
      <c r="AG14" s="1125"/>
      <c r="AH14" s="1125"/>
      <c r="AI14" s="541"/>
    </row>
    <row r="15" spans="1:39" ht="12.6" customHeight="1" x14ac:dyDescent="0.2">
      <c r="A15" s="18"/>
      <c r="B15" s="827" t="s">
        <v>946</v>
      </c>
      <c r="C15" s="684"/>
      <c r="D15" s="684"/>
      <c r="E15" s="685"/>
      <c r="F15" s="385">
        <f>11*X2</f>
        <v>11715</v>
      </c>
      <c r="G15" s="287">
        <f>+F15*$X$1</f>
        <v>11715</v>
      </c>
      <c r="H15" s="281"/>
      <c r="I15" s="343"/>
      <c r="J15" s="605"/>
      <c r="K15" s="287"/>
      <c r="L15" s="605">
        <f>F15+100</f>
        <v>11815</v>
      </c>
      <c r="M15" s="287">
        <f t="shared" si="14"/>
        <v>11815</v>
      </c>
      <c r="N15" s="605">
        <f>F15+70</f>
        <v>11785</v>
      </c>
      <c r="O15" s="287">
        <f t="shared" si="15"/>
        <v>11785</v>
      </c>
      <c r="P15" s="605">
        <f>F15+60</f>
        <v>11775</v>
      </c>
      <c r="Q15" s="287">
        <f t="shared" si="16"/>
        <v>11775</v>
      </c>
      <c r="R15" s="605">
        <f>F15+55</f>
        <v>11770</v>
      </c>
      <c r="S15" s="287">
        <f t="shared" si="17"/>
        <v>11770</v>
      </c>
      <c r="T15" s="605">
        <f>F15+49</f>
        <v>11764</v>
      </c>
      <c r="U15" s="287">
        <f t="shared" si="18"/>
        <v>11764</v>
      </c>
      <c r="V15" s="605"/>
      <c r="W15" s="287"/>
      <c r="X15" s="599"/>
      <c r="Y15" s="162"/>
      <c r="Z15" s="162"/>
      <c r="AA15" s="163"/>
      <c r="AB15" s="405">
        <v>22</v>
      </c>
      <c r="AE15" s="72"/>
      <c r="AF15" s="1187" t="s">
        <v>24</v>
      </c>
      <c r="AG15" s="1187"/>
      <c r="AH15" s="1187"/>
      <c r="AI15" s="1187"/>
      <c r="AK15" s="65"/>
    </row>
    <row r="16" spans="1:39" ht="12.6" customHeight="1" x14ac:dyDescent="0.2">
      <c r="A16" s="97"/>
      <c r="B16" s="786" t="s">
        <v>25</v>
      </c>
      <c r="C16" s="691"/>
      <c r="D16" s="691"/>
      <c r="E16" s="692"/>
      <c r="F16" s="384">
        <f>4.1*X2</f>
        <v>4366.5</v>
      </c>
      <c r="G16" s="311">
        <f>+F16*$X$1</f>
        <v>4366.5</v>
      </c>
      <c r="H16" s="465">
        <f>F16+400</f>
        <v>4766.5</v>
      </c>
      <c r="I16" s="288">
        <f t="shared" ref="I16:I17" si="20">+H16*$X$1</f>
        <v>4766.5</v>
      </c>
      <c r="J16" s="460"/>
      <c r="K16" s="290"/>
      <c r="L16" s="460"/>
      <c r="M16" s="288"/>
      <c r="N16" s="460"/>
      <c r="O16" s="288"/>
      <c r="P16" s="102"/>
      <c r="Q16" s="1195" t="s">
        <v>152</v>
      </c>
      <c r="R16" s="1196"/>
      <c r="S16" s="1196"/>
      <c r="T16" s="1196"/>
      <c r="U16" s="1196"/>
      <c r="V16" s="1196"/>
      <c r="W16" s="1197"/>
      <c r="X16" s="694"/>
      <c r="Y16" s="678"/>
      <c r="Z16" s="678"/>
      <c r="AA16" s="679"/>
      <c r="AB16" s="405">
        <v>24</v>
      </c>
      <c r="AE16" s="72"/>
      <c r="AF16" s="1187" t="s">
        <v>891</v>
      </c>
      <c r="AG16" s="1187"/>
      <c r="AH16" s="1187"/>
      <c r="AI16" s="1187"/>
      <c r="AJ16" s="98"/>
    </row>
    <row r="17" spans="1:37" ht="12.6" customHeight="1" x14ac:dyDescent="0.2">
      <c r="A17" s="126"/>
      <c r="B17" s="827" t="s">
        <v>554</v>
      </c>
      <c r="C17" s="828"/>
      <c r="D17" s="828"/>
      <c r="E17" s="829"/>
      <c r="F17" s="385">
        <f>4.1*X2</f>
        <v>4366.5</v>
      </c>
      <c r="G17" s="312">
        <f>+F17*$X$1</f>
        <v>4366.5</v>
      </c>
      <c r="H17" s="326">
        <f>F17+400</f>
        <v>4766.5</v>
      </c>
      <c r="I17" s="287">
        <f t="shared" si="20"/>
        <v>4766.5</v>
      </c>
      <c r="J17" s="497"/>
      <c r="K17" s="289"/>
      <c r="L17" s="112"/>
      <c r="M17" s="289"/>
      <c r="N17" s="112">
        <f>F17+40</f>
        <v>4406.5</v>
      </c>
      <c r="O17" s="287"/>
      <c r="P17" s="281"/>
      <c r="Q17" s="1103" t="s">
        <v>152</v>
      </c>
      <c r="R17" s="1104"/>
      <c r="S17" s="1104"/>
      <c r="T17" s="1104"/>
      <c r="U17" s="1104"/>
      <c r="V17" s="1104"/>
      <c r="W17" s="1105"/>
      <c r="X17" s="241"/>
      <c r="Y17" s="191"/>
      <c r="Z17" s="191"/>
      <c r="AA17" s="190"/>
      <c r="AB17" s="405">
        <v>25</v>
      </c>
      <c r="AE17" s="72"/>
      <c r="AF17" s="1187" t="s">
        <v>590</v>
      </c>
      <c r="AG17" s="1187"/>
      <c r="AH17" s="1187"/>
      <c r="AI17" s="1187"/>
      <c r="AJ17" s="1187"/>
    </row>
    <row r="18" spans="1:37" ht="12.6" customHeight="1" x14ac:dyDescent="0.2">
      <c r="A18" s="125"/>
      <c r="B18" s="786" t="s">
        <v>26</v>
      </c>
      <c r="C18" s="691"/>
      <c r="D18" s="691"/>
      <c r="E18" s="692"/>
      <c r="F18" s="288"/>
      <c r="G18" s="340"/>
      <c r="H18" s="280"/>
      <c r="I18" s="344"/>
      <c r="J18" s="460"/>
      <c r="K18" s="290"/>
      <c r="L18" s="460"/>
      <c r="M18" s="288"/>
      <c r="N18" s="460"/>
      <c r="O18" s="288"/>
      <c r="P18" s="102"/>
      <c r="Q18" s="288"/>
      <c r="R18" s="460"/>
      <c r="S18" s="288"/>
      <c r="T18" s="460"/>
      <c r="U18" s="288"/>
      <c r="V18" s="95"/>
      <c r="W18" s="288"/>
      <c r="X18" s="694"/>
      <c r="Y18" s="678"/>
      <c r="Z18" s="678"/>
      <c r="AA18" s="679"/>
      <c r="AB18" s="35"/>
      <c r="AF18" s="1187" t="s">
        <v>382</v>
      </c>
      <c r="AG18" s="1187"/>
      <c r="AH18" s="1187"/>
      <c r="AI18" s="1188"/>
      <c r="AJ18" s="1188"/>
    </row>
    <row r="19" spans="1:37" ht="12.6" customHeight="1" x14ac:dyDescent="0.2">
      <c r="A19" s="18"/>
      <c r="B19" s="827" t="s">
        <v>27</v>
      </c>
      <c r="C19" s="684"/>
      <c r="D19" s="684"/>
      <c r="E19" s="685"/>
      <c r="F19" s="287">
        <v>4171</v>
      </c>
      <c r="G19" s="312">
        <f t="shared" ref="G19:G25" si="21">+F19*$X$1</f>
        <v>4171</v>
      </c>
      <c r="H19" s="498">
        <f>F19+400</f>
        <v>4571</v>
      </c>
      <c r="I19" s="287">
        <f t="shared" ref="I19:I20" si="22">+H19*$X$1</f>
        <v>4571</v>
      </c>
      <c r="J19" s="497">
        <f>F19+150</f>
        <v>4321</v>
      </c>
      <c r="K19" s="287">
        <f t="shared" ref="K19:K20" si="23">+J19*$X$1</f>
        <v>4321</v>
      </c>
      <c r="L19" s="497">
        <f>F19+100</f>
        <v>4271</v>
      </c>
      <c r="M19" s="287">
        <f t="shared" ref="M19:M20" si="24">+L19*$X$1</f>
        <v>4271</v>
      </c>
      <c r="N19" s="497">
        <f>F19+70</f>
        <v>4241</v>
      </c>
      <c r="O19" s="287">
        <f t="shared" ref="O19:O20" si="25">+N19*$X$1</f>
        <v>4241</v>
      </c>
      <c r="P19" s="497">
        <f>F19+60</f>
        <v>4231</v>
      </c>
      <c r="Q19" s="287">
        <f t="shared" ref="Q19:Q20" si="26">+P19*$X$1</f>
        <v>4231</v>
      </c>
      <c r="R19" s="497">
        <f>F19+55</f>
        <v>4226</v>
      </c>
      <c r="S19" s="287">
        <f t="shared" ref="S19:S20" si="27">+R19*$X$1</f>
        <v>4226</v>
      </c>
      <c r="T19" s="497">
        <f>F19+49</f>
        <v>4220</v>
      </c>
      <c r="U19" s="287">
        <f t="shared" ref="U19:U20" si="28">+T19*$X$1</f>
        <v>4220</v>
      </c>
      <c r="V19" s="497"/>
      <c r="W19" s="287"/>
      <c r="X19" s="694"/>
      <c r="Y19" s="678"/>
      <c r="Z19" s="678"/>
      <c r="AA19" s="679"/>
      <c r="AB19" s="405" t="s">
        <v>28</v>
      </c>
      <c r="AE19" s="72"/>
      <c r="AF19" s="1187" t="s">
        <v>383</v>
      </c>
      <c r="AG19" s="1187"/>
      <c r="AH19" s="1187"/>
      <c r="AI19" s="1187"/>
      <c r="AJ19" s="73"/>
    </row>
    <row r="20" spans="1:37" ht="12.6" customHeight="1" x14ac:dyDescent="0.2">
      <c r="A20" s="18"/>
      <c r="B20" s="826" t="s">
        <v>29</v>
      </c>
      <c r="C20" s="690"/>
      <c r="D20" s="690"/>
      <c r="E20" s="690"/>
      <c r="F20" s="288">
        <v>4171</v>
      </c>
      <c r="G20" s="311">
        <f t="shared" ref="G20" si="29">+F20*$X$1</f>
        <v>4171</v>
      </c>
      <c r="H20" s="499">
        <f>F20+400</f>
        <v>4571</v>
      </c>
      <c r="I20" s="288">
        <f t="shared" si="22"/>
        <v>4571</v>
      </c>
      <c r="J20" s="460">
        <f>F20+150</f>
        <v>4321</v>
      </c>
      <c r="K20" s="288">
        <f t="shared" si="23"/>
        <v>4321</v>
      </c>
      <c r="L20" s="460">
        <f>F20+100</f>
        <v>4271</v>
      </c>
      <c r="M20" s="288">
        <f t="shared" si="24"/>
        <v>4271</v>
      </c>
      <c r="N20" s="460">
        <f>F20+70</f>
        <v>4241</v>
      </c>
      <c r="O20" s="288">
        <f t="shared" si="25"/>
        <v>4241</v>
      </c>
      <c r="P20" s="460">
        <f>F20+60</f>
        <v>4231</v>
      </c>
      <c r="Q20" s="288">
        <f t="shared" si="26"/>
        <v>4231</v>
      </c>
      <c r="R20" s="460">
        <f>F20+55</f>
        <v>4226</v>
      </c>
      <c r="S20" s="288">
        <f t="shared" si="27"/>
        <v>4226</v>
      </c>
      <c r="T20" s="460">
        <f>F20+49</f>
        <v>4220</v>
      </c>
      <c r="U20" s="288">
        <f t="shared" si="28"/>
        <v>4220</v>
      </c>
      <c r="V20" s="460"/>
      <c r="W20" s="288"/>
      <c r="X20" s="694"/>
      <c r="Y20" s="678"/>
      <c r="Z20" s="678"/>
      <c r="AA20" s="679"/>
      <c r="AB20" s="405" t="s">
        <v>30</v>
      </c>
      <c r="AE20" s="72"/>
      <c r="AF20" s="1187" t="s">
        <v>402</v>
      </c>
      <c r="AG20" s="1187"/>
      <c r="AH20" s="1187"/>
      <c r="AI20" s="1187"/>
      <c r="AJ20" s="1188"/>
    </row>
    <row r="21" spans="1:37" ht="12.6" customHeight="1" x14ac:dyDescent="0.2">
      <c r="A21" s="18"/>
      <c r="B21" s="825" t="s">
        <v>350</v>
      </c>
      <c r="C21" s="712"/>
      <c r="D21" s="712"/>
      <c r="E21" s="712"/>
      <c r="F21" s="287">
        <v>595</v>
      </c>
      <c r="G21" s="352">
        <f t="shared" si="21"/>
        <v>595</v>
      </c>
      <c r="H21" s="285"/>
      <c r="I21" s="362"/>
      <c r="J21" s="208"/>
      <c r="K21" s="289"/>
      <c r="L21" s="112"/>
      <c r="M21" s="289"/>
      <c r="N21" s="112"/>
      <c r="O21" s="287"/>
      <c r="P21" s="281"/>
      <c r="Q21" s="343"/>
      <c r="R21" s="497"/>
      <c r="S21" s="287"/>
      <c r="T21" s="497"/>
      <c r="U21" s="287"/>
      <c r="V21" s="497"/>
      <c r="W21" s="287"/>
      <c r="X21" s="131"/>
      <c r="Y21" s="131"/>
      <c r="Z21" s="131"/>
      <c r="AA21" s="131"/>
      <c r="AB21" s="405">
        <v>35</v>
      </c>
      <c r="AE21" s="72"/>
      <c r="AF21" s="1187" t="s">
        <v>351</v>
      </c>
      <c r="AG21" s="1188"/>
      <c r="AH21" s="1188"/>
      <c r="AI21" s="1188"/>
      <c r="AJ21" s="73"/>
    </row>
    <row r="22" spans="1:37" ht="12.6" customHeight="1" x14ac:dyDescent="0.2">
      <c r="A22" s="18"/>
      <c r="B22" s="826" t="s">
        <v>349</v>
      </c>
      <c r="C22" s="690"/>
      <c r="D22" s="690"/>
      <c r="E22" s="690"/>
      <c r="F22" s="288">
        <v>1930</v>
      </c>
      <c r="G22" s="340">
        <f t="shared" si="21"/>
        <v>1930</v>
      </c>
      <c r="H22" s="280"/>
      <c r="I22" s="344"/>
      <c r="J22" s="120"/>
      <c r="K22" s="288"/>
      <c r="L22" s="460"/>
      <c r="M22" s="288"/>
      <c r="N22" s="460"/>
      <c r="O22" s="288"/>
      <c r="P22" s="280"/>
      <c r="Q22" s="344"/>
      <c r="R22" s="460"/>
      <c r="S22" s="363"/>
      <c r="T22" s="102"/>
      <c r="U22" s="319"/>
      <c r="V22" s="102"/>
      <c r="W22" s="288"/>
      <c r="X22" s="131"/>
      <c r="Y22" s="131"/>
      <c r="Z22" s="131"/>
      <c r="AA22" s="131"/>
      <c r="AB22" s="405">
        <v>36</v>
      </c>
      <c r="AE22" s="72"/>
      <c r="AF22" s="1187" t="s">
        <v>500</v>
      </c>
      <c r="AG22" s="1187"/>
      <c r="AH22" s="1187"/>
      <c r="AI22" s="1187"/>
      <c r="AJ22" s="73"/>
    </row>
    <row r="23" spans="1:37" ht="12.6" customHeight="1" x14ac:dyDescent="0.2">
      <c r="A23" s="18"/>
      <c r="B23" s="825" t="s">
        <v>31</v>
      </c>
      <c r="C23" s="712"/>
      <c r="D23" s="712"/>
      <c r="E23" s="712"/>
      <c r="F23" s="287">
        <v>1930</v>
      </c>
      <c r="G23" s="307">
        <f t="shared" si="21"/>
        <v>1930</v>
      </c>
      <c r="H23" s="285"/>
      <c r="I23" s="347"/>
      <c r="J23" s="121"/>
      <c r="K23" s="287"/>
      <c r="L23" s="605"/>
      <c r="M23" s="287"/>
      <c r="N23" s="605"/>
      <c r="O23" s="287"/>
      <c r="P23" s="285"/>
      <c r="Q23" s="347"/>
      <c r="R23" s="605"/>
      <c r="S23" s="322"/>
      <c r="T23" s="605"/>
      <c r="U23" s="287"/>
      <c r="V23" s="605"/>
      <c r="W23" s="287"/>
      <c r="X23" s="131"/>
      <c r="Y23" s="131"/>
      <c r="Z23" s="131"/>
      <c r="AA23" s="131"/>
      <c r="AB23" s="405" t="s">
        <v>32</v>
      </c>
      <c r="AE23" s="72"/>
      <c r="AF23" s="1187" t="s">
        <v>33</v>
      </c>
      <c r="AG23" s="1187"/>
      <c r="AH23" s="1187"/>
      <c r="AI23" s="1187"/>
      <c r="AJ23" s="73"/>
    </row>
    <row r="24" spans="1:37" ht="12.6" customHeight="1" x14ac:dyDescent="0.2">
      <c r="A24" s="18"/>
      <c r="B24" s="826" t="s">
        <v>34</v>
      </c>
      <c r="C24" s="690"/>
      <c r="D24" s="690"/>
      <c r="E24" s="690"/>
      <c r="F24" s="288"/>
      <c r="G24" s="340"/>
      <c r="H24" s="280"/>
      <c r="I24" s="344"/>
      <c r="J24" s="120"/>
      <c r="K24" s="290"/>
      <c r="L24" s="95"/>
      <c r="M24" s="290"/>
      <c r="N24" s="95"/>
      <c r="O24" s="290"/>
      <c r="P24" s="95"/>
      <c r="Q24" s="290"/>
      <c r="R24" s="95"/>
      <c r="S24" s="379"/>
      <c r="T24" s="95"/>
      <c r="U24" s="348"/>
      <c r="V24" s="95"/>
      <c r="W24" s="290"/>
      <c r="X24" s="131"/>
      <c r="Y24" s="131"/>
      <c r="Z24" s="131"/>
      <c r="AA24" s="131"/>
      <c r="AB24" s="405" t="s">
        <v>35</v>
      </c>
      <c r="AD24" s="23"/>
      <c r="AE24" s="74"/>
      <c r="AF24" s="1187" t="s">
        <v>36</v>
      </c>
      <c r="AG24" s="1188"/>
      <c r="AH24" s="1188"/>
      <c r="AI24" s="1188"/>
      <c r="AJ24" s="73"/>
    </row>
    <row r="25" spans="1:37" ht="12.6" customHeight="1" x14ac:dyDescent="0.2">
      <c r="A25" s="18"/>
      <c r="B25" s="827" t="s">
        <v>37</v>
      </c>
      <c r="C25" s="684"/>
      <c r="D25" s="684"/>
      <c r="E25" s="685"/>
      <c r="F25" s="380">
        <f>8.97*X2</f>
        <v>9553.0500000000011</v>
      </c>
      <c r="G25" s="287">
        <f t="shared" si="21"/>
        <v>9553.0500000000011</v>
      </c>
      <c r="H25" s="326"/>
      <c r="I25" s="287"/>
      <c r="J25" s="605"/>
      <c r="K25" s="287"/>
      <c r="L25" s="605">
        <f>F25+100</f>
        <v>9653.0500000000011</v>
      </c>
      <c r="M25" s="287">
        <f t="shared" ref="M25" si="30">+L25*$X$1</f>
        <v>9653.0500000000011</v>
      </c>
      <c r="N25" s="605">
        <f>F25+70</f>
        <v>9623.0500000000011</v>
      </c>
      <c r="O25" s="287">
        <f t="shared" ref="O25" si="31">+N25*$X$1</f>
        <v>9623.0500000000011</v>
      </c>
      <c r="P25" s="605">
        <f>F25+60</f>
        <v>9613.0500000000011</v>
      </c>
      <c r="Q25" s="287">
        <f t="shared" ref="Q25" si="32">+P25*$X$1</f>
        <v>9613.0500000000011</v>
      </c>
      <c r="R25" s="605">
        <f>F25+55</f>
        <v>9608.0500000000011</v>
      </c>
      <c r="S25" s="287">
        <f t="shared" ref="S25" si="33">+R25*$X$1</f>
        <v>9608.0500000000011</v>
      </c>
      <c r="T25" s="605">
        <f>F25+49</f>
        <v>9602.0500000000011</v>
      </c>
      <c r="U25" s="287">
        <f t="shared" ref="U25" si="34">+T25*$X$1</f>
        <v>9602.0500000000011</v>
      </c>
      <c r="V25" s="605"/>
      <c r="W25" s="287"/>
      <c r="X25" s="694"/>
      <c r="Y25" s="1106"/>
      <c r="Z25" s="1106"/>
      <c r="AA25" s="928"/>
      <c r="AB25" s="405">
        <v>39</v>
      </c>
      <c r="AE25" s="72"/>
      <c r="AF25" s="1187" t="s">
        <v>756</v>
      </c>
      <c r="AG25" s="1187"/>
      <c r="AH25" s="1187"/>
      <c r="AI25" s="1188"/>
      <c r="AJ25" s="1188"/>
    </row>
    <row r="26" spans="1:37" ht="12.6" customHeight="1" x14ac:dyDescent="0.2">
      <c r="A26" s="18"/>
      <c r="B26" s="1189" t="s">
        <v>38</v>
      </c>
      <c r="C26" s="1190"/>
      <c r="D26" s="1190"/>
      <c r="E26" s="1191"/>
      <c r="F26" s="290"/>
      <c r="G26" s="288"/>
      <c r="H26" s="280"/>
      <c r="I26" s="344"/>
      <c r="J26" s="120"/>
      <c r="K26" s="288"/>
      <c r="L26" s="460"/>
      <c r="M26" s="288"/>
      <c r="N26" s="460"/>
      <c r="O26" s="288"/>
      <c r="P26" s="282"/>
      <c r="Q26" s="288"/>
      <c r="R26" s="460"/>
      <c r="S26" s="288"/>
      <c r="T26" s="460"/>
      <c r="U26" s="288"/>
      <c r="V26" s="460"/>
      <c r="W26" s="288"/>
      <c r="X26" s="130"/>
      <c r="Y26" s="131"/>
      <c r="Z26" s="131"/>
      <c r="AA26" s="131"/>
      <c r="AB26" s="405" t="s">
        <v>39</v>
      </c>
      <c r="AE26" s="72"/>
      <c r="AF26" s="1187" t="s">
        <v>40</v>
      </c>
      <c r="AG26" s="1187"/>
      <c r="AH26" s="1187"/>
      <c r="AI26" s="1187"/>
      <c r="AJ26" s="73"/>
    </row>
    <row r="27" spans="1:37" ht="12.6" customHeight="1" x14ac:dyDescent="0.2">
      <c r="A27" s="18"/>
      <c r="B27" s="825" t="s">
        <v>41</v>
      </c>
      <c r="C27" s="712"/>
      <c r="D27" s="712"/>
      <c r="E27" s="712"/>
      <c r="F27" s="380"/>
      <c r="G27" s="287"/>
      <c r="H27" s="281"/>
      <c r="I27" s="343"/>
      <c r="J27" s="605"/>
      <c r="K27" s="287"/>
      <c r="L27" s="605">
        <f>8*X2</f>
        <v>8520</v>
      </c>
      <c r="M27" s="287">
        <f t="shared" ref="M27:M28" si="35">+L27*$X$1</f>
        <v>8520</v>
      </c>
      <c r="N27" s="605">
        <f>7.9*X2</f>
        <v>8413.5</v>
      </c>
      <c r="O27" s="287">
        <f t="shared" ref="O27:O28" si="36">+N27*$X$1</f>
        <v>8413.5</v>
      </c>
      <c r="P27" s="320">
        <f>7.8*X2</f>
        <v>8307</v>
      </c>
      <c r="Q27" s="287">
        <f t="shared" ref="Q27:Q28" si="37">+P27*$X$1</f>
        <v>8307</v>
      </c>
      <c r="R27" s="605">
        <f>7.7*X2</f>
        <v>8200.5</v>
      </c>
      <c r="S27" s="287">
        <f t="shared" ref="S27:S28" si="38">+R27*$X$1</f>
        <v>8200.5</v>
      </c>
      <c r="T27" s="605">
        <f>7.6*X2</f>
        <v>8094</v>
      </c>
      <c r="U27" s="287">
        <f t="shared" ref="U27:U28" si="39">+T27*$X$1</f>
        <v>8094</v>
      </c>
      <c r="V27" s="605"/>
      <c r="W27" s="287"/>
      <c r="X27" s="1026"/>
      <c r="Y27" s="1106"/>
      <c r="Z27" s="1106"/>
      <c r="AA27" s="928"/>
      <c r="AB27" s="405">
        <v>40</v>
      </c>
      <c r="AE27" s="72"/>
      <c r="AF27" s="1187" t="s">
        <v>42</v>
      </c>
      <c r="AG27" s="1187"/>
      <c r="AH27" s="1187"/>
      <c r="AI27" s="1187"/>
      <c r="AJ27" s="1188"/>
    </row>
    <row r="28" spans="1:37" ht="12.6" customHeight="1" x14ac:dyDescent="0.2">
      <c r="A28" s="18"/>
      <c r="B28" s="786" t="s">
        <v>360</v>
      </c>
      <c r="C28" s="691"/>
      <c r="D28" s="691"/>
      <c r="E28" s="692"/>
      <c r="F28" s="384">
        <f>10.35*X2</f>
        <v>11022.75</v>
      </c>
      <c r="G28" s="288">
        <f>+F28*$X$1</f>
        <v>11022.75</v>
      </c>
      <c r="H28" s="280"/>
      <c r="I28" s="344"/>
      <c r="J28" s="460"/>
      <c r="K28" s="288"/>
      <c r="L28" s="460">
        <f>F28+100</f>
        <v>11122.75</v>
      </c>
      <c r="M28" s="288">
        <f t="shared" si="35"/>
        <v>11122.75</v>
      </c>
      <c r="N28" s="460">
        <f>F28+70</f>
        <v>11092.75</v>
      </c>
      <c r="O28" s="288">
        <f t="shared" si="36"/>
        <v>11092.75</v>
      </c>
      <c r="P28" s="460">
        <f>F28+60</f>
        <v>11082.75</v>
      </c>
      <c r="Q28" s="288">
        <f t="shared" si="37"/>
        <v>11082.75</v>
      </c>
      <c r="R28" s="460">
        <f>F28+55</f>
        <v>11077.75</v>
      </c>
      <c r="S28" s="288">
        <f t="shared" si="38"/>
        <v>11077.75</v>
      </c>
      <c r="T28" s="460">
        <f>F28+49</f>
        <v>11071.75</v>
      </c>
      <c r="U28" s="288">
        <f t="shared" si="39"/>
        <v>11071.75</v>
      </c>
      <c r="V28" s="460"/>
      <c r="W28" s="288"/>
      <c r="X28" s="212"/>
      <c r="Y28" s="162"/>
      <c r="Z28" s="162"/>
      <c r="AA28" s="163"/>
      <c r="AB28" s="405">
        <v>44</v>
      </c>
      <c r="AE28" s="72"/>
      <c r="AF28" s="1187" t="s">
        <v>421</v>
      </c>
      <c r="AG28" s="1187"/>
      <c r="AH28" s="1187"/>
      <c r="AI28" s="1188"/>
      <c r="AJ28" s="1188"/>
      <c r="AK28" s="65"/>
    </row>
    <row r="29" spans="1:37" ht="12.6" customHeight="1" x14ac:dyDescent="0.2">
      <c r="A29" s="18"/>
      <c r="B29" s="815" t="s">
        <v>677</v>
      </c>
      <c r="C29" s="816"/>
      <c r="D29" s="816"/>
      <c r="E29" s="816"/>
      <c r="F29" s="380">
        <f>0.51*X2</f>
        <v>543.15</v>
      </c>
      <c r="G29" s="287">
        <f>+F29*$X$1</f>
        <v>543.15</v>
      </c>
      <c r="H29" s="281"/>
      <c r="I29" s="343"/>
      <c r="J29" s="71"/>
      <c r="K29" s="287"/>
      <c r="L29" s="605">
        <f>F29+90</f>
        <v>633.15</v>
      </c>
      <c r="M29" s="287">
        <f t="shared" ref="M29" si="40">+L29*$X$1</f>
        <v>633.15</v>
      </c>
      <c r="N29" s="605">
        <f>F29+55</f>
        <v>598.15</v>
      </c>
      <c r="O29" s="287">
        <f t="shared" ref="O29" si="41">+N29*$X$1</f>
        <v>598.15</v>
      </c>
      <c r="P29" s="605">
        <f>F29+50</f>
        <v>593.15</v>
      </c>
      <c r="Q29" s="287">
        <f t="shared" ref="Q29" si="42">+P29*$X$1</f>
        <v>593.15</v>
      </c>
      <c r="R29" s="605">
        <f>F29+42</f>
        <v>585.15</v>
      </c>
      <c r="S29" s="287">
        <f t="shared" ref="S29" si="43">+R29*$X$1</f>
        <v>585.15</v>
      </c>
      <c r="T29" s="605">
        <f>F29+35</f>
        <v>578.15</v>
      </c>
      <c r="U29" s="287">
        <f t="shared" ref="U29" si="44">+T29*$X$1</f>
        <v>578.15</v>
      </c>
      <c r="V29" s="605">
        <f>F29+30</f>
        <v>573.15</v>
      </c>
      <c r="W29" s="287">
        <f t="shared" ref="W29" si="45">+V29*$X$1</f>
        <v>573.15</v>
      </c>
      <c r="X29" s="131"/>
      <c r="Y29" s="131"/>
      <c r="Z29" s="131"/>
      <c r="AA29" s="131"/>
      <c r="AB29" s="405">
        <v>45</v>
      </c>
      <c r="AF29" s="1187" t="s">
        <v>755</v>
      </c>
      <c r="AG29" s="1187"/>
      <c r="AH29" s="1187"/>
      <c r="AI29" s="1187"/>
      <c r="AJ29" s="1187"/>
    </row>
    <row r="30" spans="1:37" ht="12.6" customHeight="1" x14ac:dyDescent="0.2">
      <c r="A30" s="18"/>
      <c r="B30" s="826" t="s">
        <v>43</v>
      </c>
      <c r="C30" s="690"/>
      <c r="D30" s="690"/>
      <c r="E30" s="690"/>
      <c r="F30" s="329">
        <v>616</v>
      </c>
      <c r="G30" s="311">
        <f t="shared" ref="G30:G38" si="46">+F30*$X$1</f>
        <v>616</v>
      </c>
      <c r="H30" s="1113" t="s">
        <v>44</v>
      </c>
      <c r="I30" s="1113"/>
      <c r="J30" s="1114"/>
      <c r="K30" s="1115"/>
      <c r="L30" s="280"/>
      <c r="M30" s="344"/>
      <c r="N30" s="90">
        <v>1852</v>
      </c>
      <c r="O30" s="311">
        <f t="shared" ref="O30:O41" si="47">+N30*$X$1</f>
        <v>1852</v>
      </c>
      <c r="P30" s="282">
        <v>1706</v>
      </c>
      <c r="Q30" s="635">
        <f t="shared" ref="Q30:S54" si="48">+P30*$X$1</f>
        <v>1706</v>
      </c>
      <c r="R30" s="102">
        <v>1577</v>
      </c>
      <c r="S30" s="305">
        <f t="shared" si="48"/>
        <v>1577</v>
      </c>
      <c r="T30" s="460">
        <v>1456</v>
      </c>
      <c r="U30" s="305">
        <f t="shared" ref="U30:U47" si="49">+T30*$X$1</f>
        <v>1456</v>
      </c>
      <c r="V30" s="460">
        <v>1407</v>
      </c>
      <c r="W30" s="288">
        <f t="shared" ref="W30:W47" si="50">+V30*$X$1</f>
        <v>1407</v>
      </c>
      <c r="X30" s="694"/>
      <c r="Y30" s="1106"/>
      <c r="Z30" s="1106"/>
      <c r="AA30" s="928"/>
      <c r="AB30" s="405" t="s">
        <v>45</v>
      </c>
      <c r="AE30" s="72"/>
    </row>
    <row r="31" spans="1:37" ht="12.6" customHeight="1" x14ac:dyDescent="0.2">
      <c r="A31" s="18"/>
      <c r="B31" s="825" t="s">
        <v>46</v>
      </c>
      <c r="C31" s="712"/>
      <c r="D31" s="712"/>
      <c r="E31" s="712"/>
      <c r="F31" s="330">
        <v>616</v>
      </c>
      <c r="G31" s="312">
        <f t="shared" si="46"/>
        <v>616</v>
      </c>
      <c r="H31" s="1107" t="s">
        <v>44</v>
      </c>
      <c r="I31" s="1107"/>
      <c r="J31" s="1108"/>
      <c r="K31" s="1109"/>
      <c r="L31" s="281"/>
      <c r="M31" s="343"/>
      <c r="N31" s="86">
        <v>1852</v>
      </c>
      <c r="O31" s="312">
        <f t="shared" ref="O31:O34" si="51">+N31*$X$1</f>
        <v>1852</v>
      </c>
      <c r="P31" s="320">
        <v>1706</v>
      </c>
      <c r="Q31" s="636">
        <f t="shared" ref="Q31:Q34" si="52">+P31*$X$1</f>
        <v>1706</v>
      </c>
      <c r="R31" s="103">
        <v>1577</v>
      </c>
      <c r="S31" s="255">
        <f t="shared" ref="S31:S34" si="53">+R31*$X$1</f>
        <v>1577</v>
      </c>
      <c r="T31" s="605">
        <v>1456</v>
      </c>
      <c r="U31" s="255">
        <f t="shared" ref="U31:U34" si="54">+T31*$X$1</f>
        <v>1456</v>
      </c>
      <c r="V31" s="605">
        <v>1407</v>
      </c>
      <c r="W31" s="287">
        <f t="shared" ref="W31:W34" si="55">+V31*$X$1</f>
        <v>1407</v>
      </c>
      <c r="X31" s="694"/>
      <c r="Y31" s="1106"/>
      <c r="Z31" s="1106"/>
      <c r="AA31" s="928"/>
      <c r="AB31" s="405" t="s">
        <v>47</v>
      </c>
    </row>
    <row r="32" spans="1:37" ht="12.6" customHeight="1" x14ac:dyDescent="0.2">
      <c r="A32" s="18"/>
      <c r="B32" s="826" t="s">
        <v>48</v>
      </c>
      <c r="C32" s="690"/>
      <c r="D32" s="690"/>
      <c r="E32" s="690"/>
      <c r="F32" s="329">
        <v>616</v>
      </c>
      <c r="G32" s="311">
        <f t="shared" si="46"/>
        <v>616</v>
      </c>
      <c r="H32" s="1192" t="s">
        <v>44</v>
      </c>
      <c r="I32" s="1192"/>
      <c r="J32" s="1193"/>
      <c r="K32" s="1194"/>
      <c r="L32" s="280"/>
      <c r="M32" s="344"/>
      <c r="N32" s="90">
        <v>1852</v>
      </c>
      <c r="O32" s="311">
        <f t="shared" si="51"/>
        <v>1852</v>
      </c>
      <c r="P32" s="282">
        <v>1706</v>
      </c>
      <c r="Q32" s="635">
        <f t="shared" si="52"/>
        <v>1706</v>
      </c>
      <c r="R32" s="102">
        <v>1577</v>
      </c>
      <c r="S32" s="305">
        <f t="shared" si="53"/>
        <v>1577</v>
      </c>
      <c r="T32" s="460">
        <v>1456</v>
      </c>
      <c r="U32" s="305">
        <f t="shared" si="54"/>
        <v>1456</v>
      </c>
      <c r="V32" s="460">
        <v>1407</v>
      </c>
      <c r="W32" s="288">
        <f t="shared" si="55"/>
        <v>1407</v>
      </c>
      <c r="X32" s="694"/>
      <c r="Y32" s="1106"/>
      <c r="Z32" s="1106"/>
      <c r="AA32" s="928"/>
      <c r="AB32" s="405" t="s">
        <v>49</v>
      </c>
    </row>
    <row r="33" spans="1:28" ht="12.6" customHeight="1" x14ac:dyDescent="0.2">
      <c r="A33" s="18"/>
      <c r="B33" s="825" t="s">
        <v>50</v>
      </c>
      <c r="C33" s="712"/>
      <c r="D33" s="712"/>
      <c r="E33" s="712"/>
      <c r="F33" s="330">
        <v>616</v>
      </c>
      <c r="G33" s="312">
        <f t="shared" si="46"/>
        <v>616</v>
      </c>
      <c r="H33" s="1107" t="s">
        <v>44</v>
      </c>
      <c r="I33" s="1107"/>
      <c r="J33" s="1108"/>
      <c r="K33" s="1109"/>
      <c r="L33" s="281"/>
      <c r="M33" s="343"/>
      <c r="N33" s="86">
        <v>1852</v>
      </c>
      <c r="O33" s="312">
        <f t="shared" si="51"/>
        <v>1852</v>
      </c>
      <c r="P33" s="320">
        <v>1706</v>
      </c>
      <c r="Q33" s="636">
        <f t="shared" si="52"/>
        <v>1706</v>
      </c>
      <c r="R33" s="103">
        <v>1577</v>
      </c>
      <c r="S33" s="255">
        <f t="shared" si="53"/>
        <v>1577</v>
      </c>
      <c r="T33" s="605">
        <v>1456</v>
      </c>
      <c r="U33" s="255">
        <f t="shared" si="54"/>
        <v>1456</v>
      </c>
      <c r="V33" s="605">
        <v>1407</v>
      </c>
      <c r="W33" s="287">
        <f t="shared" si="55"/>
        <v>1407</v>
      </c>
      <c r="X33" s="694"/>
      <c r="Y33" s="1106"/>
      <c r="Z33" s="1106"/>
      <c r="AA33" s="928"/>
      <c r="AB33" s="405" t="s">
        <v>51</v>
      </c>
    </row>
    <row r="34" spans="1:28" ht="12.6" customHeight="1" x14ac:dyDescent="0.2">
      <c r="A34" s="18"/>
      <c r="B34" s="826" t="s">
        <v>52</v>
      </c>
      <c r="C34" s="690"/>
      <c r="D34" s="690"/>
      <c r="E34" s="690"/>
      <c r="F34" s="329">
        <v>616</v>
      </c>
      <c r="G34" s="311">
        <f t="shared" si="46"/>
        <v>616</v>
      </c>
      <c r="H34" s="1192" t="s">
        <v>44</v>
      </c>
      <c r="I34" s="1192"/>
      <c r="J34" s="1193"/>
      <c r="K34" s="1194"/>
      <c r="L34" s="280"/>
      <c r="M34" s="344"/>
      <c r="N34" s="90">
        <v>1852</v>
      </c>
      <c r="O34" s="311">
        <f t="shared" si="51"/>
        <v>1852</v>
      </c>
      <c r="P34" s="282">
        <v>1706</v>
      </c>
      <c r="Q34" s="635">
        <f t="shared" si="52"/>
        <v>1706</v>
      </c>
      <c r="R34" s="102">
        <v>1577</v>
      </c>
      <c r="S34" s="305">
        <f t="shared" si="53"/>
        <v>1577</v>
      </c>
      <c r="T34" s="460">
        <v>1456</v>
      </c>
      <c r="U34" s="305">
        <f t="shared" si="54"/>
        <v>1456</v>
      </c>
      <c r="V34" s="460">
        <v>1407</v>
      </c>
      <c r="W34" s="288">
        <f t="shared" si="55"/>
        <v>1407</v>
      </c>
      <c r="X34" s="694"/>
      <c r="Y34" s="1106"/>
      <c r="Z34" s="1106"/>
      <c r="AA34" s="928"/>
      <c r="AB34" s="405" t="s">
        <v>53</v>
      </c>
    </row>
    <row r="35" spans="1:28" ht="12.6" customHeight="1" x14ac:dyDescent="0.25">
      <c r="A35" s="18"/>
      <c r="B35" s="825" t="s">
        <v>54</v>
      </c>
      <c r="C35" s="712"/>
      <c r="D35" s="712"/>
      <c r="E35" s="712"/>
      <c r="F35" s="330">
        <v>616</v>
      </c>
      <c r="G35" s="312">
        <f t="shared" si="46"/>
        <v>616</v>
      </c>
      <c r="H35" s="1107" t="s">
        <v>44</v>
      </c>
      <c r="I35" s="1107"/>
      <c r="J35" s="1108"/>
      <c r="K35" s="1109"/>
      <c r="L35" s="281"/>
      <c r="M35" s="343"/>
      <c r="N35" s="86">
        <v>1610</v>
      </c>
      <c r="O35" s="312">
        <f t="shared" si="47"/>
        <v>1610</v>
      </c>
      <c r="P35" s="320">
        <v>1476</v>
      </c>
      <c r="Q35" s="636">
        <f t="shared" si="48"/>
        <v>1476</v>
      </c>
      <c r="R35" s="605">
        <v>1351</v>
      </c>
      <c r="S35" s="255">
        <f t="shared" si="48"/>
        <v>1351</v>
      </c>
      <c r="T35" s="605">
        <v>1261</v>
      </c>
      <c r="U35" s="255">
        <f t="shared" si="49"/>
        <v>1261</v>
      </c>
      <c r="V35" s="605">
        <v>1197</v>
      </c>
      <c r="W35" s="287">
        <f t="shared" si="50"/>
        <v>1197</v>
      </c>
      <c r="X35" s="694"/>
      <c r="Y35" s="675"/>
      <c r="Z35" s="675"/>
      <c r="AA35" s="676"/>
      <c r="AB35" s="405" t="s">
        <v>460</v>
      </c>
    </row>
    <row r="36" spans="1:28" ht="12.6" customHeight="1" x14ac:dyDescent="0.2">
      <c r="A36" s="18"/>
      <c r="B36" s="826" t="s">
        <v>55</v>
      </c>
      <c r="C36" s="690"/>
      <c r="D36" s="690"/>
      <c r="E36" s="690"/>
      <c r="F36" s="329">
        <v>616</v>
      </c>
      <c r="G36" s="311">
        <f t="shared" si="46"/>
        <v>616</v>
      </c>
      <c r="H36" s="1192" t="s">
        <v>44</v>
      </c>
      <c r="I36" s="1192"/>
      <c r="J36" s="1193"/>
      <c r="K36" s="1194"/>
      <c r="L36" s="280"/>
      <c r="M36" s="344"/>
      <c r="N36" s="90">
        <v>1411</v>
      </c>
      <c r="O36" s="311">
        <f t="shared" ref="O36" si="56">+N36*$X$1</f>
        <v>1411</v>
      </c>
      <c r="P36" s="282">
        <v>1297</v>
      </c>
      <c r="Q36" s="635">
        <f t="shared" ref="Q36" si="57">+P36*$X$1</f>
        <v>1297</v>
      </c>
      <c r="R36" s="102">
        <v>1182</v>
      </c>
      <c r="S36" s="305">
        <f t="shared" ref="S36" si="58">+R36*$X$1</f>
        <v>1182</v>
      </c>
      <c r="T36" s="460">
        <v>1090</v>
      </c>
      <c r="U36" s="305">
        <f t="shared" ref="U36" si="59">+T36*$X$1</f>
        <v>1090</v>
      </c>
      <c r="V36" s="460">
        <v>976</v>
      </c>
      <c r="W36" s="288">
        <f t="shared" ref="W36" si="60">+V36*$X$1</f>
        <v>976</v>
      </c>
      <c r="X36" s="694"/>
      <c r="Y36" s="675"/>
      <c r="Z36" s="675"/>
      <c r="AA36" s="676"/>
      <c r="AB36" s="405" t="s">
        <v>458</v>
      </c>
    </row>
    <row r="37" spans="1:28" ht="12.6" customHeight="1" x14ac:dyDescent="0.25">
      <c r="A37" s="18"/>
      <c r="B37" s="825" t="s">
        <v>56</v>
      </c>
      <c r="C37" s="712"/>
      <c r="D37" s="712"/>
      <c r="E37" s="712"/>
      <c r="F37" s="330">
        <v>616</v>
      </c>
      <c r="G37" s="312">
        <f t="shared" si="46"/>
        <v>616</v>
      </c>
      <c r="H37" s="1107" t="s">
        <v>44</v>
      </c>
      <c r="I37" s="1107"/>
      <c r="J37" s="1108"/>
      <c r="K37" s="1109"/>
      <c r="L37" s="281"/>
      <c r="M37" s="343"/>
      <c r="N37" s="86">
        <v>1411</v>
      </c>
      <c r="O37" s="312">
        <f t="shared" ref="O37" si="61">+N37*$X$1</f>
        <v>1411</v>
      </c>
      <c r="P37" s="320">
        <v>1297</v>
      </c>
      <c r="Q37" s="636">
        <f t="shared" ref="Q37" si="62">+P37*$X$1</f>
        <v>1297</v>
      </c>
      <c r="R37" s="103">
        <v>1182</v>
      </c>
      <c r="S37" s="255">
        <f t="shared" ref="S37" si="63">+R37*$X$1</f>
        <v>1182</v>
      </c>
      <c r="T37" s="605">
        <v>1090</v>
      </c>
      <c r="U37" s="255">
        <f t="shared" ref="U37" si="64">+T37*$X$1</f>
        <v>1090</v>
      </c>
      <c r="V37" s="605">
        <v>976</v>
      </c>
      <c r="W37" s="287">
        <f t="shared" ref="W37" si="65">+V37*$X$1</f>
        <v>976</v>
      </c>
      <c r="X37" s="694"/>
      <c r="Y37" s="675"/>
      <c r="Z37" s="675"/>
      <c r="AA37" s="676"/>
      <c r="AB37" s="405" t="s">
        <v>461</v>
      </c>
    </row>
    <row r="38" spans="1:28" ht="12.6" customHeight="1" x14ac:dyDescent="0.25">
      <c r="A38" s="18"/>
      <c r="B38" s="826" t="s">
        <v>57</v>
      </c>
      <c r="C38" s="690"/>
      <c r="D38" s="690"/>
      <c r="E38" s="690"/>
      <c r="F38" s="329">
        <v>616</v>
      </c>
      <c r="G38" s="311">
        <f t="shared" si="46"/>
        <v>616</v>
      </c>
      <c r="H38" s="1192" t="s">
        <v>44</v>
      </c>
      <c r="I38" s="1192"/>
      <c r="J38" s="1193"/>
      <c r="K38" s="1194"/>
      <c r="L38" s="280"/>
      <c r="M38" s="344"/>
      <c r="N38" s="90">
        <v>1920</v>
      </c>
      <c r="O38" s="311">
        <f t="shared" si="47"/>
        <v>1920</v>
      </c>
      <c r="P38" s="282">
        <v>1773</v>
      </c>
      <c r="Q38" s="635">
        <f t="shared" si="48"/>
        <v>1773</v>
      </c>
      <c r="R38" s="460">
        <v>1633</v>
      </c>
      <c r="S38" s="305">
        <f t="shared" si="48"/>
        <v>1633</v>
      </c>
      <c r="T38" s="460">
        <v>1528</v>
      </c>
      <c r="U38" s="305">
        <f t="shared" si="49"/>
        <v>1528</v>
      </c>
      <c r="V38" s="460">
        <v>1463</v>
      </c>
      <c r="W38" s="288">
        <f t="shared" si="50"/>
        <v>1463</v>
      </c>
      <c r="X38" s="694"/>
      <c r="Y38" s="675"/>
      <c r="Z38" s="675"/>
      <c r="AA38" s="676"/>
      <c r="AB38" s="405" t="s">
        <v>459</v>
      </c>
    </row>
    <row r="39" spans="1:28" ht="12.6" customHeight="1" x14ac:dyDescent="0.2">
      <c r="A39" s="18"/>
      <c r="B39" s="825" t="s">
        <v>462</v>
      </c>
      <c r="C39" s="712"/>
      <c r="D39" s="712"/>
      <c r="E39" s="712"/>
      <c r="F39" s="330">
        <v>616</v>
      </c>
      <c r="G39" s="312">
        <f t="shared" ref="G39" si="66">+F39*$X$1</f>
        <v>616</v>
      </c>
      <c r="H39" s="1107" t="s">
        <v>44</v>
      </c>
      <c r="I39" s="1107"/>
      <c r="J39" s="1108"/>
      <c r="K39" s="1109"/>
      <c r="L39" s="281"/>
      <c r="M39" s="343"/>
      <c r="N39" s="86">
        <v>1890</v>
      </c>
      <c r="O39" s="312">
        <f t="shared" ref="O39:O40" si="67">+N39*$X$1</f>
        <v>1890</v>
      </c>
      <c r="P39" s="320">
        <v>1745</v>
      </c>
      <c r="Q39" s="636">
        <f t="shared" si="48"/>
        <v>1745</v>
      </c>
      <c r="R39" s="605">
        <v>1633</v>
      </c>
      <c r="S39" s="255">
        <f t="shared" si="48"/>
        <v>1633</v>
      </c>
      <c r="T39" s="605">
        <v>1528</v>
      </c>
      <c r="U39" s="255">
        <f t="shared" si="49"/>
        <v>1528</v>
      </c>
      <c r="V39" s="605">
        <v>1430</v>
      </c>
      <c r="W39" s="287">
        <f t="shared" si="50"/>
        <v>1430</v>
      </c>
      <c r="X39" s="694"/>
      <c r="Y39" s="675"/>
      <c r="Z39" s="675"/>
      <c r="AA39" s="676"/>
      <c r="AB39" s="405" t="s">
        <v>464</v>
      </c>
    </row>
    <row r="40" spans="1:28" ht="12.6" customHeight="1" x14ac:dyDescent="0.2">
      <c r="A40" s="18"/>
      <c r="B40" s="826" t="s">
        <v>463</v>
      </c>
      <c r="C40" s="690"/>
      <c r="D40" s="690"/>
      <c r="E40" s="690"/>
      <c r="F40" s="329">
        <v>616</v>
      </c>
      <c r="G40" s="311">
        <f t="shared" ref="G40" si="68">+F40*$X$1</f>
        <v>616</v>
      </c>
      <c r="H40" s="1192" t="s">
        <v>44</v>
      </c>
      <c r="I40" s="1192"/>
      <c r="J40" s="1193"/>
      <c r="K40" s="1194"/>
      <c r="L40" s="280"/>
      <c r="M40" s="344"/>
      <c r="N40" s="90">
        <v>1610</v>
      </c>
      <c r="O40" s="311">
        <f t="shared" si="67"/>
        <v>1610</v>
      </c>
      <c r="P40" s="282">
        <v>1476</v>
      </c>
      <c r="Q40" s="635">
        <f t="shared" ref="Q40" si="69">+P40*$X$1</f>
        <v>1476</v>
      </c>
      <c r="R40" s="460">
        <v>1351</v>
      </c>
      <c r="S40" s="305">
        <f t="shared" ref="S40" si="70">+R40*$X$1</f>
        <v>1351</v>
      </c>
      <c r="T40" s="460">
        <v>1261</v>
      </c>
      <c r="U40" s="305">
        <f t="shared" ref="U40" si="71">+T40*$X$1</f>
        <v>1261</v>
      </c>
      <c r="V40" s="460">
        <v>1197</v>
      </c>
      <c r="W40" s="288">
        <f t="shared" ref="W40" si="72">+V40*$X$1</f>
        <v>1197</v>
      </c>
      <c r="X40" s="694"/>
      <c r="Y40" s="675"/>
      <c r="Z40" s="675"/>
      <c r="AA40" s="676"/>
      <c r="AB40" s="405" t="s">
        <v>465</v>
      </c>
    </row>
    <row r="41" spans="1:28" ht="12.6" customHeight="1" x14ac:dyDescent="0.2">
      <c r="A41" s="18"/>
      <c r="B41" s="825" t="s">
        <v>58</v>
      </c>
      <c r="C41" s="712"/>
      <c r="D41" s="712"/>
      <c r="E41" s="712"/>
      <c r="F41" s="330">
        <v>1290</v>
      </c>
      <c r="G41" s="312">
        <f t="shared" ref="G41:G49" si="73">+F41*$X$1</f>
        <v>1290</v>
      </c>
      <c r="H41" s="1201" t="s">
        <v>59</v>
      </c>
      <c r="I41" s="1201"/>
      <c r="J41" s="1202"/>
      <c r="K41" s="1203"/>
      <c r="L41" s="281"/>
      <c r="M41" s="343"/>
      <c r="N41" s="86">
        <v>2290</v>
      </c>
      <c r="O41" s="312">
        <f t="shared" si="47"/>
        <v>2290</v>
      </c>
      <c r="P41" s="320">
        <v>2124</v>
      </c>
      <c r="Q41" s="636">
        <f t="shared" si="48"/>
        <v>2124</v>
      </c>
      <c r="R41" s="605">
        <v>1952</v>
      </c>
      <c r="S41" s="255">
        <f t="shared" si="48"/>
        <v>1952</v>
      </c>
      <c r="T41" s="605">
        <v>1819</v>
      </c>
      <c r="U41" s="255">
        <f t="shared" si="49"/>
        <v>1819</v>
      </c>
      <c r="V41" s="605">
        <v>1742</v>
      </c>
      <c r="W41" s="287">
        <f t="shared" si="50"/>
        <v>1742</v>
      </c>
      <c r="X41" s="694"/>
      <c r="Y41" s="675"/>
      <c r="Z41" s="675"/>
      <c r="AA41" s="676"/>
      <c r="AB41" s="406" t="s">
        <v>60</v>
      </c>
    </row>
    <row r="42" spans="1:28" ht="12.6" customHeight="1" x14ac:dyDescent="0.2">
      <c r="A42" s="18"/>
      <c r="B42" s="826" t="s">
        <v>61</v>
      </c>
      <c r="C42" s="690"/>
      <c r="D42" s="690"/>
      <c r="E42" s="690"/>
      <c r="F42" s="329">
        <v>1290</v>
      </c>
      <c r="G42" s="311">
        <f t="shared" si="73"/>
        <v>1290</v>
      </c>
      <c r="H42" s="1110" t="s">
        <v>59</v>
      </c>
      <c r="I42" s="1110"/>
      <c r="J42" s="1111"/>
      <c r="K42" s="1112"/>
      <c r="L42" s="280"/>
      <c r="M42" s="344"/>
      <c r="N42" s="90">
        <v>2290</v>
      </c>
      <c r="O42" s="311">
        <f t="shared" ref="O42:O43" si="74">+N42*$X$1</f>
        <v>2290</v>
      </c>
      <c r="P42" s="282">
        <v>2124</v>
      </c>
      <c r="Q42" s="635">
        <f t="shared" ref="Q42:Q43" si="75">+P42*$X$1</f>
        <v>2124</v>
      </c>
      <c r="R42" s="460">
        <v>1952</v>
      </c>
      <c r="S42" s="305">
        <f t="shared" ref="S42:S43" si="76">+R42*$X$1</f>
        <v>1952</v>
      </c>
      <c r="T42" s="460">
        <v>1819</v>
      </c>
      <c r="U42" s="305">
        <f t="shared" ref="U42:U43" si="77">+T42*$X$1</f>
        <v>1819</v>
      </c>
      <c r="V42" s="460">
        <v>1742</v>
      </c>
      <c r="W42" s="288">
        <f t="shared" ref="W42:W43" si="78">+V42*$X$1</f>
        <v>1742</v>
      </c>
      <c r="X42" s="694"/>
      <c r="Y42" s="675"/>
      <c r="Z42" s="675"/>
      <c r="AA42" s="676"/>
      <c r="AB42" s="406" t="s">
        <v>62</v>
      </c>
    </row>
    <row r="43" spans="1:28" ht="12.6" customHeight="1" x14ac:dyDescent="0.2">
      <c r="A43" s="18"/>
      <c r="B43" s="825" t="s">
        <v>63</v>
      </c>
      <c r="C43" s="712"/>
      <c r="D43" s="712"/>
      <c r="E43" s="712"/>
      <c r="F43" s="330">
        <v>1290</v>
      </c>
      <c r="G43" s="312">
        <f t="shared" si="73"/>
        <v>1290</v>
      </c>
      <c r="H43" s="1107" t="s">
        <v>59</v>
      </c>
      <c r="I43" s="1107"/>
      <c r="J43" s="1108"/>
      <c r="K43" s="1109"/>
      <c r="L43" s="281"/>
      <c r="M43" s="343"/>
      <c r="N43" s="86">
        <v>2290</v>
      </c>
      <c r="O43" s="312">
        <f t="shared" si="74"/>
        <v>2290</v>
      </c>
      <c r="P43" s="320">
        <v>2124</v>
      </c>
      <c r="Q43" s="636">
        <f t="shared" si="75"/>
        <v>2124</v>
      </c>
      <c r="R43" s="605">
        <v>1952</v>
      </c>
      <c r="S43" s="255">
        <f t="shared" si="76"/>
        <v>1952</v>
      </c>
      <c r="T43" s="605">
        <v>1819</v>
      </c>
      <c r="U43" s="255">
        <f t="shared" si="77"/>
        <v>1819</v>
      </c>
      <c r="V43" s="605">
        <v>1742</v>
      </c>
      <c r="W43" s="287">
        <f t="shared" si="78"/>
        <v>1742</v>
      </c>
      <c r="X43" s="694"/>
      <c r="Y43" s="675"/>
      <c r="Z43" s="675"/>
      <c r="AA43" s="676"/>
      <c r="AB43" s="406" t="s">
        <v>64</v>
      </c>
    </row>
    <row r="44" spans="1:28" ht="12.6" customHeight="1" x14ac:dyDescent="0.2">
      <c r="A44" s="18"/>
      <c r="B44" s="826" t="s">
        <v>551</v>
      </c>
      <c r="C44" s="690"/>
      <c r="D44" s="690"/>
      <c r="E44" s="690"/>
      <c r="F44" s="329">
        <v>1386</v>
      </c>
      <c r="G44" s="311">
        <f t="shared" ref="G44" si="79">+F44*$X$1</f>
        <v>1386</v>
      </c>
      <c r="H44" s="1113" t="s">
        <v>59</v>
      </c>
      <c r="I44" s="1113"/>
      <c r="J44" s="1114"/>
      <c r="K44" s="1115"/>
      <c r="L44" s="280"/>
      <c r="M44" s="344"/>
      <c r="N44" s="90">
        <v>2425</v>
      </c>
      <c r="O44" s="311">
        <f t="shared" ref="O44" si="80">+N44*$X$1</f>
        <v>2425</v>
      </c>
      <c r="P44" s="282">
        <v>2260</v>
      </c>
      <c r="Q44" s="635">
        <f t="shared" ref="Q44" si="81">+P44*$X$1</f>
        <v>2260</v>
      </c>
      <c r="R44" s="460">
        <v>2060</v>
      </c>
      <c r="S44" s="305">
        <f t="shared" ref="S44" si="82">+R44*$X$1</f>
        <v>2060</v>
      </c>
      <c r="T44" s="460">
        <v>1935</v>
      </c>
      <c r="U44" s="305">
        <f t="shared" ref="U44" si="83">+T44*$X$1</f>
        <v>1935</v>
      </c>
      <c r="V44" s="460">
        <v>1843</v>
      </c>
      <c r="W44" s="288">
        <f t="shared" ref="W44" si="84">+V44*$X$1</f>
        <v>1843</v>
      </c>
      <c r="X44" s="694"/>
      <c r="Y44" s="675"/>
      <c r="Z44" s="675"/>
      <c r="AA44" s="676"/>
      <c r="AB44" s="407" t="s">
        <v>561</v>
      </c>
    </row>
    <row r="45" spans="1:28" ht="12.6" customHeight="1" x14ac:dyDescent="0.2">
      <c r="A45" s="18"/>
      <c r="B45" s="825" t="s">
        <v>552</v>
      </c>
      <c r="C45" s="712"/>
      <c r="D45" s="712"/>
      <c r="E45" s="712"/>
      <c r="F45" s="330">
        <v>1386</v>
      </c>
      <c r="G45" s="312">
        <f t="shared" ref="G45" si="85">+F45*$X$1</f>
        <v>1386</v>
      </c>
      <c r="H45" s="1201" t="s">
        <v>59</v>
      </c>
      <c r="I45" s="1201"/>
      <c r="J45" s="1202"/>
      <c r="K45" s="1203"/>
      <c r="L45" s="281"/>
      <c r="M45" s="343"/>
      <c r="N45" s="86">
        <v>2425</v>
      </c>
      <c r="O45" s="312">
        <f t="shared" ref="O45:O46" si="86">+N45*$X$1</f>
        <v>2425</v>
      </c>
      <c r="P45" s="320">
        <v>2260</v>
      </c>
      <c r="Q45" s="636">
        <f t="shared" ref="Q45:Q46" si="87">+P45*$X$1</f>
        <v>2260</v>
      </c>
      <c r="R45" s="605">
        <v>2060</v>
      </c>
      <c r="S45" s="255">
        <f t="shared" ref="S45:S46" si="88">+R45*$X$1</f>
        <v>2060</v>
      </c>
      <c r="T45" s="605">
        <v>1935</v>
      </c>
      <c r="U45" s="255">
        <f t="shared" ref="U45:U46" si="89">+T45*$X$1</f>
        <v>1935</v>
      </c>
      <c r="V45" s="605">
        <v>1843</v>
      </c>
      <c r="W45" s="287">
        <f t="shared" ref="W45:W46" si="90">+V45*$X$1</f>
        <v>1843</v>
      </c>
      <c r="X45" s="694"/>
      <c r="Y45" s="675"/>
      <c r="Z45" s="675"/>
      <c r="AA45" s="676"/>
      <c r="AB45" s="407" t="s">
        <v>562</v>
      </c>
    </row>
    <row r="46" spans="1:28" ht="12.6" customHeight="1" x14ac:dyDescent="0.2">
      <c r="A46" s="18"/>
      <c r="B46" s="826" t="s">
        <v>553</v>
      </c>
      <c r="C46" s="690"/>
      <c r="D46" s="690"/>
      <c r="E46" s="690"/>
      <c r="F46" s="329">
        <v>1386</v>
      </c>
      <c r="G46" s="311">
        <f t="shared" ref="G46" si="91">+F46*$X$1</f>
        <v>1386</v>
      </c>
      <c r="H46" s="1113" t="s">
        <v>59</v>
      </c>
      <c r="I46" s="1113"/>
      <c r="J46" s="1114"/>
      <c r="K46" s="1115"/>
      <c r="L46" s="280"/>
      <c r="M46" s="344"/>
      <c r="N46" s="90">
        <v>2425</v>
      </c>
      <c r="O46" s="311">
        <f t="shared" si="86"/>
        <v>2425</v>
      </c>
      <c r="P46" s="282">
        <v>2260</v>
      </c>
      <c r="Q46" s="635">
        <f t="shared" si="87"/>
        <v>2260</v>
      </c>
      <c r="R46" s="460">
        <v>2060</v>
      </c>
      <c r="S46" s="305">
        <f t="shared" si="88"/>
        <v>2060</v>
      </c>
      <c r="T46" s="460">
        <v>1935</v>
      </c>
      <c r="U46" s="305">
        <f t="shared" si="89"/>
        <v>1935</v>
      </c>
      <c r="V46" s="460">
        <v>1843</v>
      </c>
      <c r="W46" s="288">
        <f t="shared" si="90"/>
        <v>1843</v>
      </c>
      <c r="X46" s="694"/>
      <c r="Y46" s="675"/>
      <c r="Z46" s="675"/>
      <c r="AA46" s="676"/>
      <c r="AB46" s="407" t="s">
        <v>563</v>
      </c>
    </row>
    <row r="47" spans="1:28" ht="12.6" customHeight="1" x14ac:dyDescent="0.2">
      <c r="A47" s="18"/>
      <c r="B47" s="825" t="s">
        <v>65</v>
      </c>
      <c r="C47" s="712"/>
      <c r="D47" s="712"/>
      <c r="E47" s="712"/>
      <c r="F47" s="330">
        <v>1737</v>
      </c>
      <c r="G47" s="312">
        <f t="shared" si="73"/>
        <v>1737</v>
      </c>
      <c r="H47" s="1107" t="s">
        <v>59</v>
      </c>
      <c r="I47" s="1107"/>
      <c r="J47" s="1108"/>
      <c r="K47" s="1109"/>
      <c r="L47" s="281"/>
      <c r="M47" s="343"/>
      <c r="N47" s="71">
        <v>3190</v>
      </c>
      <c r="O47" s="307">
        <f t="shared" ref="O47" si="92">+N47*$X$1</f>
        <v>3190</v>
      </c>
      <c r="P47" s="320">
        <v>2950</v>
      </c>
      <c r="Q47" s="322">
        <f t="shared" si="48"/>
        <v>2950</v>
      </c>
      <c r="R47" s="605">
        <v>2717</v>
      </c>
      <c r="S47" s="287">
        <f t="shared" si="48"/>
        <v>2717</v>
      </c>
      <c r="T47" s="605">
        <v>2526</v>
      </c>
      <c r="U47" s="287">
        <f t="shared" si="49"/>
        <v>2526</v>
      </c>
      <c r="V47" s="605">
        <v>2435</v>
      </c>
      <c r="W47" s="287">
        <f t="shared" si="50"/>
        <v>2435</v>
      </c>
      <c r="X47" s="694"/>
      <c r="Y47" s="675"/>
      <c r="Z47" s="675"/>
      <c r="AA47" s="676"/>
      <c r="AB47" s="407" t="s">
        <v>66</v>
      </c>
    </row>
    <row r="48" spans="1:28" ht="12.6" customHeight="1" x14ac:dyDescent="0.2">
      <c r="A48" s="18"/>
      <c r="B48" s="826" t="s">
        <v>67</v>
      </c>
      <c r="C48" s="690"/>
      <c r="D48" s="690"/>
      <c r="E48" s="690"/>
      <c r="F48" s="329">
        <v>1737</v>
      </c>
      <c r="G48" s="311">
        <f t="shared" si="73"/>
        <v>1737</v>
      </c>
      <c r="H48" s="1113" t="s">
        <v>59</v>
      </c>
      <c r="I48" s="1113"/>
      <c r="J48" s="1114"/>
      <c r="K48" s="1115"/>
      <c r="L48" s="280"/>
      <c r="M48" s="344"/>
      <c r="N48" s="89">
        <v>3190</v>
      </c>
      <c r="O48" s="340">
        <f t="shared" ref="O48:O49" si="93">+N48*$X$1</f>
        <v>3190</v>
      </c>
      <c r="P48" s="282">
        <v>2950</v>
      </c>
      <c r="Q48" s="321">
        <f t="shared" ref="Q48:Q49" si="94">+P48*$X$1</f>
        <v>2950</v>
      </c>
      <c r="R48" s="460">
        <v>2717</v>
      </c>
      <c r="S48" s="288">
        <f t="shared" ref="S48:S49" si="95">+R48*$X$1</f>
        <v>2717</v>
      </c>
      <c r="T48" s="460">
        <v>2526</v>
      </c>
      <c r="U48" s="288">
        <f t="shared" ref="U48:U49" si="96">+T48*$X$1</f>
        <v>2526</v>
      </c>
      <c r="V48" s="460">
        <v>2435</v>
      </c>
      <c r="W48" s="288">
        <f t="shared" ref="W48:W49" si="97">+V48*$X$1</f>
        <v>2435</v>
      </c>
      <c r="X48" s="694"/>
      <c r="Y48" s="675"/>
      <c r="Z48" s="675"/>
      <c r="AA48" s="676"/>
      <c r="AB48" s="407" t="s">
        <v>68</v>
      </c>
    </row>
    <row r="49" spans="1:35" ht="12.6" customHeight="1" x14ac:dyDescent="0.2">
      <c r="A49" s="18"/>
      <c r="B49" s="825" t="s">
        <v>69</v>
      </c>
      <c r="C49" s="712"/>
      <c r="D49" s="712"/>
      <c r="E49" s="712"/>
      <c r="F49" s="330">
        <v>1737</v>
      </c>
      <c r="G49" s="339">
        <f t="shared" si="73"/>
        <v>1737</v>
      </c>
      <c r="H49" s="1107" t="s">
        <v>59</v>
      </c>
      <c r="I49" s="1107"/>
      <c r="J49" s="1108"/>
      <c r="K49" s="1212"/>
      <c r="L49" s="281"/>
      <c r="M49" s="343"/>
      <c r="N49" s="71">
        <v>3190</v>
      </c>
      <c r="O49" s="307">
        <f t="shared" si="93"/>
        <v>3190</v>
      </c>
      <c r="P49" s="320">
        <v>2950</v>
      </c>
      <c r="Q49" s="322">
        <f t="shared" si="94"/>
        <v>2950</v>
      </c>
      <c r="R49" s="605">
        <v>2717</v>
      </c>
      <c r="S49" s="287">
        <f t="shared" si="95"/>
        <v>2717</v>
      </c>
      <c r="T49" s="605">
        <v>2526</v>
      </c>
      <c r="U49" s="287">
        <f t="shared" si="96"/>
        <v>2526</v>
      </c>
      <c r="V49" s="605">
        <v>2435</v>
      </c>
      <c r="W49" s="287">
        <f t="shared" si="97"/>
        <v>2435</v>
      </c>
      <c r="X49" s="694"/>
      <c r="Y49" s="675"/>
      <c r="Z49" s="675"/>
      <c r="AA49" s="676"/>
      <c r="AB49" s="407" t="s">
        <v>70</v>
      </c>
    </row>
    <row r="50" spans="1:35" ht="12.6" customHeight="1" x14ac:dyDescent="0.2">
      <c r="A50" s="18"/>
      <c r="B50" s="826" t="s">
        <v>71</v>
      </c>
      <c r="C50" s="690"/>
      <c r="D50" s="690"/>
      <c r="E50" s="1074"/>
      <c r="F50" s="1198" t="s">
        <v>418</v>
      </c>
      <c r="G50" s="1108"/>
      <c r="H50" s="1108"/>
      <c r="I50" s="1108"/>
      <c r="J50" s="260"/>
      <c r="K50" s="386"/>
      <c r="L50" s="387"/>
      <c r="M50" s="288"/>
      <c r="N50" s="388"/>
      <c r="O50" s="311"/>
      <c r="P50" s="280"/>
      <c r="Q50" s="321"/>
      <c r="R50" s="102"/>
      <c r="S50" s="305"/>
      <c r="T50" s="102"/>
      <c r="U50" s="305"/>
      <c r="V50" s="102"/>
      <c r="W50" s="288"/>
      <c r="X50" s="131"/>
      <c r="Y50" s="131"/>
      <c r="Z50" s="131"/>
      <c r="AA50" s="131"/>
      <c r="AB50" s="405" t="s">
        <v>72</v>
      </c>
    </row>
    <row r="51" spans="1:35" ht="12.6" customHeight="1" x14ac:dyDescent="0.2">
      <c r="A51" s="18"/>
      <c r="B51" s="825" t="s">
        <v>73</v>
      </c>
      <c r="C51" s="712"/>
      <c r="D51" s="712"/>
      <c r="E51" s="1075"/>
      <c r="F51" s="1108"/>
      <c r="G51" s="1108"/>
      <c r="H51" s="1108"/>
      <c r="I51" s="1108"/>
      <c r="J51" s="17"/>
      <c r="K51" s="285"/>
      <c r="L51" s="261"/>
      <c r="M51" s="287"/>
      <c r="N51" s="211"/>
      <c r="O51" s="312"/>
      <c r="P51" s="285"/>
      <c r="Q51" s="322"/>
      <c r="R51" s="316"/>
      <c r="S51" s="255"/>
      <c r="T51" s="316"/>
      <c r="U51" s="255"/>
      <c r="V51" s="316"/>
      <c r="W51" s="287"/>
      <c r="X51" s="131"/>
      <c r="Y51" s="131"/>
      <c r="Z51" s="131"/>
      <c r="AA51" s="131"/>
      <c r="AB51" s="405" t="s">
        <v>74</v>
      </c>
    </row>
    <row r="52" spans="1:35" ht="12.6" customHeight="1" x14ac:dyDescent="0.2">
      <c r="A52" s="18"/>
      <c r="B52" s="826" t="s">
        <v>437</v>
      </c>
      <c r="C52" s="690"/>
      <c r="D52" s="690"/>
      <c r="E52" s="1074"/>
      <c r="F52" s="1108"/>
      <c r="G52" s="1108"/>
      <c r="H52" s="1108"/>
      <c r="I52" s="1108"/>
      <c r="J52" s="260"/>
      <c r="K52" s="280"/>
      <c r="L52" s="300"/>
      <c r="M52" s="288"/>
      <c r="N52" s="301"/>
      <c r="O52" s="353"/>
      <c r="P52" s="280"/>
      <c r="Q52" s="321"/>
      <c r="R52" s="95"/>
      <c r="S52" s="348"/>
      <c r="T52" s="95"/>
      <c r="U52" s="348"/>
      <c r="V52" s="95"/>
      <c r="W52" s="288"/>
      <c r="X52" s="131"/>
      <c r="Y52" s="131"/>
      <c r="Z52" s="131"/>
      <c r="AA52" s="131"/>
      <c r="AB52" s="36">
        <v>48</v>
      </c>
      <c r="AC52" s="408" t="s">
        <v>75</v>
      </c>
      <c r="AD52" s="408" t="s">
        <v>76</v>
      </c>
      <c r="AE52" s="408" t="s">
        <v>77</v>
      </c>
    </row>
    <row r="53" spans="1:35" ht="12.6" customHeight="1" x14ac:dyDescent="0.2">
      <c r="A53" s="18"/>
      <c r="B53" s="1079" t="s">
        <v>78</v>
      </c>
      <c r="C53" s="1080"/>
      <c r="D53" s="1080"/>
      <c r="E53" s="1080"/>
      <c r="F53" s="1108"/>
      <c r="G53" s="1108"/>
      <c r="H53" s="1108"/>
      <c r="I53" s="1108"/>
      <c r="J53" s="17"/>
      <c r="K53" s="17"/>
      <c r="L53" s="261"/>
      <c r="M53" s="258"/>
      <c r="N53" s="211"/>
      <c r="O53" s="234"/>
      <c r="P53" s="116"/>
      <c r="Q53" s="263"/>
      <c r="R53" s="234"/>
      <c r="S53" s="234"/>
      <c r="T53" s="234"/>
      <c r="U53" s="234"/>
      <c r="V53" s="92"/>
      <c r="W53" s="92"/>
      <c r="X53" s="164"/>
      <c r="Y53" s="164"/>
      <c r="Z53" s="164"/>
      <c r="AA53" s="164"/>
      <c r="AB53" s="192">
        <v>54</v>
      </c>
    </row>
    <row r="54" spans="1:35" ht="12.6" customHeight="1" x14ac:dyDescent="0.2">
      <c r="A54" s="18"/>
      <c r="B54" s="826" t="s">
        <v>79</v>
      </c>
      <c r="C54" s="690"/>
      <c r="D54" s="690"/>
      <c r="E54" s="690"/>
      <c r="F54" s="288">
        <v>1044</v>
      </c>
      <c r="G54" s="305">
        <f t="shared" ref="G54:G57" si="98">+F54*$X$1</f>
        <v>1044</v>
      </c>
      <c r="H54" s="123"/>
      <c r="I54" s="288"/>
      <c r="J54" s="460">
        <f>F54+225</f>
        <v>1269</v>
      </c>
      <c r="K54" s="288">
        <f t="shared" ref="K54" si="99">+J54*$X$1</f>
        <v>1269</v>
      </c>
      <c r="L54" s="460">
        <f>F54+135</f>
        <v>1179</v>
      </c>
      <c r="M54" s="288">
        <f t="shared" ref="M54" si="100">+L54*$X$1</f>
        <v>1179</v>
      </c>
      <c r="N54" s="102">
        <f>F54+83</f>
        <v>1127</v>
      </c>
      <c r="O54" s="305">
        <f t="shared" ref="O54" si="101">+N54*$X$1</f>
        <v>1127</v>
      </c>
      <c r="P54" s="102">
        <f>F54+75</f>
        <v>1119</v>
      </c>
      <c r="Q54" s="288">
        <f t="shared" si="48"/>
        <v>1119</v>
      </c>
      <c r="R54" s="102">
        <f>F54+63</f>
        <v>1107</v>
      </c>
      <c r="S54" s="305">
        <f t="shared" ref="S54" si="102">+R54*$X$1</f>
        <v>1107</v>
      </c>
      <c r="T54" s="102">
        <f>F54+53</f>
        <v>1097</v>
      </c>
      <c r="U54" s="305">
        <f t="shared" ref="U54" si="103">+T54*$X$1</f>
        <v>1097</v>
      </c>
      <c r="V54" s="102">
        <f>F54+45</f>
        <v>1089</v>
      </c>
      <c r="W54" s="288">
        <f t="shared" ref="W54" si="104">+V54*$X$1</f>
        <v>1089</v>
      </c>
      <c r="X54" s="130"/>
      <c r="Y54" s="131"/>
      <c r="Z54" s="131"/>
      <c r="AA54" s="131"/>
      <c r="AB54" s="405">
        <v>60</v>
      </c>
    </row>
    <row r="55" spans="1:35" ht="12.6" customHeight="1" x14ac:dyDescent="0.2">
      <c r="A55" s="18"/>
      <c r="B55" s="825" t="s">
        <v>531</v>
      </c>
      <c r="C55" s="712"/>
      <c r="D55" s="712"/>
      <c r="E55" s="712"/>
      <c r="F55" s="287">
        <v>1104</v>
      </c>
      <c r="G55" s="255">
        <f t="shared" si="98"/>
        <v>1104</v>
      </c>
      <c r="H55" s="122"/>
      <c r="I55" s="287"/>
      <c r="J55" s="497">
        <f>F55+225</f>
        <v>1329</v>
      </c>
      <c r="K55" s="287">
        <f t="shared" ref="K55:K57" si="105">+J55*$X$1</f>
        <v>1329</v>
      </c>
      <c r="L55" s="497">
        <f>F55+135</f>
        <v>1239</v>
      </c>
      <c r="M55" s="287">
        <f t="shared" ref="M55:M57" si="106">+L55*$X$1</f>
        <v>1239</v>
      </c>
      <c r="N55" s="103">
        <f>F55+83</f>
        <v>1187</v>
      </c>
      <c r="O55" s="255">
        <f t="shared" ref="O55:O57" si="107">+N55*$X$1</f>
        <v>1187</v>
      </c>
      <c r="P55" s="103">
        <f>F55+75</f>
        <v>1179</v>
      </c>
      <c r="Q55" s="287">
        <f t="shared" ref="Q55:Q57" si="108">+P55*$X$1</f>
        <v>1179</v>
      </c>
      <c r="R55" s="103">
        <f>F55+63</f>
        <v>1167</v>
      </c>
      <c r="S55" s="255">
        <f t="shared" ref="S55:S57" si="109">+R55*$X$1</f>
        <v>1167</v>
      </c>
      <c r="T55" s="103">
        <f>F55+53</f>
        <v>1157</v>
      </c>
      <c r="U55" s="255">
        <f t="shared" ref="U55:U57" si="110">+T55*$X$1</f>
        <v>1157</v>
      </c>
      <c r="V55" s="103">
        <f>F55+45</f>
        <v>1149</v>
      </c>
      <c r="W55" s="287">
        <f t="shared" ref="W55:W57" si="111">+V55*$X$1</f>
        <v>1149</v>
      </c>
      <c r="X55" s="130"/>
      <c r="Y55" s="131"/>
      <c r="Z55" s="131"/>
      <c r="AA55" s="131"/>
      <c r="AB55" s="405">
        <v>61</v>
      </c>
    </row>
    <row r="56" spans="1:35" ht="12.6" customHeight="1" x14ac:dyDescent="0.2">
      <c r="A56" s="18"/>
      <c r="B56" s="1209" t="s">
        <v>80</v>
      </c>
      <c r="C56" s="912"/>
      <c r="D56" s="912"/>
      <c r="E56" s="912"/>
      <c r="F56" s="290">
        <v>1102</v>
      </c>
      <c r="G56" s="348">
        <f t="shared" si="98"/>
        <v>1102</v>
      </c>
      <c r="H56" s="432"/>
      <c r="I56" s="288"/>
      <c r="J56" s="460">
        <f>F56+225</f>
        <v>1327</v>
      </c>
      <c r="K56" s="288">
        <f t="shared" si="105"/>
        <v>1327</v>
      </c>
      <c r="L56" s="460">
        <f>F56+135</f>
        <v>1237</v>
      </c>
      <c r="M56" s="288">
        <f t="shared" si="106"/>
        <v>1237</v>
      </c>
      <c r="N56" s="102">
        <f>F56+83</f>
        <v>1185</v>
      </c>
      <c r="O56" s="305">
        <f t="shared" si="107"/>
        <v>1185</v>
      </c>
      <c r="P56" s="102">
        <f>F56+75</f>
        <v>1177</v>
      </c>
      <c r="Q56" s="288">
        <f t="shared" si="108"/>
        <v>1177</v>
      </c>
      <c r="R56" s="102">
        <f>F56+63</f>
        <v>1165</v>
      </c>
      <c r="S56" s="305">
        <f t="shared" si="109"/>
        <v>1165</v>
      </c>
      <c r="T56" s="102">
        <f>F56+53</f>
        <v>1155</v>
      </c>
      <c r="U56" s="305">
        <f t="shared" si="110"/>
        <v>1155</v>
      </c>
      <c r="V56" s="102">
        <f>F56+45</f>
        <v>1147</v>
      </c>
      <c r="W56" s="288">
        <f t="shared" si="111"/>
        <v>1147</v>
      </c>
      <c r="X56" s="130"/>
      <c r="Y56" s="131"/>
      <c r="Z56" s="131"/>
      <c r="AA56" s="131"/>
      <c r="AB56" s="405">
        <v>62</v>
      </c>
    </row>
    <row r="57" spans="1:35" ht="12.6" customHeight="1" x14ac:dyDescent="0.2">
      <c r="A57" s="18"/>
      <c r="B57" s="825" t="s">
        <v>81</v>
      </c>
      <c r="C57" s="744"/>
      <c r="D57" s="744"/>
      <c r="E57" s="744"/>
      <c r="F57" s="287">
        <v>1162</v>
      </c>
      <c r="G57" s="287">
        <f t="shared" si="98"/>
        <v>1162</v>
      </c>
      <c r="H57" s="122"/>
      <c r="I57" s="287"/>
      <c r="J57" s="497">
        <f>F57+225</f>
        <v>1387</v>
      </c>
      <c r="K57" s="287">
        <f t="shared" si="105"/>
        <v>1387</v>
      </c>
      <c r="L57" s="497">
        <f>F57+135</f>
        <v>1297</v>
      </c>
      <c r="M57" s="287">
        <f t="shared" si="106"/>
        <v>1297</v>
      </c>
      <c r="N57" s="103">
        <f>F57+83</f>
        <v>1245</v>
      </c>
      <c r="O57" s="255">
        <f t="shared" si="107"/>
        <v>1245</v>
      </c>
      <c r="P57" s="103">
        <f>F57+75</f>
        <v>1237</v>
      </c>
      <c r="Q57" s="287">
        <f t="shared" si="108"/>
        <v>1237</v>
      </c>
      <c r="R57" s="103">
        <f>F57+63</f>
        <v>1225</v>
      </c>
      <c r="S57" s="255">
        <f t="shared" si="109"/>
        <v>1225</v>
      </c>
      <c r="T57" s="103">
        <f>F57+53</f>
        <v>1215</v>
      </c>
      <c r="U57" s="255">
        <f t="shared" si="110"/>
        <v>1215</v>
      </c>
      <c r="V57" s="103">
        <f>F57+45</f>
        <v>1207</v>
      </c>
      <c r="W57" s="287">
        <f t="shared" si="111"/>
        <v>1207</v>
      </c>
      <c r="X57" s="130"/>
      <c r="Y57" s="131"/>
      <c r="Z57" s="131"/>
      <c r="AA57" s="131"/>
      <c r="AB57" s="405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826" t="s">
        <v>527</v>
      </c>
      <c r="C58" s="690"/>
      <c r="D58" s="690"/>
      <c r="E58" s="690"/>
      <c r="F58" s="288">
        <v>1234</v>
      </c>
      <c r="G58" s="288">
        <f t="shared" ref="G58" si="112">+F58*$X$1</f>
        <v>1234</v>
      </c>
      <c r="H58" s="123"/>
      <c r="I58" s="288"/>
      <c r="J58" s="460">
        <f>F58+290</f>
        <v>1524</v>
      </c>
      <c r="K58" s="288">
        <f t="shared" ref="K58" si="113">+J58*$X$1</f>
        <v>1524</v>
      </c>
      <c r="L58" s="460">
        <f>F58+180</f>
        <v>1414</v>
      </c>
      <c r="M58" s="288">
        <f t="shared" ref="M58:M59" si="114">+L58*$X$1</f>
        <v>1414</v>
      </c>
      <c r="N58" s="102">
        <f>F58+140</f>
        <v>1374</v>
      </c>
      <c r="O58" s="305">
        <f t="shared" ref="O58:O59" si="115">+N58*$X$1</f>
        <v>1374</v>
      </c>
      <c r="P58" s="102">
        <f>F58+125</f>
        <v>1359</v>
      </c>
      <c r="Q58" s="288">
        <f t="shared" ref="Q58:Q59" si="116">+P58*$X$1</f>
        <v>1359</v>
      </c>
      <c r="R58" s="102">
        <f>F58+110</f>
        <v>1344</v>
      </c>
      <c r="S58" s="305">
        <f t="shared" ref="S58:S59" si="117">+R58*$X$1</f>
        <v>1344</v>
      </c>
      <c r="T58" s="102">
        <f>F58+100</f>
        <v>1334</v>
      </c>
      <c r="U58" s="305">
        <f t="shared" ref="U58:U59" si="118">+T58*$X$1</f>
        <v>1334</v>
      </c>
      <c r="V58" s="102">
        <f>F58+90</f>
        <v>1324</v>
      </c>
      <c r="W58" s="288">
        <f t="shared" ref="W58:W59" si="119">+V58*$X$1</f>
        <v>1324</v>
      </c>
      <c r="X58" s="130"/>
      <c r="Y58" s="131"/>
      <c r="Z58" s="131"/>
      <c r="AA58" s="131"/>
      <c r="AB58" s="405">
        <v>64</v>
      </c>
    </row>
    <row r="59" spans="1:35" ht="12.6" customHeight="1" x14ac:dyDescent="0.2">
      <c r="A59" s="18"/>
      <c r="B59" s="873" t="s">
        <v>880</v>
      </c>
      <c r="C59" s="874"/>
      <c r="D59" s="874"/>
      <c r="E59" s="874"/>
      <c r="F59" s="545">
        <v>310</v>
      </c>
      <c r="G59" s="545">
        <f t="shared" ref="G59:G69" si="120">+F59*$X$1</f>
        <v>310</v>
      </c>
      <c r="H59" s="547"/>
      <c r="I59" s="550"/>
      <c r="J59" s="560"/>
      <c r="K59" s="545"/>
      <c r="L59" s="607">
        <f>F59+110</f>
        <v>420</v>
      </c>
      <c r="M59" s="546">
        <f t="shared" si="114"/>
        <v>420</v>
      </c>
      <c r="N59" s="607">
        <f>F59+60</f>
        <v>370</v>
      </c>
      <c r="O59" s="546">
        <f t="shared" si="115"/>
        <v>370</v>
      </c>
      <c r="P59" s="607">
        <f>F59+50</f>
        <v>360</v>
      </c>
      <c r="Q59" s="546">
        <f t="shared" si="116"/>
        <v>360</v>
      </c>
      <c r="R59" s="607">
        <f>F59+45</f>
        <v>355</v>
      </c>
      <c r="S59" s="546">
        <f t="shared" si="117"/>
        <v>355</v>
      </c>
      <c r="T59" s="607">
        <f>F59+40</f>
        <v>350</v>
      </c>
      <c r="U59" s="546">
        <f t="shared" si="118"/>
        <v>350</v>
      </c>
      <c r="V59" s="607">
        <f>F59+34</f>
        <v>344</v>
      </c>
      <c r="W59" s="546">
        <f t="shared" si="119"/>
        <v>344</v>
      </c>
      <c r="X59" s="131"/>
      <c r="Y59" s="131"/>
      <c r="Z59" s="131"/>
      <c r="AA59" s="131"/>
      <c r="AB59" s="405">
        <v>85</v>
      </c>
    </row>
    <row r="60" spans="1:35" ht="12.6" customHeight="1" x14ac:dyDescent="0.2">
      <c r="A60" s="18"/>
      <c r="B60" s="832" t="s">
        <v>601</v>
      </c>
      <c r="C60" s="703"/>
      <c r="D60" s="703"/>
      <c r="E60" s="703"/>
      <c r="F60" s="319">
        <v>1100</v>
      </c>
      <c r="G60" s="507">
        <f t="shared" si="120"/>
        <v>1100</v>
      </c>
      <c r="H60" s="280"/>
      <c r="I60" s="344"/>
      <c r="J60" s="440"/>
      <c r="K60" s="319"/>
      <c r="L60" s="460">
        <f>F60+110</f>
        <v>1210</v>
      </c>
      <c r="M60" s="288">
        <f t="shared" ref="M60" si="121">+L60*$X$1</f>
        <v>1210</v>
      </c>
      <c r="N60" s="460">
        <f>F60+60</f>
        <v>1160</v>
      </c>
      <c r="O60" s="288">
        <f t="shared" ref="O60" si="122">+N60*$X$1</f>
        <v>1160</v>
      </c>
      <c r="P60" s="460">
        <f>F60+50</f>
        <v>1150</v>
      </c>
      <c r="Q60" s="288">
        <f t="shared" ref="Q60" si="123">+P60*$X$1</f>
        <v>1150</v>
      </c>
      <c r="R60" s="460">
        <f>F60+45</f>
        <v>1145</v>
      </c>
      <c r="S60" s="288">
        <f t="shared" ref="S60" si="124">+R60*$X$1</f>
        <v>1145</v>
      </c>
      <c r="T60" s="460">
        <f>F60+40</f>
        <v>1140</v>
      </c>
      <c r="U60" s="288">
        <f t="shared" ref="U60" si="125">+T60*$X$1</f>
        <v>1140</v>
      </c>
      <c r="V60" s="460">
        <f>F60+34</f>
        <v>1134</v>
      </c>
      <c r="W60" s="288">
        <f t="shared" ref="W60" si="126">+V60*$X$1</f>
        <v>1134</v>
      </c>
      <c r="X60" s="131"/>
      <c r="Y60" s="131"/>
      <c r="Z60" s="131"/>
      <c r="AA60" s="131"/>
      <c r="AB60" s="405" t="s">
        <v>789</v>
      </c>
    </row>
    <row r="61" spans="1:35" ht="12.6" customHeight="1" x14ac:dyDescent="0.2">
      <c r="A61" s="18"/>
      <c r="B61" s="815" t="s">
        <v>600</v>
      </c>
      <c r="C61" s="816"/>
      <c r="D61" s="816"/>
      <c r="E61" s="816"/>
      <c r="F61" s="306">
        <v>780</v>
      </c>
      <c r="G61" s="339">
        <f t="shared" ref="G61" si="127">+F61*$X$1</f>
        <v>780</v>
      </c>
      <c r="H61" s="281"/>
      <c r="I61" s="343"/>
      <c r="J61" s="439"/>
      <c r="K61" s="306"/>
      <c r="L61" s="605">
        <f>F61+110</f>
        <v>890</v>
      </c>
      <c r="M61" s="287">
        <f t="shared" ref="M61" si="128">+L61*$X$1</f>
        <v>890</v>
      </c>
      <c r="N61" s="605">
        <f>F61+60</f>
        <v>840</v>
      </c>
      <c r="O61" s="287">
        <f t="shared" ref="O61" si="129">+N61*$X$1</f>
        <v>840</v>
      </c>
      <c r="P61" s="605">
        <f>F61+50</f>
        <v>830</v>
      </c>
      <c r="Q61" s="287">
        <f t="shared" ref="Q61" si="130">+P61*$X$1</f>
        <v>830</v>
      </c>
      <c r="R61" s="605">
        <f>F61+45</f>
        <v>825</v>
      </c>
      <c r="S61" s="287">
        <f t="shared" ref="S61" si="131">+R61*$X$1</f>
        <v>825</v>
      </c>
      <c r="T61" s="605">
        <f>F61+40</f>
        <v>820</v>
      </c>
      <c r="U61" s="287">
        <f t="shared" ref="U61" si="132">+T61*$X$1</f>
        <v>820</v>
      </c>
      <c r="V61" s="605">
        <f>F61+34</f>
        <v>814</v>
      </c>
      <c r="W61" s="287">
        <f t="shared" ref="W61" si="133">+V61*$X$1</f>
        <v>814</v>
      </c>
      <c r="X61" s="131"/>
      <c r="Y61" s="131"/>
      <c r="Z61" s="131"/>
      <c r="AA61" s="131"/>
      <c r="AB61" s="405" t="s">
        <v>790</v>
      </c>
    </row>
    <row r="62" spans="1:35" ht="12.6" customHeight="1" x14ac:dyDescent="0.2">
      <c r="A62" s="18"/>
      <c r="B62" s="1199" t="s">
        <v>773</v>
      </c>
      <c r="C62" s="1200"/>
      <c r="D62" s="1200"/>
      <c r="E62" s="1200"/>
      <c r="F62" s="319">
        <v>760</v>
      </c>
      <c r="G62" s="507">
        <f t="shared" ref="G62:G63" si="134">+F62*$X$1</f>
        <v>760</v>
      </c>
      <c r="H62" s="280"/>
      <c r="I62" s="344"/>
      <c r="J62" s="440"/>
      <c r="K62" s="319"/>
      <c r="L62" s="460">
        <f>F62+110</f>
        <v>870</v>
      </c>
      <c r="M62" s="288">
        <f t="shared" ref="M62" si="135">+L62*$X$1</f>
        <v>870</v>
      </c>
      <c r="N62" s="460">
        <f>F62+60</f>
        <v>820</v>
      </c>
      <c r="O62" s="288">
        <f t="shared" ref="O62" si="136">+N62*$X$1</f>
        <v>820</v>
      </c>
      <c r="P62" s="460">
        <f>F62+50</f>
        <v>810</v>
      </c>
      <c r="Q62" s="288">
        <f t="shared" ref="Q62" si="137">+P62*$X$1</f>
        <v>810</v>
      </c>
      <c r="R62" s="460">
        <f>F62+45</f>
        <v>805</v>
      </c>
      <c r="S62" s="288">
        <f t="shared" ref="S62" si="138">+R62*$X$1</f>
        <v>805</v>
      </c>
      <c r="T62" s="460">
        <f>F62+40</f>
        <v>800</v>
      </c>
      <c r="U62" s="288">
        <f t="shared" ref="U62" si="139">+T62*$X$1</f>
        <v>800</v>
      </c>
      <c r="V62" s="460">
        <f>F62+34</f>
        <v>794</v>
      </c>
      <c r="W62" s="288">
        <f t="shared" ref="W62" si="140">+V62*$X$1</f>
        <v>794</v>
      </c>
      <c r="X62" s="131"/>
      <c r="Y62" s="131"/>
      <c r="Z62" s="131"/>
      <c r="AA62" s="131"/>
      <c r="AB62" s="405" t="s">
        <v>788</v>
      </c>
    </row>
    <row r="63" spans="1:35" ht="12.6" customHeight="1" x14ac:dyDescent="0.2">
      <c r="A63" s="18"/>
      <c r="B63" s="815" t="s">
        <v>786</v>
      </c>
      <c r="C63" s="816"/>
      <c r="D63" s="816"/>
      <c r="E63" s="816"/>
      <c r="F63" s="380">
        <f>2.55*X2</f>
        <v>2715.75</v>
      </c>
      <c r="G63" s="287">
        <f t="shared" si="134"/>
        <v>2715.75</v>
      </c>
      <c r="H63" s="71"/>
      <c r="I63" s="287"/>
      <c r="J63" s="71">
        <f>F63+150</f>
        <v>2865.75</v>
      </c>
      <c r="K63" s="287">
        <f t="shared" ref="K63" si="141">+J63*$X$1</f>
        <v>2865.75</v>
      </c>
      <c r="L63" s="605">
        <f>F63+90</f>
        <v>2805.75</v>
      </c>
      <c r="M63" s="287">
        <f t="shared" ref="M63" si="142">+L63*$X$1</f>
        <v>2805.75</v>
      </c>
      <c r="N63" s="605">
        <f>F63+55</f>
        <v>2770.75</v>
      </c>
      <c r="O63" s="287">
        <f t="shared" ref="O63" si="143">+N63*$X$1</f>
        <v>2770.75</v>
      </c>
      <c r="P63" s="605">
        <f>F63+50</f>
        <v>2765.75</v>
      </c>
      <c r="Q63" s="287">
        <f t="shared" ref="Q63" si="144">+P63*$X$1</f>
        <v>2765.75</v>
      </c>
      <c r="R63" s="605">
        <f>F63+42</f>
        <v>2757.75</v>
      </c>
      <c r="S63" s="287">
        <f t="shared" ref="S63" si="145">+R63*$X$1</f>
        <v>2757.75</v>
      </c>
      <c r="T63" s="605">
        <f>F63+35</f>
        <v>2750.75</v>
      </c>
      <c r="U63" s="287">
        <f t="shared" ref="U63" si="146">+T63*$X$1</f>
        <v>2750.75</v>
      </c>
      <c r="V63" s="605">
        <f>F63+30</f>
        <v>2745.75</v>
      </c>
      <c r="W63" s="287">
        <f t="shared" ref="W63" si="147">+V63*$X$1</f>
        <v>2745.75</v>
      </c>
      <c r="X63" s="131"/>
      <c r="Y63" s="131"/>
      <c r="Z63" s="131"/>
      <c r="AA63" s="131"/>
      <c r="AB63" s="405" t="s">
        <v>787</v>
      </c>
    </row>
    <row r="64" spans="1:35" ht="12.6" customHeight="1" x14ac:dyDescent="0.2">
      <c r="A64" s="18"/>
      <c r="B64" s="786" t="s">
        <v>411</v>
      </c>
      <c r="C64" s="787"/>
      <c r="D64" s="787"/>
      <c r="E64" s="788"/>
      <c r="F64" s="319">
        <v>1030</v>
      </c>
      <c r="G64" s="507">
        <f t="shared" si="120"/>
        <v>1030</v>
      </c>
      <c r="H64" s="280"/>
      <c r="I64" s="344"/>
      <c r="J64" s="89">
        <f>F64+150</f>
        <v>1180</v>
      </c>
      <c r="K64" s="288">
        <f t="shared" ref="K64" si="148">+J64*$X$1</f>
        <v>1180</v>
      </c>
      <c r="L64" s="460">
        <f>F64+110</f>
        <v>1140</v>
      </c>
      <c r="M64" s="288">
        <f t="shared" ref="M64" si="149">+L64*$X$1</f>
        <v>1140</v>
      </c>
      <c r="N64" s="460">
        <f>F64+80</f>
        <v>1110</v>
      </c>
      <c r="O64" s="288">
        <f t="shared" ref="O64:O66" si="150">+N64*$X$1</f>
        <v>1110</v>
      </c>
      <c r="P64" s="460">
        <f>F64+60</f>
        <v>1090</v>
      </c>
      <c r="Q64" s="288">
        <f t="shared" ref="Q64:Q66" si="151">+P64*$X$1</f>
        <v>1090</v>
      </c>
      <c r="R64" s="460">
        <f>F64+50</f>
        <v>1080</v>
      </c>
      <c r="S64" s="288">
        <f t="shared" ref="S64:S66" si="152">+R64*$X$1</f>
        <v>1080</v>
      </c>
      <c r="T64" s="460">
        <f>F64+43</f>
        <v>1073</v>
      </c>
      <c r="U64" s="288">
        <f t="shared" ref="U64:U66" si="153">+T64*$X$1</f>
        <v>1073</v>
      </c>
      <c r="V64" s="460">
        <f>F64+39</f>
        <v>1069</v>
      </c>
      <c r="W64" s="288">
        <f t="shared" ref="W64:W66" si="154">+V64*$X$1</f>
        <v>1069</v>
      </c>
      <c r="X64" s="131"/>
      <c r="Y64" s="131"/>
      <c r="Z64" s="131"/>
      <c r="AA64" s="131"/>
      <c r="AB64" s="405">
        <v>89</v>
      </c>
    </row>
    <row r="65" spans="1:38" ht="12.6" customHeight="1" x14ac:dyDescent="0.2">
      <c r="A65" s="18"/>
      <c r="B65" s="825" t="s">
        <v>507</v>
      </c>
      <c r="C65" s="712"/>
      <c r="D65" s="712"/>
      <c r="E65" s="712"/>
      <c r="F65" s="287">
        <v>578</v>
      </c>
      <c r="G65" s="339">
        <f t="shared" si="120"/>
        <v>578</v>
      </c>
      <c r="H65" s="281"/>
      <c r="I65" s="343"/>
      <c r="J65" s="71"/>
      <c r="K65" s="255"/>
      <c r="L65" s="605"/>
      <c r="M65" s="255"/>
      <c r="N65" s="605">
        <f>F65+55</f>
        <v>633</v>
      </c>
      <c r="O65" s="287">
        <f t="shared" si="150"/>
        <v>633</v>
      </c>
      <c r="P65" s="605">
        <f>F65+50</f>
        <v>628</v>
      </c>
      <c r="Q65" s="287">
        <f t="shared" si="151"/>
        <v>628</v>
      </c>
      <c r="R65" s="605">
        <f>F65+42</f>
        <v>620</v>
      </c>
      <c r="S65" s="287">
        <f t="shared" si="152"/>
        <v>620</v>
      </c>
      <c r="T65" s="605">
        <f>F65+35</f>
        <v>613</v>
      </c>
      <c r="U65" s="287">
        <f t="shared" si="153"/>
        <v>613</v>
      </c>
      <c r="V65" s="605">
        <f>F65+30</f>
        <v>608</v>
      </c>
      <c r="W65" s="287">
        <f t="shared" si="154"/>
        <v>608</v>
      </c>
      <c r="X65" s="143"/>
      <c r="Y65" s="143"/>
      <c r="Z65" s="143" t="s">
        <v>82</v>
      </c>
      <c r="AA65" s="131"/>
      <c r="AB65" s="405">
        <v>91</v>
      </c>
    </row>
    <row r="66" spans="1:38" ht="12.6" customHeight="1" x14ac:dyDescent="0.2">
      <c r="A66" s="18"/>
      <c r="B66" s="1204" t="s">
        <v>83</v>
      </c>
      <c r="C66" s="1205"/>
      <c r="D66" s="1205"/>
      <c r="E66" s="1206"/>
      <c r="F66" s="288">
        <v>245</v>
      </c>
      <c r="G66" s="311">
        <f t="shared" si="120"/>
        <v>245</v>
      </c>
      <c r="H66" s="280"/>
      <c r="I66" s="344"/>
      <c r="J66" s="89"/>
      <c r="K66" s="305"/>
      <c r="L66" s="460"/>
      <c r="M66" s="305"/>
      <c r="N66" s="460">
        <f>F66+55</f>
        <v>300</v>
      </c>
      <c r="O66" s="288">
        <f t="shared" si="150"/>
        <v>300</v>
      </c>
      <c r="P66" s="460">
        <f>F66+50</f>
        <v>295</v>
      </c>
      <c r="Q66" s="288">
        <f t="shared" si="151"/>
        <v>295</v>
      </c>
      <c r="R66" s="460">
        <f>F66+42</f>
        <v>287</v>
      </c>
      <c r="S66" s="288">
        <f t="shared" si="152"/>
        <v>287</v>
      </c>
      <c r="T66" s="460">
        <f>F66+35</f>
        <v>280</v>
      </c>
      <c r="U66" s="288">
        <f t="shared" si="153"/>
        <v>280</v>
      </c>
      <c r="V66" s="460">
        <f>F66+30</f>
        <v>275</v>
      </c>
      <c r="W66" s="288">
        <f t="shared" si="154"/>
        <v>275</v>
      </c>
      <c r="X66" s="143"/>
      <c r="Y66" s="143"/>
      <c r="Z66" s="143"/>
      <c r="AA66" s="131"/>
      <c r="AB66" s="405" t="s">
        <v>84</v>
      </c>
    </row>
    <row r="67" spans="1:38" ht="12.6" customHeight="1" x14ac:dyDescent="0.2">
      <c r="A67" s="18"/>
      <c r="B67" s="1079" t="s">
        <v>346</v>
      </c>
      <c r="C67" s="1080"/>
      <c r="D67" s="1080"/>
      <c r="E67" s="1081"/>
      <c r="F67" s="287"/>
      <c r="G67" s="312"/>
      <c r="H67" s="281"/>
      <c r="I67" s="281"/>
      <c r="J67" s="71"/>
      <c r="K67" s="96"/>
      <c r="L67" s="605"/>
      <c r="M67" s="255"/>
      <c r="N67" s="103"/>
      <c r="O67" s="255"/>
      <c r="P67" s="103"/>
      <c r="Q67" s="287"/>
      <c r="R67" s="103"/>
      <c r="S67" s="255"/>
      <c r="T67" s="103"/>
      <c r="U67" s="255"/>
      <c r="V67" s="103"/>
      <c r="W67" s="287"/>
      <c r="X67" s="143"/>
      <c r="Y67" s="143"/>
      <c r="Z67" s="143"/>
      <c r="AA67" s="131"/>
      <c r="AB67" s="35"/>
    </row>
    <row r="68" spans="1:38" ht="12.6" customHeight="1" x14ac:dyDescent="0.2">
      <c r="A68" s="18"/>
      <c r="B68" s="1204" t="s">
        <v>347</v>
      </c>
      <c r="C68" s="1205"/>
      <c r="D68" s="1205"/>
      <c r="E68" s="1206"/>
      <c r="F68" s="288"/>
      <c r="G68" s="311"/>
      <c r="H68" s="280"/>
      <c r="I68" s="280"/>
      <c r="J68" s="89"/>
      <c r="K68" s="94"/>
      <c r="L68" s="460"/>
      <c r="M68" s="305"/>
      <c r="N68" s="102"/>
      <c r="O68" s="305"/>
      <c r="P68" s="102"/>
      <c r="Q68" s="288"/>
      <c r="R68" s="102"/>
      <c r="S68" s="305"/>
      <c r="T68" s="102"/>
      <c r="U68" s="305"/>
      <c r="V68" s="102"/>
      <c r="W68" s="288"/>
      <c r="X68" s="143"/>
      <c r="Y68" s="143"/>
      <c r="Z68" s="143"/>
      <c r="AA68" s="131"/>
      <c r="AB68" s="35"/>
    </row>
    <row r="69" spans="1:38" ht="12.6" customHeight="1" x14ac:dyDescent="0.2">
      <c r="A69" s="18"/>
      <c r="B69" s="825" t="s">
        <v>85</v>
      </c>
      <c r="C69" s="712"/>
      <c r="D69" s="712"/>
      <c r="E69" s="712"/>
      <c r="F69" s="330">
        <v>5345</v>
      </c>
      <c r="G69" s="312">
        <f t="shared" si="120"/>
        <v>5345</v>
      </c>
      <c r="H69" s="71">
        <f>F69+500</f>
        <v>5845</v>
      </c>
      <c r="I69" s="287">
        <f>+H69*$X$1</f>
        <v>5845</v>
      </c>
      <c r="J69" s="71">
        <f>F69+180</f>
        <v>5525</v>
      </c>
      <c r="K69" s="287">
        <f t="shared" ref="K69" si="155">+J69*$X$1</f>
        <v>5525</v>
      </c>
      <c r="L69" s="605">
        <f>F69+110</f>
        <v>5455</v>
      </c>
      <c r="M69" s="287">
        <f t="shared" ref="M69" si="156">+L69*$X$1</f>
        <v>5455</v>
      </c>
      <c r="N69" s="605">
        <f>F69+70</f>
        <v>5415</v>
      </c>
      <c r="O69" s="287">
        <f t="shared" ref="O69" si="157">+N69*$X$1</f>
        <v>5415</v>
      </c>
      <c r="P69" s="605">
        <f>F69+57</f>
        <v>5402</v>
      </c>
      <c r="Q69" s="287">
        <f t="shared" ref="Q69" si="158">+P69*$X$1</f>
        <v>5402</v>
      </c>
      <c r="R69" s="605">
        <f>F69+51</f>
        <v>5396</v>
      </c>
      <c r="S69" s="287">
        <f t="shared" ref="S69" si="159">+R69*$X$1</f>
        <v>5396</v>
      </c>
      <c r="T69" s="605">
        <f>F69+45</f>
        <v>5390</v>
      </c>
      <c r="U69" s="287">
        <f t="shared" ref="U69" si="160">+T69*$X$1</f>
        <v>5390</v>
      </c>
      <c r="V69" s="605">
        <f>F69+38</f>
        <v>5383</v>
      </c>
      <c r="W69" s="287">
        <f t="shared" ref="W69" si="161">+V69*$X$1</f>
        <v>5383</v>
      </c>
      <c r="X69" s="133"/>
      <c r="Y69" s="131"/>
      <c r="Z69" s="131"/>
      <c r="AA69" s="131"/>
      <c r="AB69" s="405">
        <v>92</v>
      </c>
    </row>
    <row r="70" spans="1:38" ht="12.6" customHeight="1" x14ac:dyDescent="0.25">
      <c r="A70" s="57"/>
      <c r="B70" s="826" t="s">
        <v>475</v>
      </c>
      <c r="C70" s="704"/>
      <c r="D70" s="704"/>
      <c r="E70" s="704"/>
      <c r="F70" s="288"/>
      <c r="G70" s="305"/>
      <c r="H70" s="247"/>
      <c r="I70" s="1095" t="s">
        <v>483</v>
      </c>
      <c r="J70" s="1096"/>
      <c r="K70" s="1096"/>
      <c r="L70" s="1097"/>
      <c r="M70" s="1098"/>
      <c r="N70" s="460">
        <v>850</v>
      </c>
      <c r="O70" s="311">
        <f>+N70*$X$1</f>
        <v>850</v>
      </c>
      <c r="P70" s="282">
        <v>847</v>
      </c>
      <c r="Q70" s="340">
        <f>+P70*$X$1</f>
        <v>847</v>
      </c>
      <c r="R70" s="460">
        <v>795</v>
      </c>
      <c r="S70" s="305">
        <f>+R70*$X$1</f>
        <v>795</v>
      </c>
      <c r="T70" s="460">
        <v>755</v>
      </c>
      <c r="U70" s="288">
        <f>+T70*$X$1</f>
        <v>755</v>
      </c>
      <c r="V70" s="460">
        <v>692</v>
      </c>
      <c r="W70" s="288">
        <f>+V70*$X$1</f>
        <v>692</v>
      </c>
      <c r="X70" s="772"/>
      <c r="Y70" s="772"/>
      <c r="Z70" s="772"/>
      <c r="AA70" s="772"/>
      <c r="AB70" s="192" t="s">
        <v>476</v>
      </c>
    </row>
    <row r="71" spans="1:38" ht="12.6" customHeight="1" x14ac:dyDescent="0.25">
      <c r="A71" s="57"/>
      <c r="B71" s="825" t="s">
        <v>336</v>
      </c>
      <c r="C71" s="744"/>
      <c r="D71" s="744"/>
      <c r="E71" s="744"/>
      <c r="F71" s="287"/>
      <c r="G71" s="255"/>
      <c r="H71" s="106"/>
      <c r="I71" s="1099" t="s">
        <v>483</v>
      </c>
      <c r="J71" s="1100"/>
      <c r="K71" s="1100"/>
      <c r="L71" s="1101"/>
      <c r="M71" s="1102"/>
      <c r="N71" s="540">
        <v>912</v>
      </c>
      <c r="O71" s="312">
        <f>+N71*$X$1</f>
        <v>912</v>
      </c>
      <c r="P71" s="296">
        <v>909</v>
      </c>
      <c r="Q71" s="307">
        <f>+P71*$X$1</f>
        <v>909</v>
      </c>
      <c r="R71" s="540">
        <v>853</v>
      </c>
      <c r="S71" s="255">
        <f>+R71*$X$1</f>
        <v>853</v>
      </c>
      <c r="T71" s="540">
        <v>827</v>
      </c>
      <c r="U71" s="287">
        <f>+T71*$X$1</f>
        <v>827</v>
      </c>
      <c r="V71" s="540">
        <v>750</v>
      </c>
      <c r="W71" s="287">
        <f>+V71*$X$1</f>
        <v>750</v>
      </c>
      <c r="X71" s="772"/>
      <c r="Y71" s="772"/>
      <c r="Z71" s="772"/>
      <c r="AA71" s="772"/>
      <c r="AB71" s="192" t="s">
        <v>86</v>
      </c>
    </row>
    <row r="72" spans="1:38" ht="12.6" customHeight="1" x14ac:dyDescent="0.25">
      <c r="A72" s="57"/>
      <c r="B72" s="826" t="s">
        <v>477</v>
      </c>
      <c r="C72" s="704"/>
      <c r="D72" s="704"/>
      <c r="E72" s="704"/>
      <c r="F72" s="288"/>
      <c r="G72" s="305"/>
      <c r="H72" s="247"/>
      <c r="I72" s="1095" t="s">
        <v>483</v>
      </c>
      <c r="J72" s="1096"/>
      <c r="K72" s="1096"/>
      <c r="L72" s="1097"/>
      <c r="M72" s="1098"/>
      <c r="N72" s="460">
        <v>1270</v>
      </c>
      <c r="O72" s="311">
        <f>+N72*$X$1</f>
        <v>1270</v>
      </c>
      <c r="P72" s="295">
        <v>1265</v>
      </c>
      <c r="Q72" s="340">
        <f>+P72*$X$1</f>
        <v>1265</v>
      </c>
      <c r="R72" s="460">
        <v>1207</v>
      </c>
      <c r="S72" s="305">
        <f>+R72*$X$1</f>
        <v>1207</v>
      </c>
      <c r="T72" s="460">
        <v>1180</v>
      </c>
      <c r="U72" s="288">
        <f>+T72*$X$1</f>
        <v>1180</v>
      </c>
      <c r="V72" s="460">
        <v>1103</v>
      </c>
      <c r="W72" s="288">
        <f>+V72*$X$1</f>
        <v>1103</v>
      </c>
      <c r="X72" s="772"/>
      <c r="Y72" s="772"/>
      <c r="Z72" s="772"/>
      <c r="AA72" s="772"/>
      <c r="AB72" s="192" t="s">
        <v>478</v>
      </c>
    </row>
    <row r="73" spans="1:38" ht="12.6" customHeight="1" x14ac:dyDescent="0.25">
      <c r="A73" s="18"/>
      <c r="B73" s="825" t="s">
        <v>337</v>
      </c>
      <c r="C73" s="744"/>
      <c r="D73" s="744"/>
      <c r="E73" s="744"/>
      <c r="F73" s="287"/>
      <c r="G73" s="255"/>
      <c r="H73" s="106"/>
      <c r="I73" s="1207"/>
      <c r="J73" s="1208"/>
      <c r="K73" s="1208"/>
      <c r="L73" s="281"/>
      <c r="M73" s="343"/>
      <c r="N73" s="540"/>
      <c r="O73" s="312"/>
      <c r="P73" s="540"/>
      <c r="Q73" s="287"/>
      <c r="R73" s="540"/>
      <c r="S73" s="255"/>
      <c r="T73" s="540"/>
      <c r="U73" s="287"/>
      <c r="V73" s="112"/>
      <c r="W73" s="287"/>
      <c r="X73" s="772"/>
      <c r="Y73" s="772"/>
      <c r="Z73" s="772"/>
      <c r="AA73" s="772"/>
      <c r="AB73" s="192" t="s">
        <v>87</v>
      </c>
      <c r="AH73" s="4"/>
      <c r="AI73" s="4"/>
      <c r="AJ73" s="4"/>
    </row>
    <row r="74" spans="1:38" s="6" customFormat="1" ht="12.6" customHeight="1" x14ac:dyDescent="0.25">
      <c r="A74" s="57"/>
      <c r="B74" s="1116" t="s">
        <v>400</v>
      </c>
      <c r="C74" s="691"/>
      <c r="D74" s="691"/>
      <c r="E74" s="692"/>
      <c r="F74" s="288"/>
      <c r="G74" s="305"/>
      <c r="H74" s="460"/>
      <c r="I74" s="311"/>
      <c r="J74" s="291"/>
      <c r="K74" s="361"/>
      <c r="L74" s="464">
        <v>2410</v>
      </c>
      <c r="M74" s="288">
        <f>+L74*$X$1</f>
        <v>2410</v>
      </c>
      <c r="N74" s="460">
        <v>2140</v>
      </c>
      <c r="O74" s="311">
        <f>+N74*$X$1</f>
        <v>2140</v>
      </c>
      <c r="P74" s="390">
        <v>1961</v>
      </c>
      <c r="Q74" s="340">
        <f>+P74*$X$1</f>
        <v>1961</v>
      </c>
      <c r="R74" s="460">
        <v>1958</v>
      </c>
      <c r="S74" s="305">
        <f>+R74*$X$1</f>
        <v>1958</v>
      </c>
      <c r="T74" s="460">
        <v>1890</v>
      </c>
      <c r="U74" s="288">
        <f>+T74*$X$1</f>
        <v>1890</v>
      </c>
      <c r="V74" s="538"/>
      <c r="W74" s="359"/>
      <c r="X74" s="245"/>
      <c r="Y74" s="246"/>
      <c r="Z74" s="246"/>
      <c r="AA74" s="246"/>
      <c r="AB74" s="192" t="s">
        <v>88</v>
      </c>
      <c r="AC74" s="8"/>
      <c r="AD74" s="8"/>
      <c r="AE74" s="8"/>
      <c r="AF74" s="8"/>
      <c r="AG74" s="8"/>
      <c r="AH74" s="56"/>
      <c r="AI74" s="24"/>
      <c r="AJ74" s="56"/>
      <c r="AK74" s="8"/>
      <c r="AL74" s="8"/>
    </row>
    <row r="75" spans="1:38" s="6" customFormat="1" ht="12.6" customHeight="1" x14ac:dyDescent="0.25">
      <c r="A75" s="57"/>
      <c r="B75" s="1213" t="s">
        <v>401</v>
      </c>
      <c r="C75" s="1214"/>
      <c r="D75" s="1214"/>
      <c r="E75" s="1215"/>
      <c r="F75" s="287"/>
      <c r="G75" s="461"/>
      <c r="H75" s="316"/>
      <c r="I75" s="462"/>
      <c r="J75" s="317"/>
      <c r="K75" s="360"/>
      <c r="L75" s="463">
        <v>3250</v>
      </c>
      <c r="M75" s="287">
        <f>+L75*$X$1</f>
        <v>3250</v>
      </c>
      <c r="N75" s="540">
        <v>2996</v>
      </c>
      <c r="O75" s="462">
        <f>+N75*$X$1</f>
        <v>2996</v>
      </c>
      <c r="P75" s="389">
        <v>2913</v>
      </c>
      <c r="Q75" s="307">
        <f>+P75*$X$1</f>
        <v>2913</v>
      </c>
      <c r="R75" s="540">
        <v>2909</v>
      </c>
      <c r="S75" s="461">
        <f>+R75*$X$1</f>
        <v>2909</v>
      </c>
      <c r="T75" s="540">
        <v>2713</v>
      </c>
      <c r="U75" s="287">
        <f>+T75*$X$1</f>
        <v>2713</v>
      </c>
      <c r="V75" s="539"/>
      <c r="W75" s="358"/>
      <c r="X75" s="1216"/>
      <c r="Y75" s="1217"/>
      <c r="Z75" s="1217"/>
      <c r="AA75" s="1217"/>
      <c r="AB75" s="192" t="s">
        <v>89</v>
      </c>
      <c r="AC75" s="8"/>
      <c r="AD75" s="8"/>
      <c r="AE75" s="8"/>
      <c r="AF75" s="8"/>
      <c r="AG75" s="8"/>
      <c r="AH75" s="56"/>
      <c r="AI75" s="56"/>
      <c r="AJ75" s="56"/>
      <c r="AK75" s="8"/>
      <c r="AL75" s="8"/>
    </row>
    <row r="76" spans="1:38" ht="12.6" customHeight="1" x14ac:dyDescent="0.2">
      <c r="A76" s="97"/>
      <c r="B76" s="108"/>
      <c r="C76" s="67"/>
      <c r="D76" s="67"/>
      <c r="E76" s="67"/>
      <c r="F76" s="183"/>
      <c r="G76" s="183"/>
      <c r="H76" s="183"/>
      <c r="I76" s="183"/>
      <c r="J76" s="183"/>
      <c r="K76" s="183"/>
      <c r="L76" s="109"/>
      <c r="M76" s="109"/>
      <c r="N76" s="110"/>
      <c r="O76" s="110"/>
      <c r="P76" s="110"/>
      <c r="Q76" s="111"/>
      <c r="R76" s="88"/>
      <c r="S76" s="63"/>
      <c r="T76" s="63"/>
      <c r="U76" s="63"/>
      <c r="V76" s="63"/>
      <c r="W76" s="63"/>
      <c r="X76" s="76"/>
      <c r="AB76" s="107"/>
    </row>
    <row r="77" spans="1:38" ht="12.6" customHeight="1" x14ac:dyDescent="0.2">
      <c r="A77" s="97"/>
      <c r="B77" s="108"/>
      <c r="C77" s="315"/>
      <c r="D77" s="315"/>
      <c r="E77" s="315"/>
      <c r="F77" s="235"/>
      <c r="G77" s="235"/>
      <c r="H77" s="235"/>
      <c r="I77" s="235"/>
      <c r="J77" s="235"/>
      <c r="K77" s="235"/>
      <c r="L77" s="109"/>
      <c r="M77" s="109"/>
      <c r="N77" s="110"/>
      <c r="O77" s="110"/>
      <c r="P77" s="110"/>
      <c r="Q77" s="111"/>
      <c r="R77" s="88"/>
      <c r="S77" s="63"/>
      <c r="T77" s="63"/>
      <c r="U77" s="63"/>
      <c r="V77" s="63"/>
      <c r="W77" s="63"/>
      <c r="X77" s="76"/>
      <c r="AB77" s="107"/>
    </row>
    <row r="78" spans="1:38" ht="12.6" customHeight="1" x14ac:dyDescent="0.2">
      <c r="A78" s="97"/>
      <c r="B78" s="108"/>
      <c r="C78" s="236"/>
      <c r="D78" s="236"/>
      <c r="E78" s="236"/>
      <c r="F78" s="235"/>
      <c r="G78" s="235"/>
      <c r="H78" s="235"/>
      <c r="I78" s="235"/>
      <c r="J78" s="235"/>
      <c r="K78" s="235"/>
      <c r="L78" s="109"/>
      <c r="M78" s="109"/>
      <c r="N78" s="110"/>
      <c r="O78" s="110"/>
      <c r="P78" s="110"/>
      <c r="Q78" s="111"/>
      <c r="R78" s="88"/>
      <c r="S78" s="63"/>
      <c r="T78" s="63"/>
      <c r="U78" s="63"/>
      <c r="V78" s="63"/>
      <c r="W78" s="63"/>
      <c r="X78" s="76"/>
      <c r="AB78" s="107"/>
    </row>
    <row r="79" spans="1:38" ht="15.75" customHeight="1" x14ac:dyDescent="0.2">
      <c r="A79" s="18"/>
      <c r="B79" s="726" t="s">
        <v>11</v>
      </c>
      <c r="C79" s="732" t="s">
        <v>12</v>
      </c>
      <c r="D79" s="733"/>
      <c r="E79" s="733"/>
      <c r="F79" s="709" t="s">
        <v>13</v>
      </c>
      <c r="G79" s="709" t="s">
        <v>13</v>
      </c>
      <c r="H79" s="730" t="s">
        <v>815</v>
      </c>
      <c r="I79" s="730"/>
      <c r="J79" s="731"/>
      <c r="K79" s="731"/>
      <c r="L79" s="731"/>
      <c r="M79" s="731"/>
      <c r="N79" s="731"/>
      <c r="O79" s="731"/>
      <c r="P79" s="731"/>
      <c r="Q79" s="731"/>
      <c r="R79" s="731"/>
      <c r="S79" s="731"/>
      <c r="T79" s="731"/>
      <c r="U79" s="731"/>
      <c r="V79" s="731"/>
      <c r="W79" s="731"/>
      <c r="X79" s="753" t="s">
        <v>14</v>
      </c>
      <c r="Y79" s="754"/>
      <c r="Z79" s="754"/>
      <c r="AA79" s="755"/>
      <c r="AB79" s="791" t="s">
        <v>15</v>
      </c>
      <c r="AF79" s="789" t="s">
        <v>3</v>
      </c>
      <c r="AG79" s="790"/>
      <c r="AH79" s="790"/>
    </row>
    <row r="80" spans="1:38" ht="12" customHeight="1" x14ac:dyDescent="0.2">
      <c r="A80" s="18"/>
      <c r="B80" s="726"/>
      <c r="C80" s="733"/>
      <c r="D80" s="733"/>
      <c r="E80" s="733"/>
      <c r="F80" s="710"/>
      <c r="G80" s="710"/>
      <c r="H80" s="476"/>
      <c r="I80" s="474" t="s">
        <v>289</v>
      </c>
      <c r="J80" s="476"/>
      <c r="K80" s="474" t="s">
        <v>17</v>
      </c>
      <c r="L80" s="477"/>
      <c r="M80" s="477" t="s">
        <v>18</v>
      </c>
      <c r="N80" s="477"/>
      <c r="O80" s="474" t="s">
        <v>19</v>
      </c>
      <c r="P80" s="477"/>
      <c r="Q80" s="477" t="s">
        <v>291</v>
      </c>
      <c r="R80" s="477"/>
      <c r="S80" s="477" t="s">
        <v>20</v>
      </c>
      <c r="T80" s="477"/>
      <c r="U80" s="477" t="s">
        <v>21</v>
      </c>
      <c r="V80" s="477"/>
      <c r="W80" s="477" t="s">
        <v>22</v>
      </c>
      <c r="X80" s="756"/>
      <c r="Y80" s="757"/>
      <c r="Z80" s="757"/>
      <c r="AA80" s="758"/>
      <c r="AB80" s="792"/>
    </row>
    <row r="81" spans="1:34" ht="12.6" customHeight="1" x14ac:dyDescent="0.2">
      <c r="A81" s="18"/>
      <c r="B81" s="702" t="s">
        <v>90</v>
      </c>
      <c r="C81" s="703"/>
      <c r="D81" s="703"/>
      <c r="E81" s="1088"/>
      <c r="F81" s="1090" t="s">
        <v>675</v>
      </c>
      <c r="G81" s="1091"/>
      <c r="H81" s="1091"/>
      <c r="I81" s="1091"/>
      <c r="J81" s="613"/>
      <c r="K81" s="608"/>
      <c r="L81" s="611"/>
      <c r="M81" s="319"/>
      <c r="N81" s="102"/>
      <c r="O81" s="507"/>
      <c r="P81" s="612"/>
      <c r="Q81" s="507"/>
      <c r="R81" s="102"/>
      <c r="S81" s="319"/>
      <c r="T81" s="102"/>
      <c r="U81" s="319"/>
      <c r="V81" s="102"/>
      <c r="W81" s="319"/>
      <c r="X81" s="131"/>
      <c r="Y81" s="131"/>
      <c r="Z81" s="131"/>
      <c r="AA81" s="131"/>
      <c r="AB81" s="412" t="s">
        <v>91</v>
      </c>
      <c r="AC81" s="408" t="s">
        <v>92</v>
      </c>
      <c r="AD81" s="408" t="s">
        <v>93</v>
      </c>
      <c r="AE81" s="408" t="s">
        <v>94</v>
      </c>
      <c r="AF81" s="408" t="s">
        <v>95</v>
      </c>
      <c r="AG81" s="408" t="s">
        <v>96</v>
      </c>
    </row>
    <row r="82" spans="1:34" ht="12.6" customHeight="1" x14ac:dyDescent="0.2">
      <c r="A82" s="18"/>
      <c r="B82" s="711" t="s">
        <v>97</v>
      </c>
      <c r="C82" s="712"/>
      <c r="D82" s="712"/>
      <c r="E82" s="1075"/>
      <c r="F82" s="1092"/>
      <c r="G82" s="1091"/>
      <c r="H82" s="1091"/>
      <c r="I82" s="1091"/>
      <c r="J82" s="262"/>
      <c r="K82" s="281"/>
      <c r="L82" s="496"/>
      <c r="M82" s="287"/>
      <c r="N82" s="103"/>
      <c r="O82" s="312"/>
      <c r="P82" s="320"/>
      <c r="Q82" s="307"/>
      <c r="R82" s="103"/>
      <c r="S82" s="255"/>
      <c r="T82" s="103"/>
      <c r="U82" s="287"/>
      <c r="V82" s="602"/>
      <c r="W82" s="287"/>
      <c r="X82" s="134"/>
      <c r="Y82" s="134"/>
      <c r="Z82" s="134"/>
      <c r="AA82" s="134"/>
      <c r="AB82" s="412" t="s">
        <v>98</v>
      </c>
      <c r="AC82" s="408" t="s">
        <v>99</v>
      </c>
      <c r="AD82" s="408" t="s">
        <v>100</v>
      </c>
      <c r="AE82" s="408" t="s">
        <v>101</v>
      </c>
      <c r="AF82" s="408" t="s">
        <v>102</v>
      </c>
      <c r="AG82" s="408" t="s">
        <v>103</v>
      </c>
      <c r="AH82" s="408" t="s">
        <v>104</v>
      </c>
    </row>
    <row r="83" spans="1:34" ht="12.6" customHeight="1" x14ac:dyDescent="0.25">
      <c r="A83" s="18"/>
      <c r="B83" s="689" t="s">
        <v>105</v>
      </c>
      <c r="C83" s="690"/>
      <c r="D83" s="690"/>
      <c r="E83" s="1074"/>
      <c r="F83" s="1092"/>
      <c r="G83" s="1091"/>
      <c r="H83" s="1091"/>
      <c r="I83" s="1091"/>
      <c r="J83" s="262"/>
      <c r="K83" s="280"/>
      <c r="L83" s="302"/>
      <c r="M83" s="288"/>
      <c r="N83" s="460"/>
      <c r="O83" s="311"/>
      <c r="P83" s="282"/>
      <c r="Q83" s="340"/>
      <c r="R83" s="460"/>
      <c r="S83" s="305"/>
      <c r="T83" s="460"/>
      <c r="U83" s="288"/>
      <c r="V83" s="460"/>
      <c r="W83" s="288"/>
      <c r="X83" s="1084"/>
      <c r="Y83" s="1085"/>
      <c r="Z83" s="1085"/>
      <c r="AA83" s="185"/>
      <c r="AB83" s="412" t="s">
        <v>106</v>
      </c>
      <c r="AC83" s="408" t="s">
        <v>107</v>
      </c>
      <c r="AD83" s="408" t="s">
        <v>108</v>
      </c>
      <c r="AE83" s="408" t="s">
        <v>109</v>
      </c>
      <c r="AF83" s="408" t="s">
        <v>110</v>
      </c>
      <c r="AG83" s="413" t="s">
        <v>111</v>
      </c>
      <c r="AH83" s="408" t="s">
        <v>112</v>
      </c>
    </row>
    <row r="84" spans="1:34" ht="12.6" customHeight="1" x14ac:dyDescent="0.25">
      <c r="A84" s="18"/>
      <c r="B84" s="711" t="s">
        <v>113</v>
      </c>
      <c r="C84" s="712"/>
      <c r="D84" s="712"/>
      <c r="E84" s="1075"/>
      <c r="F84" s="1092"/>
      <c r="G84" s="1091"/>
      <c r="H84" s="1091"/>
      <c r="I84" s="1091"/>
      <c r="J84" s="262"/>
      <c r="K84" s="281"/>
      <c r="L84" s="496"/>
      <c r="M84" s="287"/>
      <c r="N84" s="602"/>
      <c r="O84" s="312"/>
      <c r="P84" s="320"/>
      <c r="Q84" s="307"/>
      <c r="R84" s="602"/>
      <c r="S84" s="255"/>
      <c r="T84" s="602"/>
      <c r="U84" s="287"/>
      <c r="V84" s="602"/>
      <c r="W84" s="287"/>
      <c r="X84" s="1084"/>
      <c r="Y84" s="1085"/>
      <c r="Z84" s="1085"/>
      <c r="AA84" s="185"/>
      <c r="AB84" s="412" t="s">
        <v>114</v>
      </c>
      <c r="AC84" s="414" t="s">
        <v>115</v>
      </c>
      <c r="AD84" s="414" t="s">
        <v>116</v>
      </c>
      <c r="AE84" s="414" t="s">
        <v>117</v>
      </c>
      <c r="AF84" s="414" t="s">
        <v>118</v>
      </c>
      <c r="AG84" s="30"/>
    </row>
    <row r="85" spans="1:34" ht="12.6" customHeight="1" x14ac:dyDescent="0.2">
      <c r="A85" s="18"/>
      <c r="B85" s="689" t="s">
        <v>119</v>
      </c>
      <c r="C85" s="690"/>
      <c r="D85" s="690"/>
      <c r="E85" s="1074"/>
      <c r="F85" s="1092"/>
      <c r="G85" s="1091"/>
      <c r="H85" s="1091"/>
      <c r="I85" s="1091"/>
      <c r="J85" s="262"/>
      <c r="K85" s="280"/>
      <c r="L85" s="302"/>
      <c r="M85" s="288"/>
      <c r="N85" s="460"/>
      <c r="O85" s="311"/>
      <c r="P85" s="282"/>
      <c r="Q85" s="340"/>
      <c r="R85" s="460"/>
      <c r="S85" s="305"/>
      <c r="T85" s="460"/>
      <c r="U85" s="288"/>
      <c r="V85" s="460"/>
      <c r="W85" s="288"/>
      <c r="X85" s="148"/>
      <c r="Y85" s="148"/>
      <c r="Z85" s="148"/>
      <c r="AA85" s="148"/>
      <c r="AB85" s="31" t="s">
        <v>120</v>
      </c>
      <c r="AC85" s="408" t="s">
        <v>121</v>
      </c>
      <c r="AD85" s="408" t="s">
        <v>122</v>
      </c>
      <c r="AE85" s="408" t="s">
        <v>123</v>
      </c>
      <c r="AF85" s="408" t="s">
        <v>124</v>
      </c>
      <c r="AG85" s="408" t="s">
        <v>125</v>
      </c>
    </row>
    <row r="86" spans="1:34" ht="12.6" customHeight="1" x14ac:dyDescent="0.2">
      <c r="A86" s="18"/>
      <c r="B86" s="711" t="s">
        <v>126</v>
      </c>
      <c r="C86" s="712"/>
      <c r="D86" s="712"/>
      <c r="E86" s="1075"/>
      <c r="F86" s="1092"/>
      <c r="G86" s="1091"/>
      <c r="H86" s="1091"/>
      <c r="I86" s="1091"/>
      <c r="J86" s="262"/>
      <c r="K86" s="281"/>
      <c r="L86" s="496"/>
      <c r="M86" s="287"/>
      <c r="N86" s="602"/>
      <c r="O86" s="312"/>
      <c r="P86" s="320"/>
      <c r="Q86" s="307"/>
      <c r="R86" s="602"/>
      <c r="S86" s="255"/>
      <c r="T86" s="602"/>
      <c r="U86" s="287"/>
      <c r="V86" s="602"/>
      <c r="W86" s="287"/>
      <c r="X86" s="148"/>
      <c r="Y86" s="148"/>
      <c r="Z86" s="148"/>
      <c r="AA86" s="148"/>
      <c r="AB86" s="31" t="s">
        <v>127</v>
      </c>
      <c r="AC86" s="414" t="s">
        <v>128</v>
      </c>
      <c r="AD86" s="414" t="s">
        <v>129</v>
      </c>
      <c r="AE86" s="414" t="s">
        <v>130</v>
      </c>
    </row>
    <row r="87" spans="1:34" ht="12.6" customHeight="1" x14ac:dyDescent="0.25">
      <c r="A87" s="18"/>
      <c r="B87" s="689" t="s">
        <v>131</v>
      </c>
      <c r="C87" s="690"/>
      <c r="D87" s="690"/>
      <c r="E87" s="1074"/>
      <c r="F87" s="1092"/>
      <c r="G87" s="1091"/>
      <c r="H87" s="1091"/>
      <c r="I87" s="1091"/>
      <c r="J87" s="260"/>
      <c r="K87" s="280"/>
      <c r="L87" s="302"/>
      <c r="M87" s="288"/>
      <c r="N87" s="460"/>
      <c r="O87" s="311"/>
      <c r="P87" s="282"/>
      <c r="Q87" s="340"/>
      <c r="R87" s="460"/>
      <c r="S87" s="305"/>
      <c r="T87" s="460"/>
      <c r="U87" s="288"/>
      <c r="V87" s="460"/>
      <c r="W87" s="288"/>
      <c r="X87" s="1084"/>
      <c r="Y87" s="1085"/>
      <c r="Z87" s="1085"/>
      <c r="AA87" s="185"/>
      <c r="AB87" s="31" t="s">
        <v>132</v>
      </c>
      <c r="AC87" s="408" t="s">
        <v>133</v>
      </c>
      <c r="AD87" s="408" t="s">
        <v>134</v>
      </c>
      <c r="AE87" s="408" t="s">
        <v>135</v>
      </c>
      <c r="AF87" s="408" t="s">
        <v>136</v>
      </c>
      <c r="AG87" s="408" t="s">
        <v>137</v>
      </c>
      <c r="AH87" s="408" t="s">
        <v>138</v>
      </c>
    </row>
    <row r="88" spans="1:34" ht="12.6" customHeight="1" x14ac:dyDescent="0.25">
      <c r="A88" s="18"/>
      <c r="B88" s="711" t="s">
        <v>139</v>
      </c>
      <c r="C88" s="712"/>
      <c r="D88" s="712"/>
      <c r="E88" s="1075"/>
      <c r="F88" s="1092"/>
      <c r="G88" s="1091"/>
      <c r="H88" s="1091"/>
      <c r="I88" s="1091"/>
      <c r="J88" s="262"/>
      <c r="K88" s="281"/>
      <c r="L88" s="496"/>
      <c r="M88" s="287"/>
      <c r="N88" s="602"/>
      <c r="O88" s="312"/>
      <c r="P88" s="320"/>
      <c r="Q88" s="307"/>
      <c r="R88" s="602"/>
      <c r="S88" s="255"/>
      <c r="T88" s="602"/>
      <c r="U88" s="287"/>
      <c r="V88" s="602"/>
      <c r="W88" s="287"/>
      <c r="X88" s="1084"/>
      <c r="Y88" s="1085"/>
      <c r="Z88" s="1085"/>
      <c r="AA88" s="185"/>
      <c r="AB88" s="410" t="s">
        <v>140</v>
      </c>
      <c r="AC88" s="64"/>
      <c r="AD88" s="64"/>
      <c r="AE88" s="64"/>
      <c r="AF88" s="64"/>
      <c r="AG88" s="64"/>
    </row>
    <row r="89" spans="1:34" ht="12.6" customHeight="1" x14ac:dyDescent="0.2">
      <c r="A89" s="18"/>
      <c r="B89" s="689" t="s">
        <v>141</v>
      </c>
      <c r="C89" s="690"/>
      <c r="D89" s="690"/>
      <c r="E89" s="1074"/>
      <c r="F89" s="1092"/>
      <c r="G89" s="1091"/>
      <c r="H89" s="1091"/>
      <c r="I89" s="1091"/>
      <c r="J89" s="260"/>
      <c r="K89" s="280"/>
      <c r="L89" s="302"/>
      <c r="M89" s="288"/>
      <c r="N89" s="460"/>
      <c r="O89" s="311"/>
      <c r="P89" s="282"/>
      <c r="Q89" s="340"/>
      <c r="R89" s="460"/>
      <c r="S89" s="305"/>
      <c r="T89" s="460"/>
      <c r="U89" s="288"/>
      <c r="V89" s="460"/>
      <c r="W89" s="288"/>
      <c r="X89" s="147"/>
      <c r="Y89" s="147"/>
      <c r="Z89" s="147"/>
      <c r="AA89" s="147"/>
      <c r="AB89" s="408" t="s">
        <v>142</v>
      </c>
      <c r="AC89" s="64"/>
      <c r="AD89" s="64"/>
      <c r="AE89" s="64"/>
      <c r="AF89" s="64"/>
      <c r="AG89" s="64"/>
    </row>
    <row r="90" spans="1:34" ht="12.6" customHeight="1" x14ac:dyDescent="0.2">
      <c r="A90" s="18"/>
      <c r="B90" s="711" t="s">
        <v>143</v>
      </c>
      <c r="C90" s="712"/>
      <c r="D90" s="712"/>
      <c r="E90" s="1075"/>
      <c r="F90" s="1092"/>
      <c r="G90" s="1091"/>
      <c r="H90" s="1091"/>
      <c r="I90" s="1091"/>
      <c r="J90" s="262"/>
      <c r="K90" s="281"/>
      <c r="L90" s="496"/>
      <c r="M90" s="287"/>
      <c r="N90" s="602"/>
      <c r="O90" s="312"/>
      <c r="P90" s="320"/>
      <c r="Q90" s="312"/>
      <c r="R90" s="602"/>
      <c r="S90" s="312"/>
      <c r="T90" s="602"/>
      <c r="U90" s="287"/>
      <c r="V90" s="602"/>
      <c r="W90" s="287"/>
      <c r="X90" s="147"/>
      <c r="Y90" s="147"/>
      <c r="Z90" s="147"/>
      <c r="AA90" s="147"/>
      <c r="AB90" s="408" t="s">
        <v>144</v>
      </c>
      <c r="AC90" s="64"/>
      <c r="AD90" s="64"/>
      <c r="AE90" s="64"/>
      <c r="AF90" s="64"/>
      <c r="AG90" s="64"/>
    </row>
    <row r="91" spans="1:34" ht="12.6" customHeight="1" x14ac:dyDescent="0.2">
      <c r="A91" s="18"/>
      <c r="B91" s="689" t="s">
        <v>145</v>
      </c>
      <c r="C91" s="690"/>
      <c r="D91" s="690"/>
      <c r="E91" s="1074"/>
      <c r="F91" s="1093"/>
      <c r="G91" s="1094"/>
      <c r="H91" s="1094"/>
      <c r="I91" s="1094"/>
      <c r="J91" s="260"/>
      <c r="K91" s="280"/>
      <c r="L91" s="302"/>
      <c r="M91" s="288"/>
      <c r="N91" s="460"/>
      <c r="O91" s="353"/>
      <c r="P91" s="282"/>
      <c r="Q91" s="340"/>
      <c r="R91" s="95"/>
      <c r="S91" s="348"/>
      <c r="T91" s="460"/>
      <c r="U91" s="288"/>
      <c r="V91" s="460"/>
      <c r="W91" s="288"/>
      <c r="X91" s="131"/>
      <c r="Y91" s="131"/>
      <c r="Z91" s="131"/>
      <c r="AA91" s="131"/>
      <c r="AB91" s="411" t="s">
        <v>146</v>
      </c>
      <c r="AC91" s="408" t="s">
        <v>147</v>
      </c>
      <c r="AD91" s="408" t="s">
        <v>148</v>
      </c>
      <c r="AE91" s="408" t="s">
        <v>149</v>
      </c>
      <c r="AF91" s="408" t="s">
        <v>150</v>
      </c>
      <c r="AG91" s="408" t="s">
        <v>151</v>
      </c>
    </row>
    <row r="92" spans="1:34" ht="12.6" customHeight="1" x14ac:dyDescent="0.2">
      <c r="A92" s="18"/>
      <c r="B92" s="711" t="s">
        <v>471</v>
      </c>
      <c r="C92" s="712"/>
      <c r="D92" s="712"/>
      <c r="E92" s="712"/>
      <c r="F92" s="287"/>
      <c r="G92" s="307"/>
      <c r="H92" s="262"/>
      <c r="I92" s="610"/>
      <c r="J92" s="602"/>
      <c r="K92" s="287"/>
      <c r="L92" s="602"/>
      <c r="M92" s="287"/>
      <c r="N92" s="602"/>
      <c r="O92" s="287"/>
      <c r="P92" s="602"/>
      <c r="Q92" s="287"/>
      <c r="R92" s="602"/>
      <c r="S92" s="287"/>
      <c r="T92" s="602"/>
      <c r="U92" s="287"/>
      <c r="V92" s="71"/>
      <c r="W92" s="346"/>
      <c r="X92" s="158"/>
      <c r="Y92" s="134"/>
      <c r="Z92" s="134"/>
      <c r="AA92" s="137"/>
      <c r="AB92" s="409">
        <v>117</v>
      </c>
    </row>
    <row r="93" spans="1:34" ht="12.6" customHeight="1" x14ac:dyDescent="0.2">
      <c r="A93" s="18"/>
      <c r="B93" s="680" t="s">
        <v>489</v>
      </c>
      <c r="C93" s="691"/>
      <c r="D93" s="691"/>
      <c r="E93" s="692"/>
      <c r="F93" s="288"/>
      <c r="G93" s="340"/>
      <c r="H93" s="260"/>
      <c r="I93" s="280"/>
      <c r="J93" s="460"/>
      <c r="K93" s="288"/>
      <c r="L93" s="460"/>
      <c r="M93" s="288"/>
      <c r="N93" s="460"/>
      <c r="O93" s="288"/>
      <c r="P93" s="460"/>
      <c r="Q93" s="288"/>
      <c r="R93" s="460"/>
      <c r="S93" s="288"/>
      <c r="T93" s="460"/>
      <c r="U93" s="288"/>
      <c r="V93" s="89"/>
      <c r="W93" s="345"/>
      <c r="X93" s="158"/>
      <c r="Y93" s="134"/>
      <c r="Z93" s="134"/>
      <c r="AA93" s="137"/>
      <c r="AB93" s="409"/>
    </row>
    <row r="94" spans="1:34" ht="12.6" customHeight="1" x14ac:dyDescent="0.2">
      <c r="A94" s="18"/>
      <c r="B94" s="711" t="s">
        <v>472</v>
      </c>
      <c r="C94" s="712"/>
      <c r="D94" s="712"/>
      <c r="E94" s="712"/>
      <c r="F94" s="287"/>
      <c r="G94" s="307"/>
      <c r="H94" s="262"/>
      <c r="I94" s="281"/>
      <c r="J94" s="602"/>
      <c r="K94" s="287"/>
      <c r="L94" s="602"/>
      <c r="M94" s="287"/>
      <c r="N94" s="602"/>
      <c r="O94" s="287"/>
      <c r="P94" s="602"/>
      <c r="Q94" s="287"/>
      <c r="R94" s="602"/>
      <c r="S94" s="287"/>
      <c r="T94" s="602"/>
      <c r="U94" s="287"/>
      <c r="V94" s="71"/>
      <c r="W94" s="346"/>
      <c r="X94" s="158"/>
      <c r="Y94" s="134"/>
      <c r="Z94" s="134"/>
      <c r="AA94" s="137"/>
      <c r="AB94" s="409">
        <v>129</v>
      </c>
    </row>
    <row r="95" spans="1:34" ht="12.6" customHeight="1" x14ac:dyDescent="0.2">
      <c r="A95" s="104"/>
      <c r="B95" s="1065" t="s">
        <v>391</v>
      </c>
      <c r="C95" s="874"/>
      <c r="D95" s="874"/>
      <c r="E95" s="874"/>
      <c r="F95" s="545">
        <v>480</v>
      </c>
      <c r="G95" s="554">
        <f t="shared" ref="G95:G100" si="162">+F95*$X$1</f>
        <v>480</v>
      </c>
      <c r="H95" s="555"/>
      <c r="I95" s="547"/>
      <c r="J95" s="556">
        <f>F95+180</f>
        <v>660</v>
      </c>
      <c r="K95" s="557">
        <f>+J95*$X$1</f>
        <v>660</v>
      </c>
      <c r="L95" s="558">
        <f>F95+120</f>
        <v>600</v>
      </c>
      <c r="M95" s="557">
        <f t="shared" ref="M95:M97" si="163">+L95*$X$1</f>
        <v>600</v>
      </c>
      <c r="N95" s="559">
        <f>F95+7.2</f>
        <v>487.2</v>
      </c>
      <c r="O95" s="1086" t="s">
        <v>152</v>
      </c>
      <c r="P95" s="1087"/>
      <c r="Q95" s="1087"/>
      <c r="R95" s="1087"/>
      <c r="S95" s="1087"/>
      <c r="T95" s="1087"/>
      <c r="U95" s="1087"/>
      <c r="V95" s="1087"/>
      <c r="W95" s="1087"/>
      <c r="X95" s="159"/>
      <c r="Y95" s="134"/>
      <c r="Z95" s="134"/>
      <c r="AA95" s="137"/>
      <c r="AB95" s="415">
        <v>247</v>
      </c>
    </row>
    <row r="96" spans="1:34" ht="12.6" customHeight="1" x14ac:dyDescent="0.2">
      <c r="A96" s="97"/>
      <c r="B96" s="680" t="s">
        <v>503</v>
      </c>
      <c r="C96" s="691"/>
      <c r="D96" s="691"/>
      <c r="E96" s="692"/>
      <c r="F96" s="381">
        <f>2.631*X2</f>
        <v>2802.0149999999999</v>
      </c>
      <c r="G96" s="311">
        <f>+F96*$X$1</f>
        <v>2802.0149999999999</v>
      </c>
      <c r="H96" s="280"/>
      <c r="I96" s="280"/>
      <c r="J96" s="460">
        <f>F96+180</f>
        <v>2982.0149999999999</v>
      </c>
      <c r="K96" s="288">
        <f t="shared" ref="K96" si="164">+J96*$X$1</f>
        <v>2982.0149999999999</v>
      </c>
      <c r="L96" s="460">
        <f t="shared" ref="L96" si="165">F96+120</f>
        <v>2922.0149999999999</v>
      </c>
      <c r="M96" s="288">
        <f>+L96*$X$1</f>
        <v>2922.0149999999999</v>
      </c>
      <c r="N96" s="460">
        <f>F96+63</f>
        <v>2865.0149999999999</v>
      </c>
      <c r="O96" s="288">
        <f t="shared" ref="O96" si="166">+N96*$X$1</f>
        <v>2865.0149999999999</v>
      </c>
      <c r="P96" s="460">
        <f t="shared" ref="P96" si="167">F96+54</f>
        <v>2856.0149999999999</v>
      </c>
      <c r="Q96" s="288">
        <f>+P96*$X$1</f>
        <v>2856.0149999999999</v>
      </c>
      <c r="R96" s="460">
        <f>F96+45</f>
        <v>2847.0149999999999</v>
      </c>
      <c r="S96" s="288">
        <f t="shared" ref="S96" si="168">+R96*$X$1</f>
        <v>2847.0149999999999</v>
      </c>
      <c r="T96" s="102">
        <f>F96+37</f>
        <v>2839.0149999999999</v>
      </c>
      <c r="U96" s="305">
        <f t="shared" ref="U96" si="169">+T96*$X$1</f>
        <v>2839.0149999999999</v>
      </c>
      <c r="V96" s="102">
        <f>F96+32</f>
        <v>2834.0149999999999</v>
      </c>
      <c r="W96" s="305">
        <f>+V96*$X$1</f>
        <v>2834.0149999999999</v>
      </c>
      <c r="X96" s="159"/>
      <c r="Y96" s="134"/>
      <c r="Z96" s="134"/>
      <c r="AA96" s="137"/>
      <c r="AB96" s="415">
        <v>249</v>
      </c>
    </row>
    <row r="97" spans="1:29" ht="12.6" customHeight="1" x14ac:dyDescent="0.2">
      <c r="A97" s="104"/>
      <c r="B97" s="721" t="s">
        <v>390</v>
      </c>
      <c r="C97" s="722"/>
      <c r="D97" s="722"/>
      <c r="E97" s="722"/>
      <c r="F97" s="546">
        <v>80</v>
      </c>
      <c r="G97" s="552">
        <f t="shared" si="162"/>
        <v>80</v>
      </c>
      <c r="H97" s="553"/>
      <c r="I97" s="553"/>
      <c r="J97" s="549">
        <f>F97+200</f>
        <v>280</v>
      </c>
      <c r="K97" s="546">
        <f t="shared" ref="K97" si="170">+J97*$X$1</f>
        <v>280</v>
      </c>
      <c r="L97" s="548">
        <f>F97+140</f>
        <v>220</v>
      </c>
      <c r="M97" s="546">
        <f t="shared" si="163"/>
        <v>220</v>
      </c>
      <c r="N97" s="548">
        <f>F97+90</f>
        <v>170</v>
      </c>
      <c r="O97" s="546">
        <f t="shared" ref="O97" si="171">+N97*$X$1</f>
        <v>170</v>
      </c>
      <c r="P97" s="548">
        <f>F97+80</f>
        <v>160</v>
      </c>
      <c r="Q97" s="546">
        <f t="shared" ref="Q97" si="172">+P97*$X$1</f>
        <v>160</v>
      </c>
      <c r="R97" s="548">
        <f>F97+70</f>
        <v>150</v>
      </c>
      <c r="S97" s="546">
        <f t="shared" ref="S97" si="173">+R97*$X$1</f>
        <v>150</v>
      </c>
      <c r="T97" s="548">
        <f>F97+65</f>
        <v>145</v>
      </c>
      <c r="U97" s="546">
        <f t="shared" ref="U97" si="174">+T97*$X$1</f>
        <v>145</v>
      </c>
      <c r="V97" s="548">
        <f>F97+60</f>
        <v>140</v>
      </c>
      <c r="W97" s="546">
        <f t="shared" ref="W97" si="175">+V97*$X$1</f>
        <v>140</v>
      </c>
      <c r="X97" s="160"/>
      <c r="Y97" s="134"/>
      <c r="Z97" s="134"/>
      <c r="AA97" s="137"/>
      <c r="AB97" s="416">
        <v>251</v>
      </c>
    </row>
    <row r="98" spans="1:29" ht="12.6" customHeight="1" x14ac:dyDescent="0.2">
      <c r="A98" s="18"/>
      <c r="B98" s="689" t="s">
        <v>361</v>
      </c>
      <c r="C98" s="690"/>
      <c r="D98" s="690"/>
      <c r="E98" s="690"/>
      <c r="F98" s="288">
        <v>690</v>
      </c>
      <c r="G98" s="288">
        <f t="shared" si="162"/>
        <v>690</v>
      </c>
      <c r="H98" s="280"/>
      <c r="I98" s="280"/>
      <c r="J98" s="115">
        <f t="shared" ref="J98" si="176">F98+150</f>
        <v>840</v>
      </c>
      <c r="K98" s="288">
        <f t="shared" ref="K98:K104" si="177">+J98*$X$1</f>
        <v>840</v>
      </c>
      <c r="L98" s="460"/>
      <c r="M98" s="460"/>
      <c r="N98" s="460">
        <f>F98+23</f>
        <v>713</v>
      </c>
      <c r="O98" s="460"/>
      <c r="P98" s="280"/>
      <c r="Q98" s="280"/>
      <c r="R98" s="460">
        <f>F98+15</f>
        <v>705</v>
      </c>
      <c r="S98" s="460"/>
      <c r="T98" s="460">
        <f>F98+12</f>
        <v>702</v>
      </c>
      <c r="U98" s="460"/>
      <c r="V98" s="460">
        <f>F98+10</f>
        <v>700</v>
      </c>
      <c r="W98" s="460"/>
      <c r="X98" s="160"/>
      <c r="Y98" s="134"/>
      <c r="Z98" s="134"/>
      <c r="AA98" s="137"/>
      <c r="AB98" s="416" t="s">
        <v>153</v>
      </c>
    </row>
    <row r="99" spans="1:29" ht="12.6" customHeight="1" x14ac:dyDescent="0.2">
      <c r="A99" s="18"/>
      <c r="B99" s="683" t="s">
        <v>493</v>
      </c>
      <c r="C99" s="737"/>
      <c r="D99" s="737"/>
      <c r="E99" s="738"/>
      <c r="F99" s="380">
        <f>12.04*X2</f>
        <v>12822.599999999999</v>
      </c>
      <c r="G99" s="287">
        <f t="shared" si="162"/>
        <v>12822.599999999999</v>
      </c>
      <c r="H99" s="664">
        <f>F99+500</f>
        <v>13322.599999999999</v>
      </c>
      <c r="I99" s="287">
        <f t="shared" ref="I99:I104" si="178">+H99*$X$1</f>
        <v>13322.599999999999</v>
      </c>
      <c r="J99" s="664">
        <f t="shared" ref="J99:J105" si="179">F99+180</f>
        <v>13002.599999999999</v>
      </c>
      <c r="K99" s="287">
        <f t="shared" si="177"/>
        <v>13002.599999999999</v>
      </c>
      <c r="L99" s="664">
        <f t="shared" ref="L99:L104" si="180">F99+120</f>
        <v>12942.599999999999</v>
      </c>
      <c r="M99" s="287">
        <f t="shared" ref="M99:M105" si="181">+L99*$X$1</f>
        <v>12942.599999999999</v>
      </c>
      <c r="N99" s="664">
        <f t="shared" ref="N99:N105" si="182">F99+65</f>
        <v>12887.599999999999</v>
      </c>
      <c r="O99" s="287">
        <f t="shared" ref="O99:O104" si="183">+N99*$X$1</f>
        <v>12887.599999999999</v>
      </c>
      <c r="P99" s="664">
        <f t="shared" ref="P99:P104" si="184">F99+54</f>
        <v>12876.599999999999</v>
      </c>
      <c r="Q99" s="287">
        <f t="shared" ref="Q99:Q105" si="185">+P99*$X$1</f>
        <v>12876.599999999999</v>
      </c>
      <c r="R99" s="664">
        <f t="shared" ref="R99:R105" si="186">F99+45</f>
        <v>12867.599999999999</v>
      </c>
      <c r="S99" s="287">
        <f t="shared" ref="S99:S104" si="187">+R99*$X$1</f>
        <v>12867.599999999999</v>
      </c>
      <c r="T99" s="103">
        <f t="shared" ref="T99:T105" si="188">F99+37</f>
        <v>12859.599999999999</v>
      </c>
      <c r="U99" s="255">
        <f t="shared" ref="U99:U104" si="189">+T99*$X$1</f>
        <v>12859.599999999999</v>
      </c>
      <c r="V99" s="103">
        <f t="shared" ref="V99:V105" si="190">F99+32</f>
        <v>12854.599999999999</v>
      </c>
      <c r="W99" s="255">
        <f t="shared" ref="W99:W105" si="191">+V99*$X$1</f>
        <v>12854.599999999999</v>
      </c>
      <c r="X99" s="161"/>
      <c r="Y99" s="134"/>
      <c r="Z99" s="134"/>
      <c r="AA99" s="137"/>
      <c r="AB99" s="416">
        <v>268</v>
      </c>
    </row>
    <row r="100" spans="1:29" ht="12.6" customHeight="1" x14ac:dyDescent="0.2">
      <c r="A100" s="18"/>
      <c r="B100" s="689" t="s">
        <v>664</v>
      </c>
      <c r="C100" s="690"/>
      <c r="D100" s="690"/>
      <c r="E100" s="690"/>
      <c r="F100" s="381">
        <f>4.49*X2</f>
        <v>4781.8500000000004</v>
      </c>
      <c r="G100" s="288">
        <f t="shared" si="162"/>
        <v>4781.8500000000004</v>
      </c>
      <c r="H100" s="460">
        <f t="shared" ref="H100:H104" si="192">F100+500</f>
        <v>5281.85</v>
      </c>
      <c r="I100" s="288">
        <f t="shared" si="178"/>
        <v>5281.85</v>
      </c>
      <c r="J100" s="460">
        <f t="shared" si="179"/>
        <v>4961.8500000000004</v>
      </c>
      <c r="K100" s="288">
        <f t="shared" si="177"/>
        <v>4961.8500000000004</v>
      </c>
      <c r="L100" s="460">
        <f t="shared" si="180"/>
        <v>4901.8500000000004</v>
      </c>
      <c r="M100" s="288">
        <f t="shared" si="181"/>
        <v>4901.8500000000004</v>
      </c>
      <c r="N100" s="460">
        <f t="shared" si="182"/>
        <v>4846.8500000000004</v>
      </c>
      <c r="O100" s="288">
        <f t="shared" si="183"/>
        <v>4846.8500000000004</v>
      </c>
      <c r="P100" s="460">
        <f t="shared" si="184"/>
        <v>4835.8500000000004</v>
      </c>
      <c r="Q100" s="288">
        <f t="shared" si="185"/>
        <v>4835.8500000000004</v>
      </c>
      <c r="R100" s="460">
        <f t="shared" si="186"/>
        <v>4826.8500000000004</v>
      </c>
      <c r="S100" s="288">
        <f t="shared" si="187"/>
        <v>4826.8500000000004</v>
      </c>
      <c r="T100" s="102">
        <f t="shared" si="188"/>
        <v>4818.8500000000004</v>
      </c>
      <c r="U100" s="305">
        <f t="shared" si="189"/>
        <v>4818.8500000000004</v>
      </c>
      <c r="V100" s="102">
        <f t="shared" si="190"/>
        <v>4813.8500000000004</v>
      </c>
      <c r="W100" s="305">
        <f t="shared" si="191"/>
        <v>4813.8500000000004</v>
      </c>
      <c r="X100" s="161"/>
      <c r="Y100" s="138"/>
      <c r="Z100" s="134"/>
      <c r="AA100" s="137"/>
      <c r="AB100" s="416">
        <v>270</v>
      </c>
      <c r="AC100" s="30"/>
    </row>
    <row r="101" spans="1:29" ht="12.6" customHeight="1" x14ac:dyDescent="0.2">
      <c r="A101" s="18"/>
      <c r="B101" s="711" t="s">
        <v>154</v>
      </c>
      <c r="C101" s="712"/>
      <c r="D101" s="712"/>
      <c r="E101" s="712"/>
      <c r="F101" s="380">
        <f>13.1*X2</f>
        <v>13951.5</v>
      </c>
      <c r="G101" s="287">
        <f t="shared" ref="G101:G102" si="193">+F101*$X$1</f>
        <v>13951.5</v>
      </c>
      <c r="H101" s="664">
        <f t="shared" si="192"/>
        <v>14451.5</v>
      </c>
      <c r="I101" s="287">
        <f t="shared" si="178"/>
        <v>14451.5</v>
      </c>
      <c r="J101" s="664">
        <f t="shared" si="179"/>
        <v>14131.5</v>
      </c>
      <c r="K101" s="287">
        <f t="shared" si="177"/>
        <v>14131.5</v>
      </c>
      <c r="L101" s="664">
        <f t="shared" si="180"/>
        <v>14071.5</v>
      </c>
      <c r="M101" s="287">
        <f t="shared" si="181"/>
        <v>14071.5</v>
      </c>
      <c r="N101" s="664">
        <f t="shared" si="182"/>
        <v>14016.5</v>
      </c>
      <c r="O101" s="287">
        <f t="shared" si="183"/>
        <v>14016.5</v>
      </c>
      <c r="P101" s="664">
        <f t="shared" si="184"/>
        <v>14005.5</v>
      </c>
      <c r="Q101" s="287">
        <f t="shared" si="185"/>
        <v>14005.5</v>
      </c>
      <c r="R101" s="664">
        <f t="shared" si="186"/>
        <v>13996.5</v>
      </c>
      <c r="S101" s="287">
        <f t="shared" si="187"/>
        <v>13996.5</v>
      </c>
      <c r="T101" s="103">
        <f t="shared" si="188"/>
        <v>13988.5</v>
      </c>
      <c r="U101" s="255">
        <f t="shared" si="189"/>
        <v>13988.5</v>
      </c>
      <c r="V101" s="103">
        <f t="shared" si="190"/>
        <v>13983.5</v>
      </c>
      <c r="W101" s="255">
        <f t="shared" si="191"/>
        <v>13983.5</v>
      </c>
      <c r="X101" s="160"/>
      <c r="Y101" s="134"/>
      <c r="Z101" s="134"/>
      <c r="AA101" s="137"/>
      <c r="AB101" s="416">
        <v>273</v>
      </c>
      <c r="AC101" s="30"/>
    </row>
    <row r="102" spans="1:29" ht="12.6" customHeight="1" x14ac:dyDescent="0.2">
      <c r="A102" s="18"/>
      <c r="B102" s="689" t="s">
        <v>155</v>
      </c>
      <c r="C102" s="690"/>
      <c r="D102" s="690"/>
      <c r="E102" s="690"/>
      <c r="F102" s="381">
        <f>8.7*X2</f>
        <v>9265.5</v>
      </c>
      <c r="G102" s="288">
        <f t="shared" si="193"/>
        <v>9265.5</v>
      </c>
      <c r="H102" s="460">
        <f t="shared" si="192"/>
        <v>9765.5</v>
      </c>
      <c r="I102" s="288">
        <f t="shared" si="178"/>
        <v>9765.5</v>
      </c>
      <c r="J102" s="460">
        <f t="shared" si="179"/>
        <v>9445.5</v>
      </c>
      <c r="K102" s="288">
        <f t="shared" si="177"/>
        <v>9445.5</v>
      </c>
      <c r="L102" s="460">
        <f t="shared" si="180"/>
        <v>9385.5</v>
      </c>
      <c r="M102" s="288">
        <f t="shared" si="181"/>
        <v>9385.5</v>
      </c>
      <c r="N102" s="460">
        <f t="shared" si="182"/>
        <v>9330.5</v>
      </c>
      <c r="O102" s="288">
        <f t="shared" si="183"/>
        <v>9330.5</v>
      </c>
      <c r="P102" s="460">
        <f t="shared" si="184"/>
        <v>9319.5</v>
      </c>
      <c r="Q102" s="288">
        <f t="shared" si="185"/>
        <v>9319.5</v>
      </c>
      <c r="R102" s="460">
        <f t="shared" si="186"/>
        <v>9310.5</v>
      </c>
      <c r="S102" s="288">
        <f t="shared" si="187"/>
        <v>9310.5</v>
      </c>
      <c r="T102" s="102">
        <f t="shared" si="188"/>
        <v>9302.5</v>
      </c>
      <c r="U102" s="305">
        <f t="shared" si="189"/>
        <v>9302.5</v>
      </c>
      <c r="V102" s="102">
        <f t="shared" si="190"/>
        <v>9297.5</v>
      </c>
      <c r="W102" s="305">
        <f t="shared" si="191"/>
        <v>9297.5</v>
      </c>
      <c r="X102" s="161"/>
      <c r="Y102" s="138"/>
      <c r="Z102" s="134"/>
      <c r="AA102" s="137"/>
      <c r="AB102" s="416">
        <v>278</v>
      </c>
      <c r="AC102" s="30"/>
    </row>
    <row r="103" spans="1:29" ht="12.6" customHeight="1" x14ac:dyDescent="0.2">
      <c r="A103" s="18"/>
      <c r="B103" s="695" t="s">
        <v>979</v>
      </c>
      <c r="C103" s="696"/>
      <c r="D103" s="696"/>
      <c r="E103" s="696"/>
      <c r="F103" s="380">
        <f>1.55*X2</f>
        <v>1650.75</v>
      </c>
      <c r="G103" s="287">
        <f>+F103*$X$1</f>
        <v>1650.75</v>
      </c>
      <c r="H103" s="71"/>
      <c r="I103" s="287"/>
      <c r="J103" s="664">
        <f t="shared" ref="J103" si="194">F103+180</f>
        <v>1830.75</v>
      </c>
      <c r="K103" s="287">
        <f t="shared" si="177"/>
        <v>1830.75</v>
      </c>
      <c r="L103" s="664">
        <f t="shared" si="180"/>
        <v>1770.75</v>
      </c>
      <c r="M103" s="287">
        <f t="shared" ref="M103" si="195">+L103*$X$1</f>
        <v>1770.75</v>
      </c>
      <c r="N103" s="664">
        <f t="shared" ref="N103" si="196">F103+65</f>
        <v>1715.75</v>
      </c>
      <c r="O103" s="287">
        <f t="shared" si="183"/>
        <v>1715.75</v>
      </c>
      <c r="P103" s="664">
        <f t="shared" si="184"/>
        <v>1704.75</v>
      </c>
      <c r="Q103" s="287">
        <f t="shared" ref="Q103" si="197">+P103*$X$1</f>
        <v>1704.75</v>
      </c>
      <c r="R103" s="664">
        <f t="shared" ref="R103" si="198">F103+45</f>
        <v>1695.75</v>
      </c>
      <c r="S103" s="287">
        <f>+R103*$X$1</f>
        <v>1695.75</v>
      </c>
      <c r="T103" s="103">
        <f t="shared" ref="T103" si="199">F103+37</f>
        <v>1687.75</v>
      </c>
      <c r="U103" s="255">
        <f>+T103*$X$1</f>
        <v>1687.75</v>
      </c>
      <c r="V103" s="103">
        <f t="shared" ref="V103" si="200">F103+32</f>
        <v>1682.75</v>
      </c>
      <c r="W103" s="255">
        <f t="shared" ref="W103" si="201">+V103*$X$1</f>
        <v>1682.75</v>
      </c>
      <c r="X103" s="158"/>
      <c r="Y103" s="138"/>
      <c r="Z103" s="134"/>
      <c r="AA103" s="137"/>
      <c r="AB103" s="416">
        <v>285</v>
      </c>
      <c r="AC103" s="30"/>
    </row>
    <row r="104" spans="1:29" ht="12.6" customHeight="1" x14ac:dyDescent="0.2">
      <c r="A104" s="18"/>
      <c r="B104" s="911" t="s">
        <v>156</v>
      </c>
      <c r="C104" s="1089"/>
      <c r="D104" s="1089"/>
      <c r="E104" s="1089"/>
      <c r="F104" s="381">
        <f>2.03*X2</f>
        <v>2161.9499999999998</v>
      </c>
      <c r="G104" s="288">
        <f>+F104*$X$1</f>
        <v>2161.9499999999998</v>
      </c>
      <c r="H104" s="460">
        <f t="shared" si="192"/>
        <v>2661.95</v>
      </c>
      <c r="I104" s="288">
        <f t="shared" si="178"/>
        <v>2661.95</v>
      </c>
      <c r="J104" s="460">
        <f t="shared" si="179"/>
        <v>2341.9499999999998</v>
      </c>
      <c r="K104" s="288">
        <f t="shared" si="177"/>
        <v>2341.9499999999998</v>
      </c>
      <c r="L104" s="460">
        <f t="shared" si="180"/>
        <v>2281.9499999999998</v>
      </c>
      <c r="M104" s="288">
        <f t="shared" si="181"/>
        <v>2281.9499999999998</v>
      </c>
      <c r="N104" s="460">
        <f t="shared" si="182"/>
        <v>2226.9499999999998</v>
      </c>
      <c r="O104" s="288">
        <f t="shared" si="183"/>
        <v>2226.9499999999998</v>
      </c>
      <c r="P104" s="460">
        <f t="shared" si="184"/>
        <v>2215.9499999999998</v>
      </c>
      <c r="Q104" s="288">
        <f t="shared" si="185"/>
        <v>2215.9499999999998</v>
      </c>
      <c r="R104" s="460">
        <f t="shared" si="186"/>
        <v>2206.9499999999998</v>
      </c>
      <c r="S104" s="288">
        <f t="shared" si="187"/>
        <v>2206.9499999999998</v>
      </c>
      <c r="T104" s="102">
        <f t="shared" si="188"/>
        <v>2198.9499999999998</v>
      </c>
      <c r="U104" s="305">
        <f t="shared" si="189"/>
        <v>2198.9499999999998</v>
      </c>
      <c r="V104" s="102">
        <f t="shared" si="190"/>
        <v>2193.9499999999998</v>
      </c>
      <c r="W104" s="305">
        <f t="shared" si="191"/>
        <v>2193.9499999999998</v>
      </c>
      <c r="X104" s="158"/>
      <c r="Y104" s="138"/>
      <c r="Z104" s="134"/>
      <c r="AA104" s="137"/>
      <c r="AB104" s="416">
        <v>288</v>
      </c>
      <c r="AC104" s="30"/>
    </row>
    <row r="105" spans="1:29" ht="12.6" customHeight="1" x14ac:dyDescent="0.2">
      <c r="A105" s="18"/>
      <c r="B105" s="711" t="s">
        <v>157</v>
      </c>
      <c r="C105" s="712"/>
      <c r="D105" s="712"/>
      <c r="E105" s="712"/>
      <c r="F105" s="287">
        <v>426</v>
      </c>
      <c r="G105" s="287">
        <f>+F105*$X$1</f>
        <v>426</v>
      </c>
      <c r="H105" s="71"/>
      <c r="I105" s="287"/>
      <c r="J105" s="602">
        <f t="shared" si="179"/>
        <v>606</v>
      </c>
      <c r="K105" s="287">
        <f t="shared" ref="K105" si="202">+J105*$X$1</f>
        <v>606</v>
      </c>
      <c r="L105" s="602">
        <f t="shared" ref="L105" si="203">F105+120</f>
        <v>546</v>
      </c>
      <c r="M105" s="287">
        <f t="shared" si="181"/>
        <v>546</v>
      </c>
      <c r="N105" s="602">
        <f t="shared" si="182"/>
        <v>491</v>
      </c>
      <c r="O105" s="287">
        <f t="shared" ref="O105" si="204">+N105*$X$1</f>
        <v>491</v>
      </c>
      <c r="P105" s="602">
        <f t="shared" ref="P105" si="205">F105+54</f>
        <v>480</v>
      </c>
      <c r="Q105" s="287">
        <f t="shared" si="185"/>
        <v>480</v>
      </c>
      <c r="R105" s="602">
        <f t="shared" si="186"/>
        <v>471</v>
      </c>
      <c r="S105" s="287">
        <f>+R105*$X$1</f>
        <v>471</v>
      </c>
      <c r="T105" s="103">
        <f t="shared" si="188"/>
        <v>463</v>
      </c>
      <c r="U105" s="255">
        <f>+T105*$X$1</f>
        <v>463</v>
      </c>
      <c r="V105" s="103">
        <f t="shared" si="190"/>
        <v>458</v>
      </c>
      <c r="W105" s="255">
        <f t="shared" si="191"/>
        <v>458</v>
      </c>
      <c r="X105" s="158"/>
      <c r="Y105" s="138"/>
      <c r="Z105" s="134"/>
      <c r="AA105" s="137"/>
      <c r="AB105" s="416">
        <v>289</v>
      </c>
      <c r="AC105" s="30"/>
    </row>
    <row r="106" spans="1:29" ht="12.6" customHeight="1" x14ac:dyDescent="0.2">
      <c r="A106" s="18"/>
      <c r="B106" s="689" t="s">
        <v>158</v>
      </c>
      <c r="C106" s="690"/>
      <c r="D106" s="690"/>
      <c r="E106" s="690"/>
      <c r="F106" s="288"/>
      <c r="G106" s="1044" t="s">
        <v>586</v>
      </c>
      <c r="H106" s="1045"/>
      <c r="I106" s="1045"/>
      <c r="J106" s="1045"/>
      <c r="K106" s="1045"/>
      <c r="L106" s="1045"/>
      <c r="M106" s="1045"/>
      <c r="N106" s="1045"/>
      <c r="O106" s="1046"/>
      <c r="P106" s="282">
        <v>635</v>
      </c>
      <c r="Q106" s="288">
        <f t="shared" ref="Q106:Q109" si="206">+P106*$X$1</f>
        <v>635</v>
      </c>
      <c r="R106" s="113">
        <v>585</v>
      </c>
      <c r="S106" s="305">
        <f t="shared" ref="S106:S109" si="207">+R106*$X$1</f>
        <v>585</v>
      </c>
      <c r="T106" s="102">
        <v>551</v>
      </c>
      <c r="U106" s="305">
        <f t="shared" ref="U106:U109" si="208">+T106*$X$1</f>
        <v>551</v>
      </c>
      <c r="V106" s="102">
        <v>469</v>
      </c>
      <c r="W106" s="305">
        <f t="shared" ref="W106:W109" si="209">+V106*$X$1</f>
        <v>469</v>
      </c>
      <c r="X106" s="1041"/>
      <c r="Y106" s="1042"/>
      <c r="Z106" s="1042"/>
      <c r="AA106" s="1043"/>
      <c r="AB106" s="416">
        <v>290</v>
      </c>
    </row>
    <row r="107" spans="1:29" ht="12.6" customHeight="1" x14ac:dyDescent="0.2">
      <c r="A107" s="18"/>
      <c r="B107" s="711" t="s">
        <v>405</v>
      </c>
      <c r="C107" s="712"/>
      <c r="D107" s="712"/>
      <c r="E107" s="712"/>
      <c r="F107" s="287"/>
      <c r="G107" s="1044" t="s">
        <v>587</v>
      </c>
      <c r="H107" s="1045"/>
      <c r="I107" s="1045"/>
      <c r="J107" s="1045"/>
      <c r="K107" s="1045"/>
      <c r="L107" s="1045"/>
      <c r="M107" s="1045"/>
      <c r="N107" s="1045"/>
      <c r="O107" s="1046"/>
      <c r="P107" s="283">
        <v>782</v>
      </c>
      <c r="Q107" s="287">
        <f t="shared" si="206"/>
        <v>782</v>
      </c>
      <c r="R107" s="403">
        <v>719</v>
      </c>
      <c r="S107" s="255">
        <f t="shared" si="207"/>
        <v>719</v>
      </c>
      <c r="T107" s="605">
        <v>677</v>
      </c>
      <c r="U107" s="255">
        <f t="shared" si="208"/>
        <v>677</v>
      </c>
      <c r="V107" s="605">
        <v>577</v>
      </c>
      <c r="W107" s="255">
        <f t="shared" si="209"/>
        <v>577</v>
      </c>
      <c r="X107" s="1041"/>
      <c r="Y107" s="1042"/>
      <c r="Z107" s="1042"/>
      <c r="AA107" s="1043"/>
      <c r="AB107" s="416" t="s">
        <v>159</v>
      </c>
    </row>
    <row r="108" spans="1:29" ht="12.6" customHeight="1" x14ac:dyDescent="0.2">
      <c r="A108" s="18"/>
      <c r="B108" s="689" t="s">
        <v>406</v>
      </c>
      <c r="C108" s="690"/>
      <c r="D108" s="690"/>
      <c r="E108" s="690"/>
      <c r="F108" s="288"/>
      <c r="G108" s="1044" t="s">
        <v>588</v>
      </c>
      <c r="H108" s="1045"/>
      <c r="I108" s="1045"/>
      <c r="J108" s="1045"/>
      <c r="K108" s="1045"/>
      <c r="L108" s="1045"/>
      <c r="M108" s="1046"/>
      <c r="N108" s="282">
        <v>790</v>
      </c>
      <c r="O108" s="288">
        <f t="shared" ref="O108:O109" si="210">+N108*$X$1</f>
        <v>790</v>
      </c>
      <c r="P108" s="282">
        <v>786</v>
      </c>
      <c r="Q108" s="288">
        <f t="shared" si="206"/>
        <v>786</v>
      </c>
      <c r="R108" s="606">
        <v>727</v>
      </c>
      <c r="S108" s="305">
        <f t="shared" si="207"/>
        <v>727</v>
      </c>
      <c r="T108" s="460">
        <v>685</v>
      </c>
      <c r="U108" s="305">
        <f t="shared" si="208"/>
        <v>685</v>
      </c>
      <c r="V108" s="460">
        <v>583</v>
      </c>
      <c r="W108" s="305">
        <f t="shared" si="209"/>
        <v>583</v>
      </c>
      <c r="X108" s="1041"/>
      <c r="Y108" s="1042"/>
      <c r="Z108" s="1042"/>
      <c r="AA108" s="1043"/>
      <c r="AB108" s="416">
        <v>291</v>
      </c>
    </row>
    <row r="109" spans="1:29" ht="12.6" customHeight="1" x14ac:dyDescent="0.2">
      <c r="A109" s="18"/>
      <c r="B109" s="711" t="s">
        <v>407</v>
      </c>
      <c r="C109" s="712"/>
      <c r="D109" s="712"/>
      <c r="E109" s="712"/>
      <c r="F109" s="287"/>
      <c r="G109" s="1044" t="s">
        <v>589</v>
      </c>
      <c r="H109" s="1045"/>
      <c r="I109" s="1045"/>
      <c r="J109" s="1045"/>
      <c r="K109" s="1045"/>
      <c r="L109" s="1045"/>
      <c r="M109" s="1046"/>
      <c r="N109" s="283">
        <v>1012</v>
      </c>
      <c r="O109" s="287">
        <f t="shared" si="210"/>
        <v>1012</v>
      </c>
      <c r="P109" s="283">
        <v>1008</v>
      </c>
      <c r="Q109" s="287">
        <f t="shared" si="206"/>
        <v>1008</v>
      </c>
      <c r="R109" s="403">
        <v>930</v>
      </c>
      <c r="S109" s="255">
        <f t="shared" si="207"/>
        <v>930</v>
      </c>
      <c r="T109" s="605">
        <v>875</v>
      </c>
      <c r="U109" s="255">
        <f t="shared" si="208"/>
        <v>875</v>
      </c>
      <c r="V109" s="605">
        <v>747</v>
      </c>
      <c r="W109" s="255">
        <f t="shared" si="209"/>
        <v>747</v>
      </c>
      <c r="X109" s="1041"/>
      <c r="Y109" s="1042"/>
      <c r="Z109" s="1042"/>
      <c r="AA109" s="1043"/>
      <c r="AB109" s="416" t="s">
        <v>160</v>
      </c>
    </row>
    <row r="110" spans="1:29" ht="12.6" customHeight="1" x14ac:dyDescent="0.2">
      <c r="A110" s="18"/>
      <c r="B110" s="702" t="s">
        <v>352</v>
      </c>
      <c r="C110" s="703"/>
      <c r="D110" s="703"/>
      <c r="E110" s="703"/>
      <c r="F110" s="319"/>
      <c r="G110" s="319"/>
      <c r="H110" s="93"/>
      <c r="I110" s="1050" t="s">
        <v>353</v>
      </c>
      <c r="J110" s="1051"/>
      <c r="K110" s="1051"/>
      <c r="L110" s="1051"/>
      <c r="M110" s="1051"/>
      <c r="N110" s="1051"/>
      <c r="O110" s="1051"/>
      <c r="P110" s="1051"/>
      <c r="Q110" s="1051"/>
      <c r="R110" s="1051"/>
      <c r="S110" s="1051"/>
      <c r="T110" s="1051"/>
      <c r="U110" s="1051"/>
      <c r="V110" s="1051"/>
      <c r="W110" s="1082"/>
      <c r="X110" s="677"/>
      <c r="Y110" s="694"/>
      <c r="Z110" s="694"/>
      <c r="AA110" s="679"/>
      <c r="AB110" s="416"/>
    </row>
    <row r="111" spans="1:29" ht="12.6" customHeight="1" x14ac:dyDescent="0.2">
      <c r="A111" s="18"/>
      <c r="B111" s="808" t="s">
        <v>354</v>
      </c>
      <c r="C111" s="816"/>
      <c r="D111" s="816"/>
      <c r="E111" s="816"/>
      <c r="F111" s="306"/>
      <c r="G111" s="352"/>
      <c r="H111" s="118"/>
      <c r="I111" s="1054"/>
      <c r="J111" s="1055"/>
      <c r="K111" s="1055"/>
      <c r="L111" s="1060"/>
      <c r="M111" s="1060"/>
      <c r="N111" s="1060"/>
      <c r="O111" s="1055"/>
      <c r="P111" s="1055"/>
      <c r="Q111" s="1055"/>
      <c r="R111" s="1055"/>
      <c r="S111" s="1055"/>
      <c r="T111" s="1060"/>
      <c r="U111" s="1060"/>
      <c r="V111" s="1060"/>
      <c r="W111" s="1083"/>
      <c r="X111" s="677"/>
      <c r="Y111" s="694"/>
      <c r="Z111" s="694"/>
      <c r="AA111" s="679"/>
      <c r="AB111" s="416"/>
    </row>
    <row r="112" spans="1:29" ht="12.6" customHeight="1" x14ac:dyDescent="0.2">
      <c r="A112" s="18"/>
      <c r="B112" s="689" t="s">
        <v>778</v>
      </c>
      <c r="C112" s="690"/>
      <c r="D112" s="690"/>
      <c r="E112" s="690"/>
      <c r="F112" s="356"/>
      <c r="G112" s="1044" t="s">
        <v>404</v>
      </c>
      <c r="H112" s="1045"/>
      <c r="I112" s="1045"/>
      <c r="J112" s="1045"/>
      <c r="K112" s="1046"/>
      <c r="L112" s="467">
        <v>1908</v>
      </c>
      <c r="M112" s="288">
        <f t="shared" ref="M112:O125" si="211">+L112*$X$1</f>
        <v>1908</v>
      </c>
      <c r="N112" s="124">
        <v>1685</v>
      </c>
      <c r="O112" s="288">
        <f t="shared" si="211"/>
        <v>1685</v>
      </c>
      <c r="P112" s="391">
        <v>1682</v>
      </c>
      <c r="Q112" s="288">
        <f t="shared" ref="Q112:Q124" si="212">+P112*$X$1</f>
        <v>1682</v>
      </c>
      <c r="R112" s="460">
        <v>1552</v>
      </c>
      <c r="S112" s="288">
        <f t="shared" ref="S112:S125" si="213">+R112*$X$1</f>
        <v>1552</v>
      </c>
      <c r="T112" s="460">
        <v>1460</v>
      </c>
      <c r="U112" s="319">
        <f t="shared" ref="U112:U122" si="214">+T112*$X$1</f>
        <v>1460</v>
      </c>
      <c r="V112" s="460">
        <v>857</v>
      </c>
      <c r="W112" s="319">
        <f t="shared" ref="W112:W122" si="215">+V112*$X$1</f>
        <v>857</v>
      </c>
      <c r="X112" s="1041"/>
      <c r="Y112" s="1042"/>
      <c r="Z112" s="1042"/>
      <c r="AA112" s="1043"/>
      <c r="AB112" s="416">
        <v>301</v>
      </c>
    </row>
    <row r="113" spans="1:28" ht="12.6" customHeight="1" x14ac:dyDescent="0.2">
      <c r="A113" s="18"/>
      <c r="B113" s="711" t="s">
        <v>779</v>
      </c>
      <c r="C113" s="712"/>
      <c r="D113" s="712"/>
      <c r="E113" s="712"/>
      <c r="F113" s="357"/>
      <c r="G113" s="1044" t="s">
        <v>404</v>
      </c>
      <c r="H113" s="1045"/>
      <c r="I113" s="1045"/>
      <c r="J113" s="1045"/>
      <c r="K113" s="1046"/>
      <c r="L113" s="303">
        <v>2080</v>
      </c>
      <c r="M113" s="633">
        <f t="shared" si="211"/>
        <v>2080</v>
      </c>
      <c r="N113" s="403">
        <v>1840</v>
      </c>
      <c r="O113" s="633">
        <f t="shared" si="211"/>
        <v>1840</v>
      </c>
      <c r="P113" s="304">
        <v>1837</v>
      </c>
      <c r="Q113" s="287">
        <f t="shared" si="212"/>
        <v>1837</v>
      </c>
      <c r="R113" s="118">
        <v>1693</v>
      </c>
      <c r="S113" s="633">
        <f t="shared" si="213"/>
        <v>1693</v>
      </c>
      <c r="T113" s="605">
        <v>1593</v>
      </c>
      <c r="U113" s="306">
        <f t="shared" si="214"/>
        <v>1593</v>
      </c>
      <c r="V113" s="605">
        <v>974</v>
      </c>
      <c r="W113" s="306">
        <f t="shared" si="215"/>
        <v>974</v>
      </c>
      <c r="X113" s="1041"/>
      <c r="Y113" s="1042"/>
      <c r="Z113" s="1042"/>
      <c r="AA113" s="1043"/>
      <c r="AB113" s="416" t="s">
        <v>161</v>
      </c>
    </row>
    <row r="114" spans="1:28" ht="12.6" customHeight="1" x14ac:dyDescent="0.2">
      <c r="A114" s="18"/>
      <c r="B114" s="689" t="s">
        <v>780</v>
      </c>
      <c r="C114" s="690"/>
      <c r="D114" s="690"/>
      <c r="E114" s="690"/>
      <c r="F114" s="356"/>
      <c r="G114" s="1044" t="s">
        <v>404</v>
      </c>
      <c r="H114" s="1045"/>
      <c r="I114" s="1045"/>
      <c r="J114" s="1045"/>
      <c r="K114" s="1046"/>
      <c r="L114" s="467">
        <v>3461</v>
      </c>
      <c r="M114" s="288">
        <f t="shared" ref="M114" si="216">+L114*$X$1</f>
        <v>3461</v>
      </c>
      <c r="N114" s="124">
        <v>3060</v>
      </c>
      <c r="O114" s="288">
        <f t="shared" ref="O114" si="217">+N114*$X$1</f>
        <v>3060</v>
      </c>
      <c r="P114" s="391">
        <v>3055</v>
      </c>
      <c r="Q114" s="288">
        <f t="shared" ref="Q114" si="218">+P114*$X$1</f>
        <v>3055</v>
      </c>
      <c r="R114" s="460">
        <v>2817</v>
      </c>
      <c r="S114" s="288">
        <f t="shared" ref="S114" si="219">+R114*$X$1</f>
        <v>2817</v>
      </c>
      <c r="T114" s="460">
        <v>2650</v>
      </c>
      <c r="U114" s="319">
        <f t="shared" ref="U114" si="220">+T114*$X$1</f>
        <v>2650</v>
      </c>
      <c r="V114" s="460">
        <v>1899</v>
      </c>
      <c r="W114" s="319">
        <f t="shared" ref="W114" si="221">+V114*$X$1</f>
        <v>1899</v>
      </c>
      <c r="X114" s="1041"/>
      <c r="Y114" s="1042"/>
      <c r="Z114" s="1042"/>
      <c r="AA114" s="1043"/>
      <c r="AB114" s="416" t="s">
        <v>162</v>
      </c>
    </row>
    <row r="115" spans="1:28" ht="12.6" customHeight="1" x14ac:dyDescent="0.2">
      <c r="A115" s="18"/>
      <c r="B115" s="711" t="s">
        <v>803</v>
      </c>
      <c r="C115" s="795"/>
      <c r="D115" s="795"/>
      <c r="E115" s="795"/>
      <c r="F115" s="357"/>
      <c r="G115" s="1044" t="s">
        <v>404</v>
      </c>
      <c r="H115" s="1045"/>
      <c r="I115" s="1045"/>
      <c r="J115" s="1045"/>
      <c r="K115" s="1046"/>
      <c r="L115" s="598">
        <v>3461</v>
      </c>
      <c r="M115" s="287">
        <f t="shared" ref="M115" si="222">+L115*$X$1</f>
        <v>3461</v>
      </c>
      <c r="N115" s="403">
        <v>3060</v>
      </c>
      <c r="O115" s="287">
        <f t="shared" ref="O115" si="223">+N115*$X$1</f>
        <v>3060</v>
      </c>
      <c r="P115" s="604">
        <v>3055</v>
      </c>
      <c r="Q115" s="287">
        <f t="shared" ref="Q115" si="224">+P115*$X$1</f>
        <v>3055</v>
      </c>
      <c r="R115" s="605">
        <v>2817</v>
      </c>
      <c r="S115" s="287">
        <f t="shared" ref="S115" si="225">+R115*$X$1</f>
        <v>2817</v>
      </c>
      <c r="T115" s="605">
        <v>2650</v>
      </c>
      <c r="U115" s="306">
        <f t="shared" ref="U115" si="226">+T115*$X$1</f>
        <v>2650</v>
      </c>
      <c r="V115" s="605">
        <v>1899</v>
      </c>
      <c r="W115" s="306">
        <f t="shared" ref="W115" si="227">+V115*$X$1</f>
        <v>1899</v>
      </c>
      <c r="X115" s="1041"/>
      <c r="Y115" s="1042"/>
      <c r="Z115" s="1042"/>
      <c r="AA115" s="1043"/>
      <c r="AB115" s="416" t="s">
        <v>806</v>
      </c>
    </row>
    <row r="116" spans="1:28" ht="12.6" customHeight="1" x14ac:dyDescent="0.2">
      <c r="A116" s="18"/>
      <c r="B116" s="695" t="s">
        <v>805</v>
      </c>
      <c r="C116" s="1067"/>
      <c r="D116" s="1067"/>
      <c r="E116" s="1067"/>
      <c r="F116" s="356"/>
      <c r="G116" s="1044" t="s">
        <v>404</v>
      </c>
      <c r="H116" s="1045"/>
      <c r="I116" s="1045"/>
      <c r="J116" s="1045"/>
      <c r="K116" s="1046"/>
      <c r="L116" s="467">
        <v>2534</v>
      </c>
      <c r="M116" s="288">
        <f t="shared" ref="M116" si="228">+L116*$X$1</f>
        <v>2534</v>
      </c>
      <c r="N116" s="89">
        <v>2241</v>
      </c>
      <c r="O116" s="288">
        <f t="shared" ref="O116" si="229">+N116*$X$1</f>
        <v>2241</v>
      </c>
      <c r="P116" s="282">
        <v>2238</v>
      </c>
      <c r="Q116" s="288">
        <f t="shared" ref="Q116" si="230">+P116*$X$1</f>
        <v>2238</v>
      </c>
      <c r="R116" s="460">
        <v>2062</v>
      </c>
      <c r="S116" s="288">
        <f t="shared" ref="S116" si="231">+R116*$X$1</f>
        <v>2062</v>
      </c>
      <c r="T116" s="460">
        <v>1941</v>
      </c>
      <c r="U116" s="288">
        <f t="shared" ref="U116" si="232">+T116*$X$1</f>
        <v>1941</v>
      </c>
      <c r="V116" s="460">
        <v>1278</v>
      </c>
      <c r="W116" s="288">
        <f t="shared" ref="W116" si="233">+V116*$X$1</f>
        <v>1278</v>
      </c>
      <c r="X116" s="1041"/>
      <c r="Y116" s="1042"/>
      <c r="Z116" s="1042"/>
      <c r="AA116" s="1043"/>
      <c r="AB116" s="416" t="s">
        <v>809</v>
      </c>
    </row>
    <row r="117" spans="1:28" ht="12.6" customHeight="1" x14ac:dyDescent="0.2">
      <c r="A117" s="18"/>
      <c r="B117" s="711" t="s">
        <v>408</v>
      </c>
      <c r="C117" s="712"/>
      <c r="D117" s="712"/>
      <c r="E117" s="712"/>
      <c r="F117" s="346"/>
      <c r="G117" s="1044" t="s">
        <v>403</v>
      </c>
      <c r="H117" s="1045"/>
      <c r="I117" s="1045"/>
      <c r="J117" s="1045"/>
      <c r="K117" s="1046"/>
      <c r="L117" s="468">
        <v>1410</v>
      </c>
      <c r="M117" s="287">
        <f t="shared" si="211"/>
        <v>1410</v>
      </c>
      <c r="N117" s="71">
        <v>1247</v>
      </c>
      <c r="O117" s="287">
        <f t="shared" si="211"/>
        <v>1247</v>
      </c>
      <c r="P117" s="320">
        <v>1244</v>
      </c>
      <c r="Q117" s="287">
        <f t="shared" si="212"/>
        <v>1244</v>
      </c>
      <c r="R117" s="605">
        <v>1147</v>
      </c>
      <c r="S117" s="287">
        <f t="shared" si="213"/>
        <v>1147</v>
      </c>
      <c r="T117" s="605">
        <v>1080</v>
      </c>
      <c r="U117" s="287">
        <f t="shared" si="214"/>
        <v>1080</v>
      </c>
      <c r="V117" s="605">
        <v>655</v>
      </c>
      <c r="W117" s="287">
        <f t="shared" si="215"/>
        <v>655</v>
      </c>
      <c r="X117" s="1041"/>
      <c r="Y117" s="1042"/>
      <c r="Z117" s="1042"/>
      <c r="AA117" s="1043"/>
      <c r="AB117" s="416">
        <v>302</v>
      </c>
    </row>
    <row r="118" spans="1:28" ht="12.6" customHeight="1" x14ac:dyDescent="0.2">
      <c r="A118" s="18"/>
      <c r="B118" s="689" t="s">
        <v>409</v>
      </c>
      <c r="C118" s="690"/>
      <c r="D118" s="690"/>
      <c r="E118" s="690"/>
      <c r="F118" s="288"/>
      <c r="G118" s="1044" t="s">
        <v>403</v>
      </c>
      <c r="H118" s="1045"/>
      <c r="I118" s="1045"/>
      <c r="J118" s="1045"/>
      <c r="K118" s="1046"/>
      <c r="L118" s="467">
        <v>1584</v>
      </c>
      <c r="M118" s="288">
        <f t="shared" si="211"/>
        <v>1584</v>
      </c>
      <c r="N118" s="89">
        <v>1400</v>
      </c>
      <c r="O118" s="288">
        <f t="shared" si="211"/>
        <v>1400</v>
      </c>
      <c r="P118" s="282">
        <v>1397</v>
      </c>
      <c r="Q118" s="288">
        <f t="shared" si="212"/>
        <v>1397</v>
      </c>
      <c r="R118" s="460">
        <v>1289</v>
      </c>
      <c r="S118" s="288">
        <f t="shared" si="213"/>
        <v>1289</v>
      </c>
      <c r="T118" s="460">
        <v>1213</v>
      </c>
      <c r="U118" s="288">
        <f t="shared" si="214"/>
        <v>1213</v>
      </c>
      <c r="V118" s="460">
        <v>771</v>
      </c>
      <c r="W118" s="288">
        <f t="shared" si="215"/>
        <v>771</v>
      </c>
      <c r="X118" s="1041"/>
      <c r="Y118" s="1042"/>
      <c r="Z118" s="1042"/>
      <c r="AA118" s="1043"/>
      <c r="AB118" s="416" t="s">
        <v>163</v>
      </c>
    </row>
    <row r="119" spans="1:28" ht="12.6" customHeight="1" x14ac:dyDescent="0.2">
      <c r="A119" s="18"/>
      <c r="B119" s="711" t="s">
        <v>375</v>
      </c>
      <c r="C119" s="712"/>
      <c r="D119" s="712"/>
      <c r="E119" s="712"/>
      <c r="F119" s="346"/>
      <c r="G119" s="1044" t="s">
        <v>403</v>
      </c>
      <c r="H119" s="1045"/>
      <c r="I119" s="1045"/>
      <c r="J119" s="1045"/>
      <c r="K119" s="1046"/>
      <c r="L119" s="468">
        <v>2965</v>
      </c>
      <c r="M119" s="287">
        <f t="shared" ref="M119" si="234">+L119*$X$1</f>
        <v>2965</v>
      </c>
      <c r="N119" s="71">
        <v>2621</v>
      </c>
      <c r="O119" s="287">
        <f t="shared" ref="O119" si="235">+N119*$X$1</f>
        <v>2621</v>
      </c>
      <c r="P119" s="320">
        <v>2618</v>
      </c>
      <c r="Q119" s="287">
        <f t="shared" ref="Q119" si="236">+P119*$X$1</f>
        <v>2618</v>
      </c>
      <c r="R119" s="605">
        <v>2413</v>
      </c>
      <c r="S119" s="287">
        <f t="shared" ref="S119" si="237">+R119*$X$1</f>
        <v>2413</v>
      </c>
      <c r="T119" s="605">
        <v>2270</v>
      </c>
      <c r="U119" s="287">
        <f t="shared" ref="U119" si="238">+T119*$X$1</f>
        <v>2270</v>
      </c>
      <c r="V119" s="605">
        <v>1697</v>
      </c>
      <c r="W119" s="287">
        <f t="shared" ref="W119" si="239">+V119*$X$1</f>
        <v>1697</v>
      </c>
      <c r="X119" s="1041"/>
      <c r="Y119" s="1042"/>
      <c r="Z119" s="1042"/>
      <c r="AA119" s="1043"/>
      <c r="AB119" s="416" t="s">
        <v>164</v>
      </c>
    </row>
    <row r="120" spans="1:28" ht="12.6" customHeight="1" x14ac:dyDescent="0.2">
      <c r="A120" s="18"/>
      <c r="B120" s="689" t="s">
        <v>804</v>
      </c>
      <c r="C120" s="707"/>
      <c r="D120" s="707"/>
      <c r="E120" s="707"/>
      <c r="F120" s="345"/>
      <c r="G120" s="1044" t="s">
        <v>403</v>
      </c>
      <c r="H120" s="1045"/>
      <c r="I120" s="1045"/>
      <c r="J120" s="1045"/>
      <c r="K120" s="1046"/>
      <c r="L120" s="597">
        <v>2965</v>
      </c>
      <c r="M120" s="288">
        <f t="shared" ref="M120" si="240">+L120*$X$1</f>
        <v>2965</v>
      </c>
      <c r="N120" s="89">
        <v>2621</v>
      </c>
      <c r="O120" s="288">
        <f t="shared" ref="O120" si="241">+N120*$X$1</f>
        <v>2621</v>
      </c>
      <c r="P120" s="282">
        <v>2618</v>
      </c>
      <c r="Q120" s="288">
        <f t="shared" ref="Q120" si="242">+P120*$X$1</f>
        <v>2618</v>
      </c>
      <c r="R120" s="460">
        <v>2413</v>
      </c>
      <c r="S120" s="288">
        <f t="shared" ref="S120" si="243">+R120*$X$1</f>
        <v>2413</v>
      </c>
      <c r="T120" s="460">
        <v>2270</v>
      </c>
      <c r="U120" s="288">
        <f t="shared" ref="U120" si="244">+T120*$X$1</f>
        <v>2270</v>
      </c>
      <c r="V120" s="460">
        <v>1697</v>
      </c>
      <c r="W120" s="288">
        <f t="shared" ref="W120" si="245">+V120*$X$1</f>
        <v>1697</v>
      </c>
      <c r="X120" s="1041"/>
      <c r="Y120" s="1042"/>
      <c r="Z120" s="1042"/>
      <c r="AA120" s="1043"/>
      <c r="AB120" s="416" t="s">
        <v>807</v>
      </c>
    </row>
    <row r="121" spans="1:28" ht="12.6" customHeight="1" x14ac:dyDescent="0.2">
      <c r="A121" s="18"/>
      <c r="B121" s="695" t="s">
        <v>808</v>
      </c>
      <c r="C121" s="1067"/>
      <c r="D121" s="1067"/>
      <c r="E121" s="1067"/>
      <c r="F121" s="346"/>
      <c r="G121" s="1044" t="s">
        <v>403</v>
      </c>
      <c r="H121" s="1045"/>
      <c r="I121" s="1045"/>
      <c r="J121" s="1045"/>
      <c r="K121" s="1046"/>
      <c r="L121" s="468">
        <v>2038</v>
      </c>
      <c r="M121" s="287">
        <f t="shared" ref="M121" si="246">+L121*$X$1</f>
        <v>2038</v>
      </c>
      <c r="N121" s="71">
        <v>1802</v>
      </c>
      <c r="O121" s="287">
        <f t="shared" ref="O121" si="247">+N121*$X$1</f>
        <v>1802</v>
      </c>
      <c r="P121" s="320">
        <v>1799</v>
      </c>
      <c r="Q121" s="287">
        <f t="shared" ref="Q121" si="248">+P121*$X$1</f>
        <v>1799</v>
      </c>
      <c r="R121" s="605">
        <v>1658</v>
      </c>
      <c r="S121" s="287">
        <f t="shared" ref="S121" si="249">+R121*$X$1</f>
        <v>1658</v>
      </c>
      <c r="T121" s="605">
        <v>1561</v>
      </c>
      <c r="U121" s="287">
        <f t="shared" ref="U121" si="250">+T121*$X$1</f>
        <v>1561</v>
      </c>
      <c r="V121" s="605">
        <v>1075</v>
      </c>
      <c r="W121" s="287">
        <f t="shared" ref="W121" si="251">+V121*$X$1</f>
        <v>1075</v>
      </c>
      <c r="X121" s="1041"/>
      <c r="Y121" s="1042"/>
      <c r="Z121" s="1042"/>
      <c r="AA121" s="1043"/>
      <c r="AB121" s="416" t="s">
        <v>811</v>
      </c>
    </row>
    <row r="122" spans="1:28" ht="12.6" customHeight="1" x14ac:dyDescent="0.2">
      <c r="A122" s="18"/>
      <c r="B122" s="702" t="s">
        <v>640</v>
      </c>
      <c r="C122" s="703"/>
      <c r="D122" s="703"/>
      <c r="E122" s="703"/>
      <c r="F122" s="319"/>
      <c r="G122" s="1044" t="s">
        <v>404</v>
      </c>
      <c r="H122" s="1045"/>
      <c r="I122" s="1045"/>
      <c r="J122" s="1045"/>
      <c r="K122" s="1046"/>
      <c r="L122" s="467">
        <v>2107</v>
      </c>
      <c r="M122" s="288">
        <f t="shared" si="211"/>
        <v>2107</v>
      </c>
      <c r="N122" s="634">
        <v>1865</v>
      </c>
      <c r="O122" s="288">
        <f t="shared" si="211"/>
        <v>1865</v>
      </c>
      <c r="P122" s="391">
        <v>1862</v>
      </c>
      <c r="Q122" s="288">
        <f t="shared" si="212"/>
        <v>1862</v>
      </c>
      <c r="R122" s="460">
        <v>1715</v>
      </c>
      <c r="S122" s="288">
        <f t="shared" si="213"/>
        <v>1715</v>
      </c>
      <c r="T122" s="460">
        <v>1614</v>
      </c>
      <c r="U122" s="288">
        <f t="shared" si="214"/>
        <v>1614</v>
      </c>
      <c r="V122" s="460">
        <v>1375</v>
      </c>
      <c r="W122" s="288">
        <f t="shared" si="215"/>
        <v>1375</v>
      </c>
      <c r="X122" s="1041"/>
      <c r="Y122" s="1042"/>
      <c r="Z122" s="1042"/>
      <c r="AA122" s="1043"/>
      <c r="AB122" s="416">
        <v>303</v>
      </c>
    </row>
    <row r="123" spans="1:28" ht="12.6" customHeight="1" x14ac:dyDescent="0.2">
      <c r="A123" s="18"/>
      <c r="B123" s="695" t="s">
        <v>859</v>
      </c>
      <c r="C123" s="696"/>
      <c r="D123" s="696"/>
      <c r="E123" s="696"/>
      <c r="F123" s="380">
        <v>1990</v>
      </c>
      <c r="G123" s="287">
        <f>+F123*$X$1</f>
        <v>1990</v>
      </c>
      <c r="H123" s="71"/>
      <c r="I123" s="287"/>
      <c r="J123" s="544">
        <f>F123+180</f>
        <v>2170</v>
      </c>
      <c r="K123" s="287">
        <f t="shared" ref="K123" si="252">+J123*$X$1</f>
        <v>2170</v>
      </c>
      <c r="L123" s="544">
        <f t="shared" ref="L123" si="253">F123+120</f>
        <v>2110</v>
      </c>
      <c r="M123" s="287">
        <f>+L123*$X$1</f>
        <v>2110</v>
      </c>
      <c r="N123" s="605">
        <f>F123+63</f>
        <v>2053</v>
      </c>
      <c r="O123" s="287">
        <f t="shared" si="211"/>
        <v>2053</v>
      </c>
      <c r="P123" s="605">
        <f t="shared" ref="P123" si="254">F123+54</f>
        <v>2044</v>
      </c>
      <c r="Q123" s="287">
        <f>+P123*$X$1</f>
        <v>2044</v>
      </c>
      <c r="R123" s="605">
        <f>F123+45</f>
        <v>2035</v>
      </c>
      <c r="S123" s="287">
        <f>+R123*$X$1</f>
        <v>2035</v>
      </c>
      <c r="T123" s="605">
        <f>F123+37</f>
        <v>2027</v>
      </c>
      <c r="U123" s="287">
        <f>+T123*$X$1</f>
        <v>2027</v>
      </c>
      <c r="V123" s="605">
        <f>F123+32</f>
        <v>2022</v>
      </c>
      <c r="W123" s="287">
        <f>+V123*$X$1</f>
        <v>2022</v>
      </c>
      <c r="X123" s="677"/>
      <c r="Y123" s="694"/>
      <c r="Z123" s="694"/>
      <c r="AA123" s="679"/>
      <c r="AB123" s="416">
        <v>304</v>
      </c>
    </row>
    <row r="124" spans="1:28" ht="12.6" customHeight="1" x14ac:dyDescent="0.2">
      <c r="A124" s="18"/>
      <c r="B124" s="689" t="s">
        <v>777</v>
      </c>
      <c r="C124" s="690"/>
      <c r="D124" s="690"/>
      <c r="E124" s="690"/>
      <c r="F124" s="329">
        <v>2426</v>
      </c>
      <c r="G124" s="288">
        <f t="shared" ref="G124" si="255">+F124*$X$1</f>
        <v>2426</v>
      </c>
      <c r="H124" s="460"/>
      <c r="I124" s="288"/>
      <c r="J124" s="460"/>
      <c r="K124" s="288"/>
      <c r="L124" s="460">
        <f>F124+90</f>
        <v>2516</v>
      </c>
      <c r="M124" s="288">
        <f t="shared" si="211"/>
        <v>2516</v>
      </c>
      <c r="N124" s="460">
        <f>F124+55</f>
        <v>2481</v>
      </c>
      <c r="O124" s="288">
        <f>+N124*$X$1</f>
        <v>2481</v>
      </c>
      <c r="P124" s="460">
        <f>F124+49</f>
        <v>2475</v>
      </c>
      <c r="Q124" s="288">
        <f t="shared" si="212"/>
        <v>2475</v>
      </c>
      <c r="R124" s="460">
        <f>F124+42</f>
        <v>2468</v>
      </c>
      <c r="S124" s="288">
        <f>+R124*$X$1</f>
        <v>2468</v>
      </c>
      <c r="T124" s="460">
        <f>F124+36</f>
        <v>2462</v>
      </c>
      <c r="U124" s="288">
        <f t="shared" ref="U124:U129" si="256">+T124*$X$1</f>
        <v>2462</v>
      </c>
      <c r="V124" s="460">
        <f>F124+32</f>
        <v>2458</v>
      </c>
      <c r="W124" s="288">
        <f t="shared" ref="W124:W129" si="257">+V124*$X$1</f>
        <v>2458</v>
      </c>
      <c r="X124" s="677"/>
      <c r="Y124" s="694"/>
      <c r="Z124" s="694"/>
      <c r="AA124" s="679"/>
      <c r="AB124" s="416">
        <v>307</v>
      </c>
    </row>
    <row r="125" spans="1:28" ht="12.6" customHeight="1" x14ac:dyDescent="0.2">
      <c r="A125" s="18"/>
      <c r="B125" s="711" t="s">
        <v>550</v>
      </c>
      <c r="C125" s="712"/>
      <c r="D125" s="712"/>
      <c r="E125" s="712"/>
      <c r="F125" s="518">
        <v>1453</v>
      </c>
      <c r="G125" s="287">
        <f>+F125*$X$1</f>
        <v>1453</v>
      </c>
      <c r="H125" s="281"/>
      <c r="I125" s="343"/>
      <c r="J125" s="511"/>
      <c r="K125" s="287"/>
      <c r="L125" s="511">
        <v>3145</v>
      </c>
      <c r="M125" s="287">
        <f>+L125*$X$1</f>
        <v>3145</v>
      </c>
      <c r="N125" s="605">
        <v>2350</v>
      </c>
      <c r="O125" s="287">
        <f t="shared" si="211"/>
        <v>2350</v>
      </c>
      <c r="P125" s="320">
        <v>2171</v>
      </c>
      <c r="Q125" s="287">
        <f t="shared" ref="Q125" si="258">+P125*$X$1</f>
        <v>2171</v>
      </c>
      <c r="R125" s="605">
        <v>2001</v>
      </c>
      <c r="S125" s="287">
        <f t="shared" si="213"/>
        <v>2001</v>
      </c>
      <c r="T125" s="605">
        <v>1875</v>
      </c>
      <c r="U125" s="287">
        <f t="shared" si="256"/>
        <v>1875</v>
      </c>
      <c r="V125" s="605">
        <v>1787</v>
      </c>
      <c r="W125" s="287">
        <f t="shared" si="257"/>
        <v>1787</v>
      </c>
      <c r="X125" s="677"/>
      <c r="Y125" s="694"/>
      <c r="Z125" s="694"/>
      <c r="AA125" s="679"/>
      <c r="AB125" s="416">
        <v>308</v>
      </c>
    </row>
    <row r="126" spans="1:28" ht="12.6" customHeight="1" x14ac:dyDescent="0.2">
      <c r="A126" s="18"/>
      <c r="B126" s="689" t="s">
        <v>549</v>
      </c>
      <c r="C126" s="690"/>
      <c r="D126" s="690"/>
      <c r="E126" s="690"/>
      <c r="F126" s="517">
        <v>1453</v>
      </c>
      <c r="G126" s="288">
        <f>+F126*$X$1</f>
        <v>1453</v>
      </c>
      <c r="H126" s="280"/>
      <c r="I126" s="344"/>
      <c r="J126" s="460"/>
      <c r="K126" s="288"/>
      <c r="L126" s="460">
        <v>3145</v>
      </c>
      <c r="M126" s="288">
        <f>+L126*$X$1</f>
        <v>3145</v>
      </c>
      <c r="N126" s="460">
        <v>2350</v>
      </c>
      <c r="O126" s="288">
        <f t="shared" ref="O126" si="259">+N126*$X$1</f>
        <v>2350</v>
      </c>
      <c r="P126" s="282">
        <v>2171</v>
      </c>
      <c r="Q126" s="288">
        <f t="shared" ref="Q126" si="260">+P126*$X$1</f>
        <v>2171</v>
      </c>
      <c r="R126" s="460">
        <v>2001</v>
      </c>
      <c r="S126" s="288">
        <f t="shared" ref="S126" si="261">+R126*$X$1</f>
        <v>2001</v>
      </c>
      <c r="T126" s="460">
        <v>1875</v>
      </c>
      <c r="U126" s="288">
        <f t="shared" ref="U126" si="262">+T126*$X$1</f>
        <v>1875</v>
      </c>
      <c r="V126" s="460">
        <v>1787</v>
      </c>
      <c r="W126" s="288">
        <f t="shared" ref="W126" si="263">+V126*$X$1</f>
        <v>1787</v>
      </c>
      <c r="X126" s="677"/>
      <c r="Y126" s="694"/>
      <c r="Z126" s="694"/>
      <c r="AA126" s="679"/>
      <c r="AB126" s="416">
        <v>309</v>
      </c>
    </row>
    <row r="127" spans="1:28" ht="12.6" customHeight="1" x14ac:dyDescent="0.2">
      <c r="A127" s="18"/>
      <c r="B127" s="711" t="s">
        <v>875</v>
      </c>
      <c r="C127" s="712"/>
      <c r="D127" s="712"/>
      <c r="E127" s="712"/>
      <c r="F127" s="380">
        <f>0.78*X2</f>
        <v>830.7</v>
      </c>
      <c r="G127" s="287">
        <f>+F127*$X$1</f>
        <v>830.7</v>
      </c>
      <c r="H127" s="523"/>
      <c r="I127" s="287"/>
      <c r="J127" s="523">
        <f>F127+120</f>
        <v>950.7</v>
      </c>
      <c r="K127" s="287">
        <f t="shared" ref="K127" si="264">+J127*$X$1</f>
        <v>950.7</v>
      </c>
      <c r="L127" s="523">
        <f>F127+90</f>
        <v>920.7</v>
      </c>
      <c r="M127" s="287">
        <f t="shared" ref="M127" si="265">+L127*$X$1</f>
        <v>920.7</v>
      </c>
      <c r="N127" s="605">
        <f>F127+60</f>
        <v>890.7</v>
      </c>
      <c r="O127" s="287">
        <f>+N127*$X$1</f>
        <v>890.7</v>
      </c>
      <c r="P127" s="605">
        <f>F127+50</f>
        <v>880.7</v>
      </c>
      <c r="Q127" s="287">
        <f t="shared" ref="Q127" si="266">+P127*$X$1</f>
        <v>880.7</v>
      </c>
      <c r="R127" s="605">
        <f>F127+42</f>
        <v>872.7</v>
      </c>
      <c r="S127" s="287">
        <f>+R127*$X$1</f>
        <v>872.7</v>
      </c>
      <c r="T127" s="605">
        <f>F127+36</f>
        <v>866.7</v>
      </c>
      <c r="U127" s="287">
        <f t="shared" si="256"/>
        <v>866.7</v>
      </c>
      <c r="V127" s="605">
        <f>F127+32</f>
        <v>862.7</v>
      </c>
      <c r="W127" s="287">
        <f t="shared" si="257"/>
        <v>862.7</v>
      </c>
      <c r="X127" s="677"/>
      <c r="Y127" s="694"/>
      <c r="Z127" s="694"/>
      <c r="AA127" s="679"/>
      <c r="AB127" s="416">
        <v>310</v>
      </c>
    </row>
    <row r="128" spans="1:28" ht="12.6" customHeight="1" x14ac:dyDescent="0.2">
      <c r="A128" s="18"/>
      <c r="B128" s="689" t="s">
        <v>818</v>
      </c>
      <c r="C128" s="690"/>
      <c r="D128" s="690"/>
      <c r="E128" s="690"/>
      <c r="F128" s="381">
        <f>0.81*X2</f>
        <v>862.65000000000009</v>
      </c>
      <c r="G128" s="288">
        <f>+F128*$X$1</f>
        <v>862.65000000000009</v>
      </c>
      <c r="H128" s="460"/>
      <c r="I128" s="288"/>
      <c r="J128" s="460">
        <f>F128+120</f>
        <v>982.65000000000009</v>
      </c>
      <c r="K128" s="288">
        <f t="shared" ref="K128" si="267">+J128*$X$1</f>
        <v>982.65000000000009</v>
      </c>
      <c r="L128" s="460">
        <f>F128+90</f>
        <v>952.65000000000009</v>
      </c>
      <c r="M128" s="288">
        <f t="shared" ref="M128:M129" si="268">+L128*$X$1</f>
        <v>952.65000000000009</v>
      </c>
      <c r="N128" s="460">
        <f>F128+60</f>
        <v>922.65000000000009</v>
      </c>
      <c r="O128" s="288">
        <f>+N128*$X$1</f>
        <v>922.65000000000009</v>
      </c>
      <c r="P128" s="460">
        <f>F128+50</f>
        <v>912.65000000000009</v>
      </c>
      <c r="Q128" s="288">
        <f t="shared" ref="Q128:Q129" si="269">+P128*$X$1</f>
        <v>912.65000000000009</v>
      </c>
      <c r="R128" s="460">
        <f>F128+42</f>
        <v>904.65000000000009</v>
      </c>
      <c r="S128" s="288">
        <f>+R128*$X$1</f>
        <v>904.65000000000009</v>
      </c>
      <c r="T128" s="460">
        <f>F128+36</f>
        <v>898.65000000000009</v>
      </c>
      <c r="U128" s="288">
        <f t="shared" si="256"/>
        <v>898.65000000000009</v>
      </c>
      <c r="V128" s="460">
        <f>F128+32</f>
        <v>894.65000000000009</v>
      </c>
      <c r="W128" s="288">
        <f t="shared" si="257"/>
        <v>894.65000000000009</v>
      </c>
      <c r="X128" s="677"/>
      <c r="Y128" s="694"/>
      <c r="Z128" s="694"/>
      <c r="AA128" s="679"/>
      <c r="AB128" s="416">
        <v>311</v>
      </c>
    </row>
    <row r="129" spans="1:33" ht="12.6" customHeight="1" x14ac:dyDescent="0.2">
      <c r="A129" s="18"/>
      <c r="B129" s="711" t="s">
        <v>488</v>
      </c>
      <c r="C129" s="712"/>
      <c r="D129" s="712"/>
      <c r="E129" s="712"/>
      <c r="F129" s="380">
        <f>1.3*X2</f>
        <v>1384.5</v>
      </c>
      <c r="G129" s="287">
        <f t="shared" ref="G129" si="270">+F129*$X$1</f>
        <v>1384.5</v>
      </c>
      <c r="H129" s="523"/>
      <c r="I129" s="287"/>
      <c r="J129" s="523">
        <f>F129+120</f>
        <v>1504.5</v>
      </c>
      <c r="K129" s="287">
        <f t="shared" ref="K129" si="271">+J129*$X$1</f>
        <v>1504.5</v>
      </c>
      <c r="L129" s="523">
        <f>F129+90</f>
        <v>1474.5</v>
      </c>
      <c r="M129" s="287">
        <f t="shared" si="268"/>
        <v>1474.5</v>
      </c>
      <c r="N129" s="605">
        <f>F129+60</f>
        <v>1444.5</v>
      </c>
      <c r="O129" s="287">
        <f>+N129*$X$1</f>
        <v>1444.5</v>
      </c>
      <c r="P129" s="605">
        <f>F129+50</f>
        <v>1434.5</v>
      </c>
      <c r="Q129" s="287">
        <f t="shared" si="269"/>
        <v>1434.5</v>
      </c>
      <c r="R129" s="605">
        <f>F129+42</f>
        <v>1426.5</v>
      </c>
      <c r="S129" s="287">
        <f>+R129*$X$1</f>
        <v>1426.5</v>
      </c>
      <c r="T129" s="605">
        <f>F129+36</f>
        <v>1420.5</v>
      </c>
      <c r="U129" s="287">
        <f t="shared" si="256"/>
        <v>1420.5</v>
      </c>
      <c r="V129" s="605">
        <f>F129+32</f>
        <v>1416.5</v>
      </c>
      <c r="W129" s="287">
        <f t="shared" si="257"/>
        <v>1416.5</v>
      </c>
      <c r="X129" s="677"/>
      <c r="Y129" s="694"/>
      <c r="Z129" s="694"/>
      <c r="AA129" s="679"/>
      <c r="AB129" s="416">
        <v>312</v>
      </c>
    </row>
    <row r="130" spans="1:33" ht="12.6" customHeight="1" x14ac:dyDescent="0.2">
      <c r="A130" s="18"/>
      <c r="B130" s="680" t="s">
        <v>165</v>
      </c>
      <c r="C130" s="691"/>
      <c r="D130" s="691"/>
      <c r="E130" s="692"/>
      <c r="F130" s="288"/>
      <c r="G130" s="288"/>
      <c r="H130" s="460"/>
      <c r="I130" s="288"/>
      <c r="J130" s="89"/>
      <c r="K130" s="288"/>
      <c r="L130" s="460"/>
      <c r="M130" s="288"/>
      <c r="N130" s="460"/>
      <c r="O130" s="288"/>
      <c r="P130" s="460"/>
      <c r="Q130" s="288"/>
      <c r="R130" s="460"/>
      <c r="S130" s="288"/>
      <c r="T130" s="460"/>
      <c r="U130" s="288"/>
      <c r="V130" s="460"/>
      <c r="W130" s="288"/>
      <c r="X130" s="677"/>
      <c r="Y130" s="694"/>
      <c r="Z130" s="694"/>
      <c r="AA130" s="679"/>
      <c r="AB130" s="416" t="s">
        <v>166</v>
      </c>
    </row>
    <row r="131" spans="1:33" ht="12.6" customHeight="1" x14ac:dyDescent="0.2">
      <c r="A131" s="18"/>
      <c r="B131" s="843" t="s">
        <v>167</v>
      </c>
      <c r="C131" s="844"/>
      <c r="D131" s="844"/>
      <c r="E131" s="845"/>
      <c r="F131" s="306"/>
      <c r="G131" s="287"/>
      <c r="H131" s="523"/>
      <c r="I131" s="287"/>
      <c r="J131" s="71"/>
      <c r="K131" s="287"/>
      <c r="L131" s="523"/>
      <c r="M131" s="287"/>
      <c r="N131" s="523"/>
      <c r="O131" s="287"/>
      <c r="P131" s="523"/>
      <c r="Q131" s="287"/>
      <c r="R131" s="523"/>
      <c r="S131" s="287"/>
      <c r="T131" s="523"/>
      <c r="U131" s="287"/>
      <c r="V131" s="523"/>
      <c r="W131" s="287"/>
      <c r="X131" s="674"/>
      <c r="Y131" s="1026"/>
      <c r="Z131" s="1026"/>
      <c r="AA131" s="719"/>
      <c r="AB131" s="451" t="s">
        <v>168</v>
      </c>
    </row>
    <row r="132" spans="1:33" ht="12.6" customHeight="1" x14ac:dyDescent="0.2">
      <c r="A132" s="18"/>
      <c r="B132" s="680" t="s">
        <v>169</v>
      </c>
      <c r="C132" s="691"/>
      <c r="D132" s="691"/>
      <c r="E132" s="692"/>
      <c r="F132" s="288"/>
      <c r="G132" s="288"/>
      <c r="H132" s="460"/>
      <c r="I132" s="288"/>
      <c r="J132" s="89"/>
      <c r="K132" s="288"/>
      <c r="L132" s="460"/>
      <c r="M132" s="288"/>
      <c r="N132" s="460"/>
      <c r="O132" s="288"/>
      <c r="P132" s="460"/>
      <c r="Q132" s="288"/>
      <c r="R132" s="460"/>
      <c r="S132" s="288"/>
      <c r="T132" s="460"/>
      <c r="U132" s="288"/>
      <c r="V132" s="460"/>
      <c r="W132" s="288"/>
      <c r="X132" s="1026"/>
      <c r="Y132" s="1026"/>
      <c r="Z132" s="1026"/>
      <c r="AA132" s="1026"/>
      <c r="AB132" s="192" t="s">
        <v>170</v>
      </c>
    </row>
    <row r="133" spans="1:33" ht="12.6" customHeight="1" x14ac:dyDescent="0.2">
      <c r="A133" s="18"/>
      <c r="B133" s="683" t="s">
        <v>171</v>
      </c>
      <c r="C133" s="684"/>
      <c r="D133" s="684"/>
      <c r="E133" s="685"/>
      <c r="F133" s="287"/>
      <c r="G133" s="287"/>
      <c r="H133" s="523"/>
      <c r="I133" s="287"/>
      <c r="J133" s="71"/>
      <c r="K133" s="287"/>
      <c r="L133" s="523"/>
      <c r="M133" s="287"/>
      <c r="N133" s="523"/>
      <c r="O133" s="287"/>
      <c r="P133" s="523"/>
      <c r="Q133" s="287"/>
      <c r="R133" s="523"/>
      <c r="S133" s="287"/>
      <c r="T133" s="523"/>
      <c r="U133" s="287"/>
      <c r="V133" s="523"/>
      <c r="W133" s="287"/>
      <c r="X133" s="1026"/>
      <c r="Y133" s="1026"/>
      <c r="Z133" s="1026"/>
      <c r="AA133" s="1026"/>
      <c r="AB133" s="192" t="s">
        <v>172</v>
      </c>
    </row>
    <row r="134" spans="1:33" ht="12.6" customHeight="1" x14ac:dyDescent="0.2">
      <c r="A134" s="97"/>
      <c r="B134" s="680" t="s">
        <v>365</v>
      </c>
      <c r="C134" s="681"/>
      <c r="D134" s="681"/>
      <c r="E134" s="682"/>
      <c r="F134" s="288"/>
      <c r="G134" s="288"/>
      <c r="H134" s="89"/>
      <c r="I134" s="460"/>
      <c r="J134" s="460"/>
      <c r="K134" s="460"/>
      <c r="L134" s="460"/>
      <c r="M134" s="288"/>
      <c r="N134" s="460"/>
      <c r="O134" s="288"/>
      <c r="P134" s="460"/>
      <c r="Q134" s="288"/>
      <c r="R134" s="460"/>
      <c r="S134" s="288"/>
      <c r="T134" s="460"/>
      <c r="U134" s="288"/>
      <c r="V134" s="460"/>
      <c r="W134" s="288"/>
      <c r="X134" s="926"/>
      <c r="Y134" s="1218"/>
      <c r="Z134" s="1218"/>
      <c r="AA134" s="1219"/>
      <c r="AB134" s="192"/>
    </row>
    <row r="135" spans="1:33" ht="12.6" customHeight="1" x14ac:dyDescent="0.2">
      <c r="A135" s="97"/>
      <c r="B135" s="711" t="s">
        <v>173</v>
      </c>
      <c r="C135" s="712"/>
      <c r="D135" s="712"/>
      <c r="E135" s="712"/>
      <c r="F135" s="287"/>
      <c r="G135" s="287"/>
      <c r="H135" s="71"/>
      <c r="I135" s="523"/>
      <c r="J135" s="523"/>
      <c r="K135" s="523"/>
      <c r="L135" s="523"/>
      <c r="M135" s="287"/>
      <c r="N135" s="523"/>
      <c r="O135" s="287"/>
      <c r="P135" s="523"/>
      <c r="Q135" s="287"/>
      <c r="R135" s="523"/>
      <c r="S135" s="287"/>
      <c r="T135" s="523"/>
      <c r="U135" s="287"/>
      <c r="V135" s="523"/>
      <c r="W135" s="287"/>
      <c r="X135" s="926"/>
      <c r="Y135" s="927"/>
      <c r="Z135" s="927"/>
      <c r="AA135" s="928"/>
      <c r="AB135" s="192">
        <v>316</v>
      </c>
      <c r="AC135" s="60"/>
      <c r="AD135" s="60"/>
      <c r="AE135" s="60"/>
      <c r="AF135" s="60"/>
    </row>
    <row r="136" spans="1:33" ht="12.6" customHeight="1" x14ac:dyDescent="0.2">
      <c r="A136" s="97"/>
      <c r="B136" s="689" t="s">
        <v>174</v>
      </c>
      <c r="C136" s="690"/>
      <c r="D136" s="690"/>
      <c r="E136" s="690"/>
      <c r="F136" s="288"/>
      <c r="G136" s="529"/>
      <c r="H136" s="89"/>
      <c r="I136" s="530"/>
      <c r="J136" s="460"/>
      <c r="K136" s="530"/>
      <c r="L136" s="460"/>
      <c r="M136" s="531"/>
      <c r="N136" s="460"/>
      <c r="O136" s="531"/>
      <c r="P136" s="460"/>
      <c r="Q136" s="531"/>
      <c r="R136" s="460"/>
      <c r="S136" s="531"/>
      <c r="T136" s="460"/>
      <c r="U136" s="288"/>
      <c r="V136" s="460"/>
      <c r="W136" s="288"/>
      <c r="X136" s="926"/>
      <c r="Y136" s="927"/>
      <c r="Z136" s="927"/>
      <c r="AA136" s="928"/>
      <c r="AB136" s="192">
        <v>318</v>
      </c>
      <c r="AC136" s="60"/>
      <c r="AD136" s="60"/>
      <c r="AE136" s="60"/>
      <c r="AF136" s="60"/>
    </row>
    <row r="137" spans="1:33" ht="12.6" customHeight="1" x14ac:dyDescent="0.2">
      <c r="A137" s="18"/>
      <c r="B137" s="1077" t="s">
        <v>333</v>
      </c>
      <c r="C137" s="1078"/>
      <c r="D137" s="1078"/>
      <c r="E137" s="1078"/>
      <c r="F137" s="287">
        <v>1092</v>
      </c>
      <c r="G137" s="312">
        <f>+F137*$X$1</f>
        <v>1092</v>
      </c>
      <c r="H137" s="193" t="s">
        <v>175</v>
      </c>
      <c r="I137" s="196"/>
      <c r="J137" s="85"/>
      <c r="K137" s="85"/>
      <c r="L137" s="165"/>
      <c r="M137" s="85"/>
      <c r="N137" s="85"/>
      <c r="O137" s="85"/>
      <c r="P137" s="82">
        <v>80</v>
      </c>
      <c r="Q137" s="195">
        <f>+P137*$X$1</f>
        <v>80</v>
      </c>
      <c r="R137" s="526"/>
      <c r="S137" s="527"/>
      <c r="T137" s="71"/>
      <c r="U137" s="287"/>
      <c r="V137" s="523"/>
      <c r="W137" s="287"/>
      <c r="X137" s="926"/>
      <c r="Y137" s="927"/>
      <c r="Z137" s="927"/>
      <c r="AA137" s="928"/>
      <c r="AB137" s="419"/>
      <c r="AC137" s="1210"/>
      <c r="AD137" s="1211"/>
      <c r="AE137" s="1211"/>
      <c r="AF137" s="1211"/>
      <c r="AG137" s="4"/>
    </row>
    <row r="138" spans="1:33" ht="12.6" customHeight="1" x14ac:dyDescent="0.2">
      <c r="A138" s="18"/>
      <c r="B138" s="796" t="s">
        <v>334</v>
      </c>
      <c r="C138" s="1076"/>
      <c r="D138" s="1076"/>
      <c r="E138" s="1076"/>
      <c r="F138" s="288">
        <v>1177</v>
      </c>
      <c r="G138" s="353">
        <f>+F138*$X$1</f>
        <v>1177</v>
      </c>
      <c r="H138" s="264" t="s">
        <v>175</v>
      </c>
      <c r="I138" s="265"/>
      <c r="J138" s="266"/>
      <c r="K138" s="266"/>
      <c r="L138" s="267"/>
      <c r="M138" s="266"/>
      <c r="N138" s="266"/>
      <c r="O138" s="266"/>
      <c r="P138" s="268">
        <v>80</v>
      </c>
      <c r="Q138" s="269">
        <f>+P138*$X$1</f>
        <v>80</v>
      </c>
      <c r="R138" s="534"/>
      <c r="S138" s="532"/>
      <c r="T138" s="533"/>
      <c r="U138" s="290"/>
      <c r="V138" s="95"/>
      <c r="W138" s="290"/>
      <c r="X138" s="926"/>
      <c r="Y138" s="927"/>
      <c r="Z138" s="927"/>
      <c r="AA138" s="928"/>
      <c r="AB138" s="419"/>
    </row>
    <row r="139" spans="1:33" ht="12.6" customHeight="1" x14ac:dyDescent="0.2">
      <c r="A139" s="18"/>
      <c r="B139" s="1077" t="s">
        <v>849</v>
      </c>
      <c r="C139" s="1078"/>
      <c r="D139" s="1078"/>
      <c r="E139" s="1078"/>
      <c r="F139" s="330"/>
      <c r="G139" s="287"/>
      <c r="H139" s="271"/>
      <c r="I139" s="287"/>
      <c r="J139" s="523">
        <f>F138+170</f>
        <v>1347</v>
      </c>
      <c r="K139" s="287">
        <f t="shared" ref="K139:K140" si="272">+J139*$X$1</f>
        <v>1347</v>
      </c>
      <c r="L139" s="523">
        <f>F138+120</f>
        <v>1297</v>
      </c>
      <c r="M139" s="287">
        <f>+L139*$X$1</f>
        <v>1297</v>
      </c>
      <c r="N139" s="523">
        <f>F138+75</f>
        <v>1252</v>
      </c>
      <c r="O139" s="287">
        <f>+N139*$X$1</f>
        <v>1252</v>
      </c>
      <c r="P139" s="523">
        <f>F138+60</f>
        <v>1237</v>
      </c>
      <c r="Q139" s="287">
        <f t="shared" ref="Q139:Q140" si="273">+P139*$X$1</f>
        <v>1237</v>
      </c>
      <c r="R139" s="523">
        <f>F138+52</f>
        <v>1229</v>
      </c>
      <c r="S139" s="287">
        <f>+R139*$X$1</f>
        <v>1229</v>
      </c>
      <c r="T139" s="523">
        <f>F138+47</f>
        <v>1224</v>
      </c>
      <c r="U139" s="287">
        <f t="shared" ref="U139:U140" si="274">+T139*$X$1</f>
        <v>1224</v>
      </c>
      <c r="V139" s="523">
        <f>F138+43</f>
        <v>1220</v>
      </c>
      <c r="W139" s="287">
        <f>+V139*$X$1</f>
        <v>1220</v>
      </c>
      <c r="X139" s="926"/>
      <c r="Y139" s="927"/>
      <c r="Z139" s="927"/>
      <c r="AA139" s="928"/>
      <c r="AB139" s="416">
        <v>321</v>
      </c>
    </row>
    <row r="140" spans="1:33" ht="12.6" customHeight="1" x14ac:dyDescent="0.2">
      <c r="A140" s="18"/>
      <c r="B140" s="796" t="s">
        <v>545</v>
      </c>
      <c r="C140" s="1076"/>
      <c r="D140" s="1076"/>
      <c r="E140" s="1076"/>
      <c r="F140" s="329"/>
      <c r="G140" s="288"/>
      <c r="H140" s="299"/>
      <c r="I140" s="288"/>
      <c r="J140" s="460">
        <f>F138+340</f>
        <v>1517</v>
      </c>
      <c r="K140" s="288">
        <f t="shared" si="272"/>
        <v>1517</v>
      </c>
      <c r="L140" s="460">
        <f>F138+220</f>
        <v>1397</v>
      </c>
      <c r="M140" s="288">
        <f>+L140*$X$1</f>
        <v>1397</v>
      </c>
      <c r="N140" s="460">
        <f>F138+160</f>
        <v>1337</v>
      </c>
      <c r="O140" s="288">
        <f>+N140*$X$1</f>
        <v>1337</v>
      </c>
      <c r="P140" s="460">
        <f>F138+141</f>
        <v>1318</v>
      </c>
      <c r="Q140" s="288">
        <f t="shared" si="273"/>
        <v>1318</v>
      </c>
      <c r="R140" s="460">
        <f>F138+120</f>
        <v>1297</v>
      </c>
      <c r="S140" s="288">
        <f>+R140*$X$1</f>
        <v>1297</v>
      </c>
      <c r="T140" s="460">
        <f>F138+110</f>
        <v>1287</v>
      </c>
      <c r="U140" s="288">
        <f t="shared" si="274"/>
        <v>1287</v>
      </c>
      <c r="V140" s="460">
        <f>F138+103</f>
        <v>1280</v>
      </c>
      <c r="W140" s="288">
        <f>+V140*$X$1</f>
        <v>1280</v>
      </c>
      <c r="X140" s="926"/>
      <c r="Y140" s="927"/>
      <c r="Z140" s="927"/>
      <c r="AA140" s="928"/>
      <c r="AB140" s="416">
        <v>322</v>
      </c>
    </row>
    <row r="141" spans="1:33" ht="12.6" customHeight="1" x14ac:dyDescent="0.2">
      <c r="A141" s="18"/>
      <c r="B141" s="1077" t="s">
        <v>335</v>
      </c>
      <c r="C141" s="1078"/>
      <c r="D141" s="1078"/>
      <c r="E141" s="1078"/>
      <c r="F141" s="287">
        <v>1366</v>
      </c>
      <c r="G141" s="312">
        <f>+F141*$X$1</f>
        <v>1366</v>
      </c>
      <c r="H141" s="459" t="s">
        <v>175</v>
      </c>
      <c r="I141" s="194"/>
      <c r="J141" s="83"/>
      <c r="K141" s="83"/>
      <c r="L141" s="83"/>
      <c r="M141" s="83"/>
      <c r="N141" s="83"/>
      <c r="O141" s="83"/>
      <c r="P141" s="84">
        <v>110</v>
      </c>
      <c r="Q141" s="270">
        <f>+P141*$X$1</f>
        <v>110</v>
      </c>
      <c r="R141" s="65"/>
      <c r="S141" s="349"/>
      <c r="T141" s="273"/>
      <c r="U141" s="354"/>
      <c r="V141" s="86"/>
      <c r="W141" s="528"/>
      <c r="X141" s="926"/>
      <c r="Y141" s="927"/>
      <c r="Z141" s="927"/>
      <c r="AA141" s="928"/>
      <c r="AB141" s="419"/>
    </row>
    <row r="142" spans="1:33" ht="12.6" customHeight="1" x14ac:dyDescent="0.2">
      <c r="A142" s="18"/>
      <c r="B142" s="689" t="s">
        <v>176</v>
      </c>
      <c r="C142" s="690"/>
      <c r="D142" s="690"/>
      <c r="E142" s="690"/>
      <c r="F142" s="290">
        <v>1456</v>
      </c>
      <c r="G142" s="353">
        <f>+F142*$X$1</f>
        <v>1456</v>
      </c>
      <c r="H142" s="264" t="s">
        <v>175</v>
      </c>
      <c r="I142" s="274"/>
      <c r="J142" s="83"/>
      <c r="K142" s="83"/>
      <c r="L142" s="83"/>
      <c r="M142" s="83"/>
      <c r="N142" s="83"/>
      <c r="O142" s="83"/>
      <c r="P142" s="84">
        <v>110</v>
      </c>
      <c r="Q142" s="195">
        <f>+P142*$X$1</f>
        <v>110</v>
      </c>
      <c r="R142" s="259"/>
      <c r="S142" s="342"/>
      <c r="T142" s="272"/>
      <c r="U142" s="355"/>
      <c r="V142" s="89"/>
      <c r="W142" s="319"/>
      <c r="X142" s="926"/>
      <c r="Y142" s="927"/>
      <c r="Z142" s="927"/>
      <c r="AA142" s="928"/>
      <c r="AB142" s="419"/>
    </row>
    <row r="143" spans="1:33" ht="12.6" customHeight="1" x14ac:dyDescent="0.2">
      <c r="A143" s="18"/>
      <c r="B143" s="711" t="s">
        <v>848</v>
      </c>
      <c r="C143" s="712"/>
      <c r="D143" s="712"/>
      <c r="E143" s="712"/>
      <c r="F143" s="346"/>
      <c r="G143" s="346"/>
      <c r="H143" s="281"/>
      <c r="I143" s="343"/>
      <c r="J143" s="523">
        <f>F142+170</f>
        <v>1626</v>
      </c>
      <c r="K143" s="287">
        <f t="shared" ref="K143" si="275">+J143*$X$1</f>
        <v>1626</v>
      </c>
      <c r="L143" s="523">
        <f>F142+120</f>
        <v>1576</v>
      </c>
      <c r="M143" s="287">
        <f>+L143*$X$1</f>
        <v>1576</v>
      </c>
      <c r="N143" s="523">
        <f>F142+75</f>
        <v>1531</v>
      </c>
      <c r="O143" s="287">
        <f>+N143*$X$1</f>
        <v>1531</v>
      </c>
      <c r="P143" s="523">
        <f>F142+60</f>
        <v>1516</v>
      </c>
      <c r="Q143" s="287">
        <f t="shared" ref="Q143" si="276">+P143*$X$1</f>
        <v>1516</v>
      </c>
      <c r="R143" s="523">
        <f>F142+52</f>
        <v>1508</v>
      </c>
      <c r="S143" s="287">
        <f>+R143*$X$1</f>
        <v>1508</v>
      </c>
      <c r="T143" s="523">
        <f>F142+47</f>
        <v>1503</v>
      </c>
      <c r="U143" s="287">
        <f t="shared" ref="U143" si="277">+T143*$X$1</f>
        <v>1503</v>
      </c>
      <c r="V143" s="523">
        <f>F142+43</f>
        <v>1499</v>
      </c>
      <c r="W143" s="287">
        <f>+V143*$X$1</f>
        <v>1499</v>
      </c>
      <c r="X143" s="926"/>
      <c r="Y143" s="927"/>
      <c r="Z143" s="927"/>
      <c r="AA143" s="928"/>
      <c r="AB143" s="416">
        <v>325</v>
      </c>
    </row>
    <row r="144" spans="1:33" ht="12.6" customHeight="1" x14ac:dyDescent="0.2">
      <c r="A144" s="18"/>
      <c r="B144" s="689" t="s">
        <v>544</v>
      </c>
      <c r="C144" s="690"/>
      <c r="D144" s="690"/>
      <c r="E144" s="690"/>
      <c r="F144" s="345"/>
      <c r="G144" s="345"/>
      <c r="H144" s="280"/>
      <c r="I144" s="344"/>
      <c r="J144" s="460">
        <f>F142+360</f>
        <v>1816</v>
      </c>
      <c r="K144" s="288">
        <f t="shared" ref="K144" si="278">+J144*$X$1</f>
        <v>1816</v>
      </c>
      <c r="L144" s="460">
        <f>F142+240</f>
        <v>1696</v>
      </c>
      <c r="M144" s="288">
        <f>+L144*$X$1</f>
        <v>1696</v>
      </c>
      <c r="N144" s="460">
        <f>F142+170</f>
        <v>1626</v>
      </c>
      <c r="O144" s="288">
        <f>+N144*$X$1</f>
        <v>1626</v>
      </c>
      <c r="P144" s="460">
        <f>F142+150</f>
        <v>1606</v>
      </c>
      <c r="Q144" s="288">
        <f t="shared" ref="Q144" si="279">+P144*$X$1</f>
        <v>1606</v>
      </c>
      <c r="R144" s="460">
        <f>F142+130</f>
        <v>1586</v>
      </c>
      <c r="S144" s="288">
        <f>+R144*$X$1</f>
        <v>1586</v>
      </c>
      <c r="T144" s="460">
        <f>F142+120</f>
        <v>1576</v>
      </c>
      <c r="U144" s="288">
        <f t="shared" ref="U144" si="280">+T144*$X$1</f>
        <v>1576</v>
      </c>
      <c r="V144" s="460">
        <f>F142+110</f>
        <v>1566</v>
      </c>
      <c r="W144" s="288">
        <f>+V144*$X$1</f>
        <v>1566</v>
      </c>
      <c r="X144" s="926"/>
      <c r="Y144" s="927"/>
      <c r="Z144" s="927"/>
      <c r="AA144" s="928"/>
      <c r="AB144" s="416">
        <v>326</v>
      </c>
    </row>
    <row r="145" spans="1:34" ht="12.6" customHeight="1" x14ac:dyDescent="0.2">
      <c r="A145" s="18"/>
      <c r="B145" s="711" t="s">
        <v>355</v>
      </c>
      <c r="C145" s="712"/>
      <c r="D145" s="712"/>
      <c r="E145" s="712"/>
      <c r="F145" s="380">
        <f>8.3*X2</f>
        <v>8839.5</v>
      </c>
      <c r="G145" s="287">
        <f>+F145*$X$1</f>
        <v>8839.5</v>
      </c>
      <c r="H145" s="523">
        <f>F145+400</f>
        <v>9239.5</v>
      </c>
      <c r="I145" s="287">
        <f t="shared" ref="I145" si="281">+H145*$X$1</f>
        <v>9239.5</v>
      </c>
      <c r="J145" s="523">
        <f>F145+150</f>
        <v>8989.5</v>
      </c>
      <c r="K145" s="287">
        <f t="shared" ref="K145" si="282">+J145*$X$1</f>
        <v>8989.5</v>
      </c>
      <c r="L145" s="523">
        <f>F145+90</f>
        <v>8929.5</v>
      </c>
      <c r="M145" s="287">
        <f t="shared" ref="M145" si="283">+L145*$X$1</f>
        <v>8929.5</v>
      </c>
      <c r="N145" s="523">
        <f>F145+63</f>
        <v>8902.5</v>
      </c>
      <c r="O145" s="287">
        <f>+N145*$X$1</f>
        <v>8902.5</v>
      </c>
      <c r="P145" s="523">
        <f>F145+55</f>
        <v>8894.5</v>
      </c>
      <c r="Q145" s="287">
        <f t="shared" ref="Q145" si="284">+P145*$X$1</f>
        <v>8894.5</v>
      </c>
      <c r="R145" s="523">
        <f>F145+49</f>
        <v>8888.5</v>
      </c>
      <c r="S145" s="287">
        <f>+R145*$X$1</f>
        <v>8888.5</v>
      </c>
      <c r="T145" s="523">
        <f>F145+43</f>
        <v>8882.5</v>
      </c>
      <c r="U145" s="287">
        <f>+T145*$X$1</f>
        <v>8882.5</v>
      </c>
      <c r="V145" s="523">
        <f>F145+38</f>
        <v>8877.5</v>
      </c>
      <c r="W145" s="287">
        <f>+V145*$X$1</f>
        <v>8877.5</v>
      </c>
      <c r="X145" s="686"/>
      <c r="Y145" s="717"/>
      <c r="Z145" s="717"/>
      <c r="AA145" s="688"/>
      <c r="AB145" s="192">
        <v>332</v>
      </c>
    </row>
    <row r="146" spans="1:34" ht="12.6" customHeight="1" x14ac:dyDescent="0.2">
      <c r="A146" s="20"/>
      <c r="B146" s="932" t="s">
        <v>177</v>
      </c>
      <c r="C146" s="933"/>
      <c r="D146" s="933"/>
      <c r="E146" s="933"/>
      <c r="F146" s="288">
        <v>490</v>
      </c>
      <c r="G146" s="288">
        <f t="shared" ref="G146" si="285">+F146*$X$1</f>
        <v>490</v>
      </c>
      <c r="H146" s="600"/>
      <c r="I146" s="600"/>
      <c r="J146" s="460">
        <f>F146+320</f>
        <v>810</v>
      </c>
      <c r="K146" s="288">
        <f t="shared" ref="K146" si="286">+J146*$X$1</f>
        <v>810</v>
      </c>
      <c r="L146" s="460">
        <f>F146+270</f>
        <v>760</v>
      </c>
      <c r="M146" s="288">
        <f>+L146*$X$1</f>
        <v>760</v>
      </c>
      <c r="N146" s="460">
        <f>F146+250</f>
        <v>740</v>
      </c>
      <c r="O146" s="288">
        <f>+N146*$X$1</f>
        <v>740</v>
      </c>
      <c r="P146" s="460">
        <f>F146+220</f>
        <v>710</v>
      </c>
      <c r="Q146" s="288">
        <f t="shared" ref="Q146" si="287">+P146*$X$1</f>
        <v>710</v>
      </c>
      <c r="R146" s="460">
        <f>F146+200</f>
        <v>690</v>
      </c>
      <c r="S146" s="288">
        <f>+R146*$X$1</f>
        <v>690</v>
      </c>
      <c r="T146" s="460">
        <f>F146+180</f>
        <v>670</v>
      </c>
      <c r="U146" s="288">
        <f t="shared" ref="U146" si="288">+T146*$X$1</f>
        <v>670</v>
      </c>
      <c r="V146" s="460">
        <f>F146+160</f>
        <v>650</v>
      </c>
      <c r="W146" s="288">
        <f>+V146*$X$1</f>
        <v>650</v>
      </c>
      <c r="X146" s="147"/>
      <c r="Y146" s="147"/>
      <c r="Z146" s="147"/>
      <c r="AA146" s="147"/>
      <c r="AB146" s="192">
        <v>347</v>
      </c>
    </row>
    <row r="147" spans="1:34" ht="12.6" customHeight="1" x14ac:dyDescent="0.2">
      <c r="A147" s="20"/>
      <c r="B147" s="711" t="s">
        <v>637</v>
      </c>
      <c r="C147" s="712"/>
      <c r="D147" s="712"/>
      <c r="E147" s="712"/>
      <c r="F147" s="298"/>
      <c r="G147" s="601"/>
      <c r="H147" s="602"/>
      <c r="I147" s="602"/>
      <c r="J147" s="602"/>
      <c r="K147" s="602"/>
      <c r="L147" s="262"/>
      <c r="M147" s="262"/>
      <c r="N147" s="278"/>
      <c r="O147" s="602"/>
      <c r="P147" s="262"/>
      <c r="Q147" s="262"/>
      <c r="R147" s="602"/>
      <c r="S147" s="602"/>
      <c r="T147" s="602"/>
      <c r="U147" s="96"/>
      <c r="V147" s="602"/>
      <c r="W147" s="96"/>
      <c r="X147" s="147"/>
      <c r="Y147" s="147"/>
      <c r="Z147" s="147"/>
      <c r="AA147" s="147"/>
      <c r="AB147" s="192">
        <v>348</v>
      </c>
    </row>
    <row r="148" spans="1:34" ht="12.6" customHeight="1" x14ac:dyDescent="0.2">
      <c r="A148" s="20"/>
      <c r="B148" s="689" t="s">
        <v>178</v>
      </c>
      <c r="C148" s="690"/>
      <c r="D148" s="690"/>
      <c r="E148" s="690"/>
      <c r="F148" s="297"/>
      <c r="G148" s="603"/>
      <c r="H148" s="460"/>
      <c r="I148" s="460"/>
      <c r="J148" s="460"/>
      <c r="K148" s="460"/>
      <c r="L148" s="260"/>
      <c r="M148" s="260"/>
      <c r="N148" s="284"/>
      <c r="O148" s="460"/>
      <c r="P148" s="260"/>
      <c r="Q148" s="260"/>
      <c r="R148" s="460"/>
      <c r="S148" s="460"/>
      <c r="T148" s="460"/>
      <c r="U148" s="94"/>
      <c r="V148" s="460"/>
      <c r="W148" s="94"/>
      <c r="X148" s="147"/>
      <c r="Y148" s="147"/>
      <c r="Z148" s="147"/>
      <c r="AA148" s="147"/>
      <c r="AB148" s="192">
        <v>349</v>
      </c>
    </row>
    <row r="149" spans="1:34" ht="12.6" customHeight="1" x14ac:dyDescent="0.2">
      <c r="A149" s="20"/>
      <c r="B149" s="711" t="s">
        <v>179</v>
      </c>
      <c r="C149" s="712"/>
      <c r="D149" s="712"/>
      <c r="E149" s="712"/>
      <c r="F149" s="298"/>
      <c r="G149" s="601"/>
      <c r="H149" s="602"/>
      <c r="I149" s="602"/>
      <c r="J149" s="602"/>
      <c r="K149" s="602"/>
      <c r="L149" s="262"/>
      <c r="M149" s="262"/>
      <c r="N149" s="278"/>
      <c r="O149" s="602"/>
      <c r="P149" s="262"/>
      <c r="Q149" s="262"/>
      <c r="R149" s="602"/>
      <c r="S149" s="602"/>
      <c r="T149" s="602"/>
      <c r="U149" s="96"/>
      <c r="V149" s="602"/>
      <c r="W149" s="96"/>
      <c r="X149" s="147"/>
      <c r="Y149" s="147"/>
      <c r="Z149" s="147"/>
      <c r="AA149" s="147"/>
      <c r="AB149" s="192">
        <v>350</v>
      </c>
    </row>
    <row r="150" spans="1:34" ht="12.6" customHeight="1" x14ac:dyDescent="0.2">
      <c r="A150" s="20"/>
      <c r="B150" s="689" t="s">
        <v>180</v>
      </c>
      <c r="C150" s="690"/>
      <c r="D150" s="690"/>
      <c r="E150" s="690"/>
      <c r="F150" s="297"/>
      <c r="G150" s="603"/>
      <c r="H150" s="460"/>
      <c r="I150" s="460"/>
      <c r="J150" s="460"/>
      <c r="K150" s="460"/>
      <c r="L150" s="260"/>
      <c r="M150" s="260"/>
      <c r="N150" s="284"/>
      <c r="O150" s="460"/>
      <c r="P150" s="260"/>
      <c r="Q150" s="260"/>
      <c r="R150" s="460"/>
      <c r="S150" s="460"/>
      <c r="T150" s="460"/>
      <c r="U150" s="94"/>
      <c r="V150" s="460"/>
      <c r="W150" s="94"/>
      <c r="X150" s="147"/>
      <c r="Y150" s="147"/>
      <c r="Z150" s="147"/>
      <c r="AA150" s="147"/>
      <c r="AB150" s="192">
        <v>351</v>
      </c>
    </row>
    <row r="151" spans="1:34" ht="12.6" customHeight="1" x14ac:dyDescent="0.2">
      <c r="A151" s="20"/>
      <c r="B151" s="711" t="s">
        <v>181</v>
      </c>
      <c r="C151" s="712"/>
      <c r="D151" s="712"/>
      <c r="E151" s="712"/>
      <c r="F151" s="298"/>
      <c r="G151" s="601"/>
      <c r="H151" s="602"/>
      <c r="I151" s="602"/>
      <c r="J151" s="602"/>
      <c r="K151" s="602"/>
      <c r="L151" s="262"/>
      <c r="M151" s="262"/>
      <c r="N151" s="103"/>
      <c r="O151" s="602"/>
      <c r="P151" s="262"/>
      <c r="Q151" s="262"/>
      <c r="R151" s="602"/>
      <c r="S151" s="602"/>
      <c r="T151" s="103"/>
      <c r="U151" s="614"/>
      <c r="V151" s="103"/>
      <c r="W151" s="614"/>
      <c r="X151" s="147"/>
      <c r="Y151" s="147"/>
      <c r="Z151" s="147"/>
      <c r="AA151" s="147"/>
      <c r="AB151" s="192">
        <v>352</v>
      </c>
    </row>
    <row r="152" spans="1:34" ht="12.6" customHeight="1" x14ac:dyDescent="0.2">
      <c r="A152" s="20"/>
      <c r="B152" s="680" t="s">
        <v>372</v>
      </c>
      <c r="C152" s="691"/>
      <c r="D152" s="691"/>
      <c r="E152" s="692"/>
      <c r="F152" s="384">
        <f>0.65*X2</f>
        <v>692.25</v>
      </c>
      <c r="G152" s="305">
        <f t="shared" ref="G152" si="289">+F152*$X$1</f>
        <v>692.25</v>
      </c>
      <c r="H152" s="565"/>
      <c r="I152" s="288"/>
      <c r="J152" s="460"/>
      <c r="K152" s="288"/>
      <c r="L152" s="460">
        <f>F152+120</f>
        <v>812.25</v>
      </c>
      <c r="M152" s="288">
        <f>+L152*$X$1</f>
        <v>812.25</v>
      </c>
      <c r="N152" s="460">
        <f>F152+63</f>
        <v>755.25</v>
      </c>
      <c r="O152" s="288">
        <f>+N152*$X$1</f>
        <v>755.25</v>
      </c>
      <c r="P152" s="460">
        <f>F152+54</f>
        <v>746.25</v>
      </c>
      <c r="Q152" s="288">
        <f>+P152*$X$1</f>
        <v>746.25</v>
      </c>
      <c r="R152" s="460">
        <f>F152+45</f>
        <v>737.25</v>
      </c>
      <c r="S152" s="288">
        <f>+R152*$X$1</f>
        <v>737.25</v>
      </c>
      <c r="T152" s="102">
        <f>F152+37</f>
        <v>729.25</v>
      </c>
      <c r="U152" s="305">
        <f>+T152*$X$1</f>
        <v>729.25</v>
      </c>
      <c r="V152" s="102">
        <f>F152+32</f>
        <v>724.25</v>
      </c>
      <c r="W152" s="305">
        <f>+V152*$X$1</f>
        <v>724.25</v>
      </c>
      <c r="X152" s="674"/>
      <c r="Y152" s="675"/>
      <c r="Z152" s="675"/>
      <c r="AA152" s="676"/>
      <c r="AB152" s="192">
        <v>370</v>
      </c>
    </row>
    <row r="153" spans="1:34" ht="12.6" customHeight="1" x14ac:dyDescent="0.2">
      <c r="A153" s="20"/>
      <c r="B153" s="843" t="s">
        <v>548</v>
      </c>
      <c r="C153" s="844"/>
      <c r="D153" s="844"/>
      <c r="E153" s="845"/>
      <c r="F153" s="306">
        <v>1098</v>
      </c>
      <c r="G153" s="255">
        <f t="shared" ref="G153" si="290">+F153*$X$1</f>
        <v>1098</v>
      </c>
      <c r="H153" s="524"/>
      <c r="I153" s="287"/>
      <c r="J153" s="622">
        <f>F153+180</f>
        <v>1278</v>
      </c>
      <c r="K153" s="287">
        <f t="shared" ref="K153" si="291">+J153*$X$1</f>
        <v>1278</v>
      </c>
      <c r="L153" s="602">
        <f>F153+120</f>
        <v>1218</v>
      </c>
      <c r="M153" s="287">
        <f>+L153*$X$1</f>
        <v>1218</v>
      </c>
      <c r="N153" s="602">
        <f>F153+63</f>
        <v>1161</v>
      </c>
      <c r="O153" s="287">
        <f>+N153*$X$1</f>
        <v>1161</v>
      </c>
      <c r="P153" s="602">
        <f>F153+54</f>
        <v>1152</v>
      </c>
      <c r="Q153" s="287">
        <f>+P153*$X$1</f>
        <v>1152</v>
      </c>
      <c r="R153" s="602">
        <f>F153+45</f>
        <v>1143</v>
      </c>
      <c r="S153" s="287">
        <f>+R153*$X$1</f>
        <v>1143</v>
      </c>
      <c r="T153" s="103">
        <f>F153+37</f>
        <v>1135</v>
      </c>
      <c r="U153" s="255">
        <f>+T153*$X$1</f>
        <v>1135</v>
      </c>
      <c r="V153" s="103">
        <f>F153+32</f>
        <v>1130</v>
      </c>
      <c r="W153" s="255">
        <f>+V153*$X$1</f>
        <v>1130</v>
      </c>
      <c r="X153" s="674"/>
      <c r="Y153" s="675"/>
      <c r="Z153" s="675"/>
      <c r="AA153" s="676"/>
      <c r="AB153" s="405">
        <v>373</v>
      </c>
    </row>
    <row r="154" spans="1:34" ht="12.6" customHeight="1" x14ac:dyDescent="0.2">
      <c r="A154" s="20"/>
      <c r="B154" s="680" t="s">
        <v>182</v>
      </c>
      <c r="C154" s="691"/>
      <c r="D154" s="691"/>
      <c r="E154" s="692"/>
      <c r="F154" s="381">
        <f>1.36*X2</f>
        <v>1448.4</v>
      </c>
      <c r="G154" s="305">
        <f>+F154*$X$1</f>
        <v>1448.4</v>
      </c>
      <c r="H154" s="460"/>
      <c r="I154" s="288"/>
      <c r="J154" s="460">
        <f>F154+180</f>
        <v>1628.4</v>
      </c>
      <c r="K154" s="288">
        <f t="shared" ref="K154" si="292">+J154*$X$1</f>
        <v>1628.4</v>
      </c>
      <c r="L154" s="460">
        <f>F154+120</f>
        <v>1568.4</v>
      </c>
      <c r="M154" s="288">
        <f>+L154*$X$1</f>
        <v>1568.4</v>
      </c>
      <c r="N154" s="460">
        <f>F154+63</f>
        <v>1511.4</v>
      </c>
      <c r="O154" s="288">
        <f>+N154*$X$1</f>
        <v>1511.4</v>
      </c>
      <c r="P154" s="460">
        <f>F154+54</f>
        <v>1502.4</v>
      </c>
      <c r="Q154" s="288">
        <f>+P154*$X$1</f>
        <v>1502.4</v>
      </c>
      <c r="R154" s="460">
        <f>F154+45</f>
        <v>1493.4</v>
      </c>
      <c r="S154" s="288">
        <f>+R154*$X$1</f>
        <v>1493.4</v>
      </c>
      <c r="T154" s="102">
        <f>F154+37</f>
        <v>1485.4</v>
      </c>
      <c r="U154" s="305">
        <f>+T154*$X$1</f>
        <v>1485.4</v>
      </c>
      <c r="V154" s="102">
        <f>F154+32</f>
        <v>1480.4</v>
      </c>
      <c r="W154" s="305">
        <f>+V154*$X$1</f>
        <v>1480.4</v>
      </c>
      <c r="X154" s="674"/>
      <c r="Y154" s="675"/>
      <c r="Z154" s="675"/>
      <c r="AA154" s="676"/>
      <c r="AB154" s="192">
        <v>375</v>
      </c>
    </row>
    <row r="155" spans="1:34" ht="12.6" customHeight="1" x14ac:dyDescent="0.2">
      <c r="A155" s="20"/>
      <c r="B155" s="683" t="s">
        <v>183</v>
      </c>
      <c r="C155" s="684"/>
      <c r="D155" s="684"/>
      <c r="E155" s="685"/>
      <c r="F155" s="380">
        <f>4.67*X2</f>
        <v>4973.55</v>
      </c>
      <c r="G155" s="255">
        <f>+F155*$X$1</f>
        <v>4973.55</v>
      </c>
      <c r="H155" s="602">
        <f>F155+400</f>
        <v>5373.55</v>
      </c>
      <c r="I155" s="287">
        <f t="shared" ref="I155" si="293">+H155*$X$1</f>
        <v>5373.55</v>
      </c>
      <c r="J155" s="602">
        <f>F155+150</f>
        <v>5123.55</v>
      </c>
      <c r="K155" s="287">
        <f>+J155*$X$1</f>
        <v>5123.55</v>
      </c>
      <c r="L155" s="602">
        <f>F155+120</f>
        <v>5093.55</v>
      </c>
      <c r="M155" s="287">
        <f t="shared" ref="M155" si="294">+L155*$X$1</f>
        <v>5093.55</v>
      </c>
      <c r="N155" s="602">
        <f>F155+60</f>
        <v>5033.55</v>
      </c>
      <c r="O155" s="287">
        <f>+N155*$X$1</f>
        <v>5033.55</v>
      </c>
      <c r="P155" s="602">
        <f>F155+54</f>
        <v>5027.55</v>
      </c>
      <c r="Q155" s="287">
        <f t="shared" ref="Q155" si="295">+P155*$X$1</f>
        <v>5027.55</v>
      </c>
      <c r="R155" s="602">
        <f>F155+47</f>
        <v>5020.55</v>
      </c>
      <c r="S155" s="287">
        <f>+R155*$X$1</f>
        <v>5020.55</v>
      </c>
      <c r="T155" s="602">
        <f>F155+39</f>
        <v>5012.55</v>
      </c>
      <c r="U155" s="287">
        <f>+T155*$X$1</f>
        <v>5012.55</v>
      </c>
      <c r="V155" s="602">
        <f>F155+34</f>
        <v>5007.55</v>
      </c>
      <c r="W155" s="287">
        <f>+V155*$X$1</f>
        <v>5007.55</v>
      </c>
      <c r="X155" s="686"/>
      <c r="Y155" s="717"/>
      <c r="Z155" s="717"/>
      <c r="AA155" s="688"/>
      <c r="AB155" s="192">
        <v>376</v>
      </c>
    </row>
    <row r="156" spans="1:34" ht="12.75" customHeight="1" x14ac:dyDescent="0.2">
      <c r="A156" s="18"/>
      <c r="B156" s="3"/>
      <c r="C156" s="3"/>
      <c r="D156" s="3"/>
      <c r="E156" s="3"/>
      <c r="F156" s="12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5"/>
      <c r="F157" s="12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726" t="s">
        <v>11</v>
      </c>
      <c r="C159" s="732" t="s">
        <v>12</v>
      </c>
      <c r="D159" s="733"/>
      <c r="E159" s="733"/>
      <c r="F159" s="709" t="s">
        <v>13</v>
      </c>
      <c r="G159" s="709" t="s">
        <v>13</v>
      </c>
      <c r="H159" s="730" t="s">
        <v>815</v>
      </c>
      <c r="I159" s="730"/>
      <c r="J159" s="731"/>
      <c r="K159" s="731"/>
      <c r="L159" s="731"/>
      <c r="M159" s="731"/>
      <c r="N159" s="731"/>
      <c r="O159" s="731"/>
      <c r="P159" s="731"/>
      <c r="Q159" s="731"/>
      <c r="R159" s="731"/>
      <c r="S159" s="731"/>
      <c r="T159" s="731"/>
      <c r="U159" s="731"/>
      <c r="V159" s="731"/>
      <c r="W159" s="731"/>
      <c r="X159" s="753" t="s">
        <v>14</v>
      </c>
      <c r="Y159" s="754"/>
      <c r="Z159" s="754"/>
      <c r="AA159" s="755"/>
      <c r="AB159" s="791" t="s">
        <v>15</v>
      </c>
      <c r="AF159" s="789" t="s">
        <v>3</v>
      </c>
      <c r="AG159" s="790"/>
      <c r="AH159" s="790"/>
    </row>
    <row r="160" spans="1:34" ht="12.6" customHeight="1" x14ac:dyDescent="0.2">
      <c r="A160" s="18"/>
      <c r="B160" s="726"/>
      <c r="C160" s="733"/>
      <c r="D160" s="733"/>
      <c r="E160" s="733"/>
      <c r="F160" s="710"/>
      <c r="G160" s="710"/>
      <c r="H160" s="476"/>
      <c r="I160" s="474" t="s">
        <v>289</v>
      </c>
      <c r="J160" s="476"/>
      <c r="K160" s="474" t="s">
        <v>17</v>
      </c>
      <c r="L160" s="477"/>
      <c r="M160" s="477" t="s">
        <v>18</v>
      </c>
      <c r="N160" s="477"/>
      <c r="O160" s="474" t="s">
        <v>19</v>
      </c>
      <c r="P160" s="477"/>
      <c r="Q160" s="477" t="s">
        <v>291</v>
      </c>
      <c r="R160" s="477"/>
      <c r="S160" s="477" t="s">
        <v>20</v>
      </c>
      <c r="T160" s="477"/>
      <c r="U160" s="477" t="s">
        <v>21</v>
      </c>
      <c r="V160" s="477"/>
      <c r="W160" s="477" t="s">
        <v>22</v>
      </c>
      <c r="X160" s="756"/>
      <c r="Y160" s="757"/>
      <c r="Z160" s="757"/>
      <c r="AA160" s="758"/>
      <c r="AB160" s="792"/>
      <c r="AG160" s="33"/>
    </row>
    <row r="161" spans="1:38" ht="12.6" customHeight="1" x14ac:dyDescent="0.2">
      <c r="A161" s="20"/>
      <c r="B161" s="683" t="s">
        <v>184</v>
      </c>
      <c r="C161" s="684"/>
      <c r="D161" s="684"/>
      <c r="E161" s="685"/>
      <c r="F161" s="380">
        <f>3.56*X2</f>
        <v>3791.4</v>
      </c>
      <c r="G161" s="255">
        <f>+F161*$X$1</f>
        <v>3791.4</v>
      </c>
      <c r="H161" s="318"/>
      <c r="I161" s="343"/>
      <c r="J161" s="667">
        <f>F161+180</f>
        <v>3971.4</v>
      </c>
      <c r="K161" s="287">
        <f>+J161*$X$1</f>
        <v>3971.4</v>
      </c>
      <c r="L161" s="667">
        <f>F161+120</f>
        <v>3911.4</v>
      </c>
      <c r="M161" s="287">
        <f>+L161*$X$1</f>
        <v>3911.4</v>
      </c>
      <c r="N161" s="667">
        <f>F161+63</f>
        <v>3854.4</v>
      </c>
      <c r="O161" s="287">
        <f>+N161*$X$1</f>
        <v>3854.4</v>
      </c>
      <c r="P161" s="667"/>
      <c r="Q161" s="287"/>
      <c r="R161" s="667"/>
      <c r="S161" s="287"/>
      <c r="T161" s="103"/>
      <c r="U161" s="255"/>
      <c r="V161" s="103"/>
      <c r="W161" s="255"/>
      <c r="X161" s="674"/>
      <c r="Y161" s="675"/>
      <c r="Z161" s="675"/>
      <c r="AA161" s="676"/>
      <c r="AB161" s="192">
        <v>379</v>
      </c>
    </row>
    <row r="162" spans="1:38" s="1" customFormat="1" ht="12.6" customHeight="1" x14ac:dyDescent="0.2">
      <c r="A162" s="19"/>
      <c r="B162" s="671" t="s">
        <v>954</v>
      </c>
      <c r="C162" s="672"/>
      <c r="D162" s="672"/>
      <c r="E162" s="673"/>
      <c r="F162" s="621">
        <f>4.27*X2</f>
        <v>4547.5499999999993</v>
      </c>
      <c r="G162" s="288">
        <f t="shared" ref="G162" si="296">+F162*$X$1</f>
        <v>4547.5499999999993</v>
      </c>
      <c r="H162" s="89">
        <f>F162+500</f>
        <v>5047.5499999999993</v>
      </c>
      <c r="I162" s="288">
        <f t="shared" ref="I162" si="297">+H162*$X$1</f>
        <v>5047.5499999999993</v>
      </c>
      <c r="J162" s="460">
        <f>F162+210</f>
        <v>4757.5499999999993</v>
      </c>
      <c r="K162" s="288">
        <f t="shared" ref="K162" si="298">+J162*$X$1</f>
        <v>4757.5499999999993</v>
      </c>
      <c r="L162" s="460">
        <f>F162+150</f>
        <v>4697.5499999999993</v>
      </c>
      <c r="M162" s="288">
        <f t="shared" ref="M162" si="299">+L162*$X$1</f>
        <v>4697.5499999999993</v>
      </c>
      <c r="N162" s="460">
        <f>F162+120</f>
        <v>4667.5499999999993</v>
      </c>
      <c r="O162" s="288">
        <f t="shared" ref="O162" si="300">+N162*$X$1</f>
        <v>4667.5499999999993</v>
      </c>
      <c r="P162" s="460">
        <f>F162+95</f>
        <v>4642.5499999999993</v>
      </c>
      <c r="Q162" s="288">
        <f t="shared" ref="Q162" si="301">+P162*$X$1</f>
        <v>4642.5499999999993</v>
      </c>
      <c r="R162" s="460">
        <f>F162+85</f>
        <v>4632.5499999999993</v>
      </c>
      <c r="S162" s="288">
        <f t="shared" ref="S162" si="302">+R162*$X$1</f>
        <v>4632.5499999999993</v>
      </c>
      <c r="T162" s="460">
        <f>F162+77</f>
        <v>4624.5499999999993</v>
      </c>
      <c r="U162" s="288">
        <f t="shared" ref="U162" si="303">+T162*$X$1</f>
        <v>4624.5499999999993</v>
      </c>
      <c r="V162" s="460">
        <f>F162+68</f>
        <v>4615.5499999999993</v>
      </c>
      <c r="W162" s="288">
        <f t="shared" ref="W162" si="304">+V162*$X$1</f>
        <v>4615.5499999999993</v>
      </c>
      <c r="X162" s="637"/>
      <c r="Y162" s="638"/>
      <c r="Z162" s="638"/>
      <c r="AA162" s="639"/>
      <c r="AB162" s="192">
        <v>380</v>
      </c>
      <c r="AC162" s="4"/>
      <c r="AD162" s="4"/>
      <c r="AE162" s="4"/>
      <c r="AF162" s="4"/>
      <c r="AG162" s="4"/>
      <c r="AH162" s="128"/>
      <c r="AI162" s="4"/>
      <c r="AJ162" s="4"/>
      <c r="AK162" s="4"/>
      <c r="AL162" s="4"/>
    </row>
    <row r="163" spans="1:38" ht="12.6" customHeight="1" x14ac:dyDescent="0.2">
      <c r="A163" s="104"/>
      <c r="B163" s="671" t="s">
        <v>951</v>
      </c>
      <c r="C163" s="672"/>
      <c r="D163" s="672"/>
      <c r="E163" s="673"/>
      <c r="F163" s="380">
        <f>2.64*X2</f>
        <v>2811.6</v>
      </c>
      <c r="G163" s="287">
        <f t="shared" ref="G163" si="305">+F163*$X$1</f>
        <v>2811.6</v>
      </c>
      <c r="H163" s="660">
        <f>F163+500</f>
        <v>3311.6</v>
      </c>
      <c r="I163" s="287">
        <f>+H163*$X$1</f>
        <v>3311.6</v>
      </c>
      <c r="J163" s="660">
        <f>F163+180</f>
        <v>2991.6</v>
      </c>
      <c r="K163" s="287">
        <f t="shared" ref="K163" si="306">+J163*$X$1</f>
        <v>2991.6</v>
      </c>
      <c r="L163" s="660">
        <f t="shared" ref="L163" si="307">F163+120</f>
        <v>2931.6</v>
      </c>
      <c r="M163" s="287">
        <f>+L163*$X$1</f>
        <v>2931.6</v>
      </c>
      <c r="N163" s="660">
        <f>F163+63</f>
        <v>2874.6</v>
      </c>
      <c r="O163" s="287">
        <f t="shared" ref="O163" si="308">+N163*$X$1</f>
        <v>2874.6</v>
      </c>
      <c r="P163" s="660">
        <f t="shared" ref="P163" si="309">F163+54</f>
        <v>2865.6</v>
      </c>
      <c r="Q163" s="287">
        <f>+P163*$X$1</f>
        <v>2865.6</v>
      </c>
      <c r="R163" s="660">
        <f>F163+45</f>
        <v>2856.6</v>
      </c>
      <c r="S163" s="287">
        <f t="shared" ref="S163" si="310">+R163*$X$1</f>
        <v>2856.6</v>
      </c>
      <c r="T163" s="660">
        <f>F163+37</f>
        <v>2848.6</v>
      </c>
      <c r="U163" s="287">
        <f t="shared" ref="U163" si="311">+T163*$X$1</f>
        <v>2848.6</v>
      </c>
      <c r="V163" s="660">
        <f>F163+32</f>
        <v>2843.6</v>
      </c>
      <c r="W163" s="287">
        <f t="shared" ref="W163" si="312">+V163*$X$1</f>
        <v>2843.6</v>
      </c>
      <c r="X163" s="674"/>
      <c r="Y163" s="675"/>
      <c r="Z163" s="675"/>
      <c r="AA163" s="676"/>
      <c r="AB163" s="192">
        <v>381</v>
      </c>
    </row>
    <row r="164" spans="1:38" ht="12.6" customHeight="1" x14ac:dyDescent="0.2">
      <c r="A164" s="104"/>
      <c r="B164" s="680" t="s">
        <v>392</v>
      </c>
      <c r="C164" s="691"/>
      <c r="D164" s="691"/>
      <c r="E164" s="692"/>
      <c r="F164" s="381">
        <f>1.87*X2</f>
        <v>1991.5500000000002</v>
      </c>
      <c r="G164" s="305">
        <f t="shared" ref="G164:G167" si="313">+F164*$X$1</f>
        <v>1991.5500000000002</v>
      </c>
      <c r="H164" s="102">
        <f>F164+500</f>
        <v>2491.5500000000002</v>
      </c>
      <c r="I164" s="319">
        <f>+H164*$X$1</f>
        <v>2491.5500000000002</v>
      </c>
      <c r="J164" s="102">
        <f>F164+180</f>
        <v>2171.5500000000002</v>
      </c>
      <c r="K164" s="319">
        <f t="shared" ref="K164:K170" si="314">+J164*$X$1</f>
        <v>2171.5500000000002</v>
      </c>
      <c r="L164" s="102">
        <f t="shared" ref="L164:L179" si="315">F164+120</f>
        <v>2111.5500000000002</v>
      </c>
      <c r="M164" s="319">
        <f>+L164*$X$1</f>
        <v>2111.5500000000002</v>
      </c>
      <c r="N164" s="102">
        <f>F164+63</f>
        <v>2054.5500000000002</v>
      </c>
      <c r="O164" s="319">
        <f t="shared" ref="O164:O179" si="316">+N164*$X$1</f>
        <v>2054.5500000000002</v>
      </c>
      <c r="P164" s="102">
        <f t="shared" ref="P164:P179" si="317">F164+54</f>
        <v>2045.5500000000002</v>
      </c>
      <c r="Q164" s="319">
        <f>+P164*$X$1</f>
        <v>2045.5500000000002</v>
      </c>
      <c r="R164" s="102">
        <f>F164+45</f>
        <v>2036.5500000000002</v>
      </c>
      <c r="S164" s="319">
        <f t="shared" ref="S164:S179" si="318">+R164*$X$1</f>
        <v>2036.5500000000002</v>
      </c>
      <c r="T164" s="102">
        <f>F164+37</f>
        <v>2028.5500000000002</v>
      </c>
      <c r="U164" s="305">
        <f t="shared" ref="U164:U179" si="319">+T164*$X$1</f>
        <v>2028.5500000000002</v>
      </c>
      <c r="V164" s="102">
        <f>F164+32</f>
        <v>2023.5500000000002</v>
      </c>
      <c r="W164" s="305">
        <f t="shared" ref="W164:W175" si="320">+V164*$X$1</f>
        <v>2023.5500000000002</v>
      </c>
      <c r="X164" s="674"/>
      <c r="Y164" s="675"/>
      <c r="Z164" s="675"/>
      <c r="AA164" s="676"/>
      <c r="AB164" s="192">
        <v>382</v>
      </c>
    </row>
    <row r="165" spans="1:38" ht="12.6" customHeight="1" x14ac:dyDescent="0.2">
      <c r="A165" s="104"/>
      <c r="B165" s="671" t="s">
        <v>961</v>
      </c>
      <c r="C165" s="672"/>
      <c r="D165" s="672"/>
      <c r="E165" s="673"/>
      <c r="F165" s="380">
        <f>33.35*X2</f>
        <v>35517.75</v>
      </c>
      <c r="G165" s="287">
        <f t="shared" si="313"/>
        <v>35517.75</v>
      </c>
      <c r="H165" s="660">
        <f>F165+500</f>
        <v>36017.75</v>
      </c>
      <c r="I165" s="287">
        <f>+H165*$X$1</f>
        <v>36017.75</v>
      </c>
      <c r="J165" s="660">
        <f>F165+180</f>
        <v>35697.75</v>
      </c>
      <c r="K165" s="287">
        <f t="shared" si="314"/>
        <v>35697.75</v>
      </c>
      <c r="L165" s="660">
        <f t="shared" si="315"/>
        <v>35637.75</v>
      </c>
      <c r="M165" s="287">
        <f>+L165*$X$1</f>
        <v>35637.75</v>
      </c>
      <c r="N165" s="660">
        <f>F165+63</f>
        <v>35580.75</v>
      </c>
      <c r="O165" s="287">
        <f t="shared" si="316"/>
        <v>35580.75</v>
      </c>
      <c r="P165" s="660">
        <f t="shared" si="317"/>
        <v>35571.75</v>
      </c>
      <c r="Q165" s="287">
        <f>+P165*$X$1</f>
        <v>35571.75</v>
      </c>
      <c r="R165" s="660">
        <f>F165+45</f>
        <v>35562.75</v>
      </c>
      <c r="S165" s="287">
        <f t="shared" si="318"/>
        <v>35562.75</v>
      </c>
      <c r="T165" s="660">
        <f>F165+37</f>
        <v>35554.75</v>
      </c>
      <c r="U165" s="287">
        <f t="shared" si="319"/>
        <v>35554.75</v>
      </c>
      <c r="V165" s="660">
        <f>F165+32</f>
        <v>35549.75</v>
      </c>
      <c r="W165" s="287">
        <f t="shared" si="320"/>
        <v>35549.75</v>
      </c>
      <c r="X165" s="674"/>
      <c r="Y165" s="675"/>
      <c r="Z165" s="675"/>
      <c r="AA165" s="676"/>
      <c r="AB165" s="192">
        <v>384</v>
      </c>
    </row>
    <row r="166" spans="1:38" ht="12.6" customHeight="1" x14ac:dyDescent="0.2">
      <c r="A166" s="20"/>
      <c r="B166" s="671" t="s">
        <v>905</v>
      </c>
      <c r="C166" s="672"/>
      <c r="D166" s="672"/>
      <c r="E166" s="673"/>
      <c r="F166" s="381">
        <f>21.9*X2</f>
        <v>23323.5</v>
      </c>
      <c r="G166" s="305">
        <f t="shared" si="313"/>
        <v>23323.5</v>
      </c>
      <c r="H166" s="460">
        <f>F166+400</f>
        <v>23723.5</v>
      </c>
      <c r="I166" s="288">
        <f t="shared" ref="I166" si="321">+H166*$X$1</f>
        <v>23723.5</v>
      </c>
      <c r="J166" s="460">
        <f>F166+150</f>
        <v>23473.5</v>
      </c>
      <c r="K166" s="288">
        <f t="shared" si="314"/>
        <v>23473.5</v>
      </c>
      <c r="L166" s="460">
        <f t="shared" ref="L166:L168" si="322">F166+120</f>
        <v>23443.5</v>
      </c>
      <c r="M166" s="288">
        <f t="shared" ref="M166" si="323">+L166*$X$1</f>
        <v>23443.5</v>
      </c>
      <c r="N166" s="460">
        <f>F166+60</f>
        <v>23383.5</v>
      </c>
      <c r="O166" s="288">
        <f t="shared" ref="O166:O168" si="324">+N166*$X$1</f>
        <v>23383.5</v>
      </c>
      <c r="P166" s="460">
        <f t="shared" ref="P166:P168" si="325">F166+54</f>
        <v>23377.5</v>
      </c>
      <c r="Q166" s="288">
        <f t="shared" ref="Q166" si="326">+P166*$X$1</f>
        <v>23377.5</v>
      </c>
      <c r="R166" s="460">
        <f>F166+47</f>
        <v>23370.5</v>
      </c>
      <c r="S166" s="288">
        <f t="shared" ref="S166:S168" si="327">+R166*$X$1</f>
        <v>23370.5</v>
      </c>
      <c r="T166" s="460">
        <f>F166+39</f>
        <v>23362.5</v>
      </c>
      <c r="U166" s="288">
        <f t="shared" ref="U166:U168" si="328">+T166*$X$1</f>
        <v>23362.5</v>
      </c>
      <c r="V166" s="460">
        <f>F166+34</f>
        <v>23357.5</v>
      </c>
      <c r="W166" s="288">
        <f t="shared" si="320"/>
        <v>23357.5</v>
      </c>
      <c r="X166" s="674"/>
      <c r="Y166" s="675"/>
      <c r="Z166" s="675"/>
      <c r="AA166" s="676"/>
      <c r="AB166" s="192">
        <v>392</v>
      </c>
    </row>
    <row r="167" spans="1:38" ht="12.6" customHeight="1" x14ac:dyDescent="0.2">
      <c r="A167" s="20"/>
      <c r="B167" s="671" t="s">
        <v>976</v>
      </c>
      <c r="C167" s="672"/>
      <c r="D167" s="672"/>
      <c r="E167" s="673"/>
      <c r="F167" s="380">
        <f>54*X2</f>
        <v>57510</v>
      </c>
      <c r="G167" s="255">
        <f t="shared" si="313"/>
        <v>57510</v>
      </c>
      <c r="H167" s="660">
        <f>F167+500</f>
        <v>58010</v>
      </c>
      <c r="I167" s="287">
        <f>+H167*$X$1</f>
        <v>58010</v>
      </c>
      <c r="J167" s="660">
        <f>F167+180</f>
        <v>57690</v>
      </c>
      <c r="K167" s="287">
        <f t="shared" si="314"/>
        <v>57690</v>
      </c>
      <c r="L167" s="660">
        <f t="shared" ref="L167" si="329">F167+120</f>
        <v>57630</v>
      </c>
      <c r="M167" s="287">
        <f>+L167*$X$1</f>
        <v>57630</v>
      </c>
      <c r="N167" s="660">
        <f>F167+63</f>
        <v>57573</v>
      </c>
      <c r="O167" s="287">
        <f t="shared" ref="O167" si="330">+N167*$X$1</f>
        <v>57573</v>
      </c>
      <c r="P167" s="660">
        <f t="shared" ref="P167" si="331">F167+54</f>
        <v>57564</v>
      </c>
      <c r="Q167" s="287">
        <f>+P167*$X$1</f>
        <v>57564</v>
      </c>
      <c r="R167" s="660">
        <f>F167+45</f>
        <v>57555</v>
      </c>
      <c r="S167" s="287">
        <f t="shared" ref="S167" si="332">+R167*$X$1</f>
        <v>57555</v>
      </c>
      <c r="T167" s="103">
        <f>F167+37</f>
        <v>57547</v>
      </c>
      <c r="U167" s="255">
        <f t="shared" ref="U167" si="333">+T167*$X$1</f>
        <v>57547</v>
      </c>
      <c r="V167" s="103">
        <f>F167+32</f>
        <v>57542</v>
      </c>
      <c r="W167" s="255">
        <f t="shared" si="320"/>
        <v>57542</v>
      </c>
      <c r="X167" s="674"/>
      <c r="Y167" s="675"/>
      <c r="Z167" s="675"/>
      <c r="AA167" s="676"/>
      <c r="AB167" s="192">
        <v>393</v>
      </c>
    </row>
    <row r="168" spans="1:38" ht="12.6" customHeight="1" x14ac:dyDescent="0.2">
      <c r="A168" s="20"/>
      <c r="B168" s="671" t="s">
        <v>975</v>
      </c>
      <c r="C168" s="672"/>
      <c r="D168" s="672"/>
      <c r="E168" s="673"/>
      <c r="F168" s="381">
        <f>49*X2</f>
        <v>52185</v>
      </c>
      <c r="G168" s="305">
        <f t="shared" ref="G168" si="334">+F168*$X$1</f>
        <v>52185</v>
      </c>
      <c r="H168" s="460">
        <f>F168+500</f>
        <v>52685</v>
      </c>
      <c r="I168" s="288">
        <f>+H168*$X$1</f>
        <v>52685</v>
      </c>
      <c r="J168" s="460">
        <f>F168+180</f>
        <v>52365</v>
      </c>
      <c r="K168" s="288">
        <f t="shared" ref="K168" si="335">+J168*$X$1</f>
        <v>52365</v>
      </c>
      <c r="L168" s="460">
        <f t="shared" si="322"/>
        <v>52305</v>
      </c>
      <c r="M168" s="288">
        <f>+L168*$X$1</f>
        <v>52305</v>
      </c>
      <c r="N168" s="460">
        <f>F168+63</f>
        <v>52248</v>
      </c>
      <c r="O168" s="288">
        <f t="shared" si="324"/>
        <v>52248</v>
      </c>
      <c r="P168" s="460">
        <f t="shared" si="325"/>
        <v>52239</v>
      </c>
      <c r="Q168" s="288">
        <f>+P168*$X$1</f>
        <v>52239</v>
      </c>
      <c r="R168" s="460">
        <f>F168+45</f>
        <v>52230</v>
      </c>
      <c r="S168" s="288">
        <f t="shared" si="327"/>
        <v>52230</v>
      </c>
      <c r="T168" s="102">
        <f>F168+37</f>
        <v>52222</v>
      </c>
      <c r="U168" s="305">
        <f t="shared" si="328"/>
        <v>52222</v>
      </c>
      <c r="V168" s="102">
        <f>F168+32</f>
        <v>52217</v>
      </c>
      <c r="W168" s="305">
        <f t="shared" ref="W168" si="336">+V168*$X$1</f>
        <v>52217</v>
      </c>
      <c r="X168" s="674"/>
      <c r="Y168" s="675"/>
      <c r="Z168" s="675"/>
      <c r="AA168" s="676"/>
      <c r="AB168" s="192">
        <v>394</v>
      </c>
    </row>
    <row r="169" spans="1:38" ht="12.6" customHeight="1" x14ac:dyDescent="0.2">
      <c r="A169" s="20"/>
      <c r="B169" s="683" t="s">
        <v>949</v>
      </c>
      <c r="C169" s="684"/>
      <c r="D169" s="684"/>
      <c r="E169" s="685"/>
      <c r="F169" s="380">
        <f>17.8*X2</f>
        <v>18957</v>
      </c>
      <c r="G169" s="255">
        <f t="shared" ref="G169:G170" si="337">+F169*$X$1</f>
        <v>18957</v>
      </c>
      <c r="H169" s="602">
        <f>F169+500</f>
        <v>19457</v>
      </c>
      <c r="I169" s="287">
        <f>+H169*$X$1</f>
        <v>19457</v>
      </c>
      <c r="J169" s="602">
        <f>F169+180</f>
        <v>19137</v>
      </c>
      <c r="K169" s="287">
        <f t="shared" si="314"/>
        <v>19137</v>
      </c>
      <c r="L169" s="602">
        <f t="shared" si="315"/>
        <v>19077</v>
      </c>
      <c r="M169" s="287">
        <f>+L169*$X$1</f>
        <v>19077</v>
      </c>
      <c r="N169" s="602">
        <f>F169+63</f>
        <v>19020</v>
      </c>
      <c r="O169" s="287">
        <f t="shared" si="316"/>
        <v>19020</v>
      </c>
      <c r="P169" s="602">
        <f t="shared" si="317"/>
        <v>19011</v>
      </c>
      <c r="Q169" s="287">
        <f>+P169*$X$1</f>
        <v>19011</v>
      </c>
      <c r="R169" s="602">
        <f>F169+45</f>
        <v>19002</v>
      </c>
      <c r="S169" s="287">
        <f t="shared" si="318"/>
        <v>19002</v>
      </c>
      <c r="T169" s="103">
        <f>F169+37</f>
        <v>18994</v>
      </c>
      <c r="U169" s="255">
        <f t="shared" si="319"/>
        <v>18994</v>
      </c>
      <c r="V169" s="103">
        <f>F169+32</f>
        <v>18989</v>
      </c>
      <c r="W169" s="255">
        <f t="shared" si="320"/>
        <v>18989</v>
      </c>
      <c r="X169" s="674"/>
      <c r="Y169" s="675"/>
      <c r="Z169" s="675"/>
      <c r="AA169" s="676"/>
      <c r="AB169" s="192">
        <v>395</v>
      </c>
    </row>
    <row r="170" spans="1:38" ht="12.6" customHeight="1" x14ac:dyDescent="0.2">
      <c r="A170" s="20"/>
      <c r="B170" s="671" t="s">
        <v>947</v>
      </c>
      <c r="C170" s="672"/>
      <c r="D170" s="672"/>
      <c r="E170" s="673"/>
      <c r="F170" s="381">
        <f>29.69*X2</f>
        <v>31619.850000000002</v>
      </c>
      <c r="G170" s="305">
        <f t="shared" si="337"/>
        <v>31619.850000000002</v>
      </c>
      <c r="H170" s="460">
        <f>F170+400</f>
        <v>32019.850000000002</v>
      </c>
      <c r="I170" s="288">
        <f t="shared" ref="I170" si="338">+H170*$X$1</f>
        <v>32019.850000000002</v>
      </c>
      <c r="J170" s="460">
        <f>F170+150</f>
        <v>31769.850000000002</v>
      </c>
      <c r="K170" s="288">
        <f t="shared" si="314"/>
        <v>31769.850000000002</v>
      </c>
      <c r="L170" s="460">
        <f t="shared" ref="L170" si="339">F170+120</f>
        <v>31739.850000000002</v>
      </c>
      <c r="M170" s="288">
        <f t="shared" ref="M170" si="340">+L170*$X$1</f>
        <v>31739.850000000002</v>
      </c>
      <c r="N170" s="460">
        <f>F170+60</f>
        <v>31679.850000000002</v>
      </c>
      <c r="O170" s="288">
        <f t="shared" ref="O170" si="341">+N170*$X$1</f>
        <v>31679.850000000002</v>
      </c>
      <c r="P170" s="460">
        <f t="shared" ref="P170" si="342">F170+54</f>
        <v>31673.850000000002</v>
      </c>
      <c r="Q170" s="288">
        <f t="shared" ref="Q170" si="343">+P170*$X$1</f>
        <v>31673.850000000002</v>
      </c>
      <c r="R170" s="460">
        <f>F170+47</f>
        <v>31666.850000000002</v>
      </c>
      <c r="S170" s="288">
        <f t="shared" ref="S170" si="344">+R170*$X$1</f>
        <v>31666.850000000002</v>
      </c>
      <c r="T170" s="460">
        <f>F170+39</f>
        <v>31658.850000000002</v>
      </c>
      <c r="U170" s="288">
        <f t="shared" ref="U170" si="345">+T170*$X$1</f>
        <v>31658.850000000002</v>
      </c>
      <c r="V170" s="460">
        <f>F170+34</f>
        <v>31653.850000000002</v>
      </c>
      <c r="W170" s="288">
        <f t="shared" ref="W170" si="346">+V170*$X$1</f>
        <v>31653.850000000002</v>
      </c>
      <c r="X170" s="674"/>
      <c r="Y170" s="675"/>
      <c r="Z170" s="675"/>
      <c r="AA170" s="676"/>
      <c r="AB170" s="192">
        <v>397</v>
      </c>
    </row>
    <row r="171" spans="1:38" ht="12.6" customHeight="1" x14ac:dyDescent="0.2">
      <c r="A171" s="20"/>
      <c r="B171" s="683" t="s">
        <v>948</v>
      </c>
      <c r="C171" s="684"/>
      <c r="D171" s="684"/>
      <c r="E171" s="685"/>
      <c r="F171" s="380">
        <f>19.3*X2</f>
        <v>20554.5</v>
      </c>
      <c r="G171" s="255">
        <f t="shared" ref="G171:G173" si="347">+F171*$X$1</f>
        <v>20554.5</v>
      </c>
      <c r="H171" s="542">
        <f>F171+400</f>
        <v>20954.5</v>
      </c>
      <c r="I171" s="287">
        <f t="shared" ref="I171:I175" si="348">+H171*$X$1</f>
        <v>20954.5</v>
      </c>
      <c r="J171" s="542">
        <f>F171+150</f>
        <v>20704.5</v>
      </c>
      <c r="K171" s="287">
        <f t="shared" ref="K171:K175" si="349">+J171*$X$1</f>
        <v>20704.5</v>
      </c>
      <c r="L171" s="542">
        <f t="shared" si="315"/>
        <v>20674.5</v>
      </c>
      <c r="M171" s="287">
        <f t="shared" ref="M171:M175" si="350">+L171*$X$1</f>
        <v>20674.5</v>
      </c>
      <c r="N171" s="542">
        <f>F171+60</f>
        <v>20614.5</v>
      </c>
      <c r="O171" s="287">
        <f t="shared" si="316"/>
        <v>20614.5</v>
      </c>
      <c r="P171" s="542">
        <f t="shared" si="317"/>
        <v>20608.5</v>
      </c>
      <c r="Q171" s="287">
        <f t="shared" ref="Q171:Q175" si="351">+P171*$X$1</f>
        <v>20608.5</v>
      </c>
      <c r="R171" s="542">
        <f>F171+47</f>
        <v>20601.5</v>
      </c>
      <c r="S171" s="287">
        <f t="shared" si="318"/>
        <v>20601.5</v>
      </c>
      <c r="T171" s="542">
        <f>F171+39</f>
        <v>20593.5</v>
      </c>
      <c r="U171" s="287">
        <f t="shared" si="319"/>
        <v>20593.5</v>
      </c>
      <c r="V171" s="542">
        <f>F171+34</f>
        <v>20588.5</v>
      </c>
      <c r="W171" s="287">
        <f t="shared" si="320"/>
        <v>20588.5</v>
      </c>
      <c r="X171" s="674"/>
      <c r="Y171" s="675"/>
      <c r="Z171" s="675"/>
      <c r="AA171" s="676"/>
      <c r="AB171" s="192">
        <v>398</v>
      </c>
    </row>
    <row r="172" spans="1:38" s="1" customFormat="1" ht="12.6" customHeight="1" x14ac:dyDescent="0.2">
      <c r="A172" s="19"/>
      <c r="B172" s="671" t="s">
        <v>978</v>
      </c>
      <c r="C172" s="672"/>
      <c r="D172" s="672"/>
      <c r="E172" s="673"/>
      <c r="F172" s="621">
        <f>28.1*X2</f>
        <v>29926.5</v>
      </c>
      <c r="G172" s="288">
        <f t="shared" si="347"/>
        <v>29926.5</v>
      </c>
      <c r="H172" s="89">
        <f>F172+500</f>
        <v>30426.5</v>
      </c>
      <c r="I172" s="288">
        <f t="shared" si="348"/>
        <v>30426.5</v>
      </c>
      <c r="J172" s="460">
        <f>F172+210</f>
        <v>30136.5</v>
      </c>
      <c r="K172" s="288">
        <f t="shared" si="349"/>
        <v>30136.5</v>
      </c>
      <c r="L172" s="460">
        <f>F172+150</f>
        <v>30076.5</v>
      </c>
      <c r="M172" s="288">
        <f t="shared" si="350"/>
        <v>30076.5</v>
      </c>
      <c r="N172" s="460">
        <f>F172+120</f>
        <v>30046.5</v>
      </c>
      <c r="O172" s="288">
        <f t="shared" si="316"/>
        <v>30046.5</v>
      </c>
      <c r="P172" s="460">
        <f>F172+95</f>
        <v>30021.5</v>
      </c>
      <c r="Q172" s="288">
        <f t="shared" si="351"/>
        <v>30021.5</v>
      </c>
      <c r="R172" s="460">
        <f>F172+85</f>
        <v>30011.5</v>
      </c>
      <c r="S172" s="288">
        <f t="shared" si="318"/>
        <v>30011.5</v>
      </c>
      <c r="T172" s="460">
        <f>F172+77</f>
        <v>30003.5</v>
      </c>
      <c r="U172" s="288">
        <f t="shared" si="319"/>
        <v>30003.5</v>
      </c>
      <c r="V172" s="460">
        <f>F172+68</f>
        <v>29994.5</v>
      </c>
      <c r="W172" s="288">
        <f t="shared" si="320"/>
        <v>29994.5</v>
      </c>
      <c r="X172" s="657"/>
      <c r="Y172" s="658"/>
      <c r="Z172" s="658"/>
      <c r="AA172" s="659"/>
      <c r="AB172" s="192">
        <v>399</v>
      </c>
      <c r="AC172" s="4"/>
      <c r="AD172" s="4"/>
      <c r="AE172" s="4"/>
      <c r="AF172" s="4"/>
      <c r="AG172" s="4"/>
      <c r="AH172" s="128"/>
      <c r="AI172" s="4"/>
      <c r="AJ172" s="4"/>
      <c r="AK172" s="4"/>
      <c r="AL172" s="4"/>
    </row>
    <row r="173" spans="1:38" ht="12.6" customHeight="1" x14ac:dyDescent="0.2">
      <c r="A173" s="20"/>
      <c r="B173" s="671" t="s">
        <v>977</v>
      </c>
      <c r="C173" s="672"/>
      <c r="D173" s="672"/>
      <c r="E173" s="673"/>
      <c r="F173" s="380">
        <f>28.6*X2</f>
        <v>30459</v>
      </c>
      <c r="G173" s="255">
        <f t="shared" si="347"/>
        <v>30459</v>
      </c>
      <c r="H173" s="660">
        <f>F173+500</f>
        <v>30959</v>
      </c>
      <c r="I173" s="287">
        <f>+H173*$X$1</f>
        <v>30959</v>
      </c>
      <c r="J173" s="660">
        <f>F173+180</f>
        <v>30639</v>
      </c>
      <c r="K173" s="287">
        <f t="shared" si="349"/>
        <v>30639</v>
      </c>
      <c r="L173" s="660">
        <f t="shared" ref="L173" si="352">F173+120</f>
        <v>30579</v>
      </c>
      <c r="M173" s="287">
        <f>+L173*$X$1</f>
        <v>30579</v>
      </c>
      <c r="N173" s="660">
        <f>F173+63</f>
        <v>30522</v>
      </c>
      <c r="O173" s="287">
        <f t="shared" si="316"/>
        <v>30522</v>
      </c>
      <c r="P173" s="660">
        <f t="shared" ref="P173" si="353">F173+54</f>
        <v>30513</v>
      </c>
      <c r="Q173" s="287">
        <f>+P173*$X$1</f>
        <v>30513</v>
      </c>
      <c r="R173" s="660">
        <f>F173+45</f>
        <v>30504</v>
      </c>
      <c r="S173" s="287">
        <f t="shared" si="318"/>
        <v>30504</v>
      </c>
      <c r="T173" s="103">
        <f>F173+37</f>
        <v>30496</v>
      </c>
      <c r="U173" s="255">
        <f t="shared" si="319"/>
        <v>30496</v>
      </c>
      <c r="V173" s="103">
        <f>F173+32</f>
        <v>30491</v>
      </c>
      <c r="W173" s="255">
        <f t="shared" si="320"/>
        <v>30491</v>
      </c>
      <c r="X173" s="674"/>
      <c r="Y173" s="675"/>
      <c r="Z173" s="675"/>
      <c r="AA173" s="676"/>
      <c r="AB173" s="192">
        <v>402</v>
      </c>
    </row>
    <row r="174" spans="1:38" ht="12.6" customHeight="1" x14ac:dyDescent="0.2">
      <c r="A174" s="20"/>
      <c r="B174" s="739" t="s">
        <v>608</v>
      </c>
      <c r="C174" s="749"/>
      <c r="D174" s="749"/>
      <c r="E174" s="749"/>
      <c r="F174" s="381">
        <f>13.317*X2</f>
        <v>14182.605</v>
      </c>
      <c r="G174" s="305">
        <f t="shared" ref="G174" si="354">+F174*$X$1</f>
        <v>14182.605</v>
      </c>
      <c r="H174" s="460">
        <f>F174+400</f>
        <v>14582.605</v>
      </c>
      <c r="I174" s="288">
        <f t="shared" si="348"/>
        <v>14582.605</v>
      </c>
      <c r="J174" s="460">
        <f>F174+150</f>
        <v>14332.605</v>
      </c>
      <c r="K174" s="288">
        <f t="shared" si="349"/>
        <v>14332.605</v>
      </c>
      <c r="L174" s="460">
        <f t="shared" si="315"/>
        <v>14302.605</v>
      </c>
      <c r="M174" s="288">
        <f t="shared" si="350"/>
        <v>14302.605</v>
      </c>
      <c r="N174" s="460">
        <f>F174+60</f>
        <v>14242.605</v>
      </c>
      <c r="O174" s="288">
        <f t="shared" si="316"/>
        <v>14242.605</v>
      </c>
      <c r="P174" s="460">
        <f t="shared" si="317"/>
        <v>14236.605</v>
      </c>
      <c r="Q174" s="288">
        <f t="shared" si="351"/>
        <v>14236.605</v>
      </c>
      <c r="R174" s="460">
        <f>F174+47</f>
        <v>14229.605</v>
      </c>
      <c r="S174" s="288">
        <f t="shared" si="318"/>
        <v>14229.605</v>
      </c>
      <c r="T174" s="460">
        <f>F174+39</f>
        <v>14221.605</v>
      </c>
      <c r="U174" s="288">
        <f t="shared" si="319"/>
        <v>14221.605</v>
      </c>
      <c r="V174" s="460">
        <f>F174+34</f>
        <v>14216.605</v>
      </c>
      <c r="W174" s="288">
        <f t="shared" si="320"/>
        <v>14216.605</v>
      </c>
      <c r="X174" s="687"/>
      <c r="Y174" s="717"/>
      <c r="Z174" s="717"/>
      <c r="AA174" s="688"/>
      <c r="AB174" s="192" t="s">
        <v>609</v>
      </c>
    </row>
    <row r="175" spans="1:38" ht="12.6" customHeight="1" x14ac:dyDescent="0.2">
      <c r="A175" s="20"/>
      <c r="B175" s="700" t="s">
        <v>617</v>
      </c>
      <c r="C175" s="780"/>
      <c r="D175" s="780"/>
      <c r="E175" s="780"/>
      <c r="F175" s="380">
        <f>17.78*X2</f>
        <v>18935.7</v>
      </c>
      <c r="G175" s="255">
        <f t="shared" ref="G175" si="355">+F175*$X$1</f>
        <v>18935.7</v>
      </c>
      <c r="H175" s="542">
        <f>F175+400</f>
        <v>19335.7</v>
      </c>
      <c r="I175" s="287">
        <f t="shared" si="348"/>
        <v>19335.7</v>
      </c>
      <c r="J175" s="542">
        <f>F175+150</f>
        <v>19085.7</v>
      </c>
      <c r="K175" s="287">
        <f t="shared" si="349"/>
        <v>19085.7</v>
      </c>
      <c r="L175" s="542">
        <f t="shared" si="315"/>
        <v>19055.7</v>
      </c>
      <c r="M175" s="287">
        <f t="shared" si="350"/>
        <v>19055.7</v>
      </c>
      <c r="N175" s="542">
        <f>F175+60</f>
        <v>18995.7</v>
      </c>
      <c r="O175" s="287">
        <f t="shared" si="316"/>
        <v>18995.7</v>
      </c>
      <c r="P175" s="542">
        <f t="shared" si="317"/>
        <v>18989.7</v>
      </c>
      <c r="Q175" s="287">
        <f t="shared" si="351"/>
        <v>18989.7</v>
      </c>
      <c r="R175" s="542">
        <f>F175+47</f>
        <v>18982.7</v>
      </c>
      <c r="S175" s="287">
        <f t="shared" si="318"/>
        <v>18982.7</v>
      </c>
      <c r="T175" s="542">
        <f>F175+39</f>
        <v>18974.7</v>
      </c>
      <c r="U175" s="287">
        <f t="shared" si="319"/>
        <v>18974.7</v>
      </c>
      <c r="V175" s="542">
        <f>F175+34</f>
        <v>18969.7</v>
      </c>
      <c r="W175" s="287">
        <f t="shared" si="320"/>
        <v>18969.7</v>
      </c>
      <c r="X175" s="178"/>
      <c r="Y175" s="180"/>
      <c r="Z175" s="180"/>
      <c r="AA175" s="178"/>
      <c r="AB175" s="192" t="s">
        <v>616</v>
      </c>
    </row>
    <row r="176" spans="1:38" ht="12.6" customHeight="1" x14ac:dyDescent="0.2">
      <c r="A176" s="20"/>
      <c r="B176" s="739" t="s">
        <v>611</v>
      </c>
      <c r="C176" s="749"/>
      <c r="D176" s="749"/>
      <c r="E176" s="749"/>
      <c r="F176" s="381">
        <f>12.84*X2</f>
        <v>13674.6</v>
      </c>
      <c r="G176" s="305">
        <f t="shared" ref="G176" si="356">+F176*$X$1</f>
        <v>13674.6</v>
      </c>
      <c r="H176" s="460">
        <f>F176+500</f>
        <v>14174.6</v>
      </c>
      <c r="I176" s="288">
        <f>+H176*$X$1</f>
        <v>14174.6</v>
      </c>
      <c r="J176" s="460">
        <f>F176+180</f>
        <v>13854.6</v>
      </c>
      <c r="K176" s="288">
        <f t="shared" ref="K176" si="357">+J176*$X$1</f>
        <v>13854.6</v>
      </c>
      <c r="L176" s="460">
        <f t="shared" si="315"/>
        <v>13794.6</v>
      </c>
      <c r="M176" s="288">
        <f>+L176*$X$1</f>
        <v>13794.6</v>
      </c>
      <c r="N176" s="460">
        <f>F176+63</f>
        <v>13737.6</v>
      </c>
      <c r="O176" s="288">
        <f t="shared" si="316"/>
        <v>13737.6</v>
      </c>
      <c r="P176" s="460">
        <f t="shared" si="317"/>
        <v>13728.6</v>
      </c>
      <c r="Q176" s="288">
        <f>+P176*$X$1</f>
        <v>13728.6</v>
      </c>
      <c r="R176" s="460">
        <f>F176+45</f>
        <v>13719.6</v>
      </c>
      <c r="S176" s="288">
        <f t="shared" si="318"/>
        <v>13719.6</v>
      </c>
      <c r="T176" s="102">
        <f>F176+37</f>
        <v>13711.6</v>
      </c>
      <c r="U176" s="305">
        <f t="shared" si="319"/>
        <v>13711.6</v>
      </c>
      <c r="V176" s="102"/>
      <c r="W176" s="305"/>
      <c r="X176" s="674"/>
      <c r="Y176" s="675"/>
      <c r="Z176" s="675"/>
      <c r="AA176" s="676"/>
      <c r="AB176" s="192" t="s">
        <v>610</v>
      </c>
    </row>
    <row r="177" spans="1:28" ht="12.6" customHeight="1" x14ac:dyDescent="0.2">
      <c r="A177" s="20"/>
      <c r="B177" s="700" t="s">
        <v>348</v>
      </c>
      <c r="C177" s="780"/>
      <c r="D177" s="780"/>
      <c r="E177" s="780"/>
      <c r="F177" s="380">
        <f>15.93*X2</f>
        <v>16965.45</v>
      </c>
      <c r="G177" s="255">
        <f t="shared" ref="G177:G178" si="358">+F177*$X$1</f>
        <v>16965.45</v>
      </c>
      <c r="H177" s="542"/>
      <c r="I177" s="287"/>
      <c r="J177" s="542">
        <f>F177+180</f>
        <v>17145.45</v>
      </c>
      <c r="K177" s="287">
        <f t="shared" ref="K177:K179" si="359">+J177*$X$1</f>
        <v>17145.45</v>
      </c>
      <c r="L177" s="542">
        <f t="shared" si="315"/>
        <v>17085.45</v>
      </c>
      <c r="M177" s="287">
        <f>+L177*$X$1</f>
        <v>17085.45</v>
      </c>
      <c r="N177" s="542">
        <f>F177+63</f>
        <v>17028.45</v>
      </c>
      <c r="O177" s="287">
        <f t="shared" si="316"/>
        <v>17028.45</v>
      </c>
      <c r="P177" s="542">
        <f t="shared" si="317"/>
        <v>17019.45</v>
      </c>
      <c r="Q177" s="287">
        <f>+P177*$X$1</f>
        <v>17019.45</v>
      </c>
      <c r="R177" s="542">
        <f>F177+45</f>
        <v>17010.45</v>
      </c>
      <c r="S177" s="287">
        <f t="shared" si="318"/>
        <v>17010.45</v>
      </c>
      <c r="T177" s="103">
        <f>F177+37</f>
        <v>17002.45</v>
      </c>
      <c r="U177" s="255">
        <f t="shared" si="319"/>
        <v>17002.45</v>
      </c>
      <c r="V177" s="71"/>
      <c r="W177" s="71"/>
      <c r="X177" s="674"/>
      <c r="Y177" s="675"/>
      <c r="Z177" s="675"/>
      <c r="AA177" s="676"/>
      <c r="AB177" s="192">
        <v>405</v>
      </c>
    </row>
    <row r="178" spans="1:28" ht="12.6" customHeight="1" x14ac:dyDescent="0.2">
      <c r="A178" s="20"/>
      <c r="B178" s="739" t="s">
        <v>615</v>
      </c>
      <c r="C178" s="749"/>
      <c r="D178" s="749"/>
      <c r="E178" s="749"/>
      <c r="F178" s="381">
        <f>15.6*X2</f>
        <v>16614</v>
      </c>
      <c r="G178" s="305">
        <f t="shared" si="358"/>
        <v>16614</v>
      </c>
      <c r="H178" s="460">
        <f>F178+400</f>
        <v>17014</v>
      </c>
      <c r="I178" s="288">
        <f t="shared" ref="I178:I179" si="360">+H178*$X$1</f>
        <v>17014</v>
      </c>
      <c r="J178" s="460">
        <f>F178+150</f>
        <v>16764</v>
      </c>
      <c r="K178" s="288">
        <f t="shared" si="359"/>
        <v>16764</v>
      </c>
      <c r="L178" s="460">
        <f t="shared" si="315"/>
        <v>16734</v>
      </c>
      <c r="M178" s="288">
        <f t="shared" ref="M178:M179" si="361">+L178*$X$1</f>
        <v>16734</v>
      </c>
      <c r="N178" s="460">
        <f>F178+60</f>
        <v>16674</v>
      </c>
      <c r="O178" s="288">
        <f t="shared" si="316"/>
        <v>16674</v>
      </c>
      <c r="P178" s="460">
        <f t="shared" si="317"/>
        <v>16668</v>
      </c>
      <c r="Q178" s="288">
        <f t="shared" ref="Q178:Q179" si="362">+P178*$X$1</f>
        <v>16668</v>
      </c>
      <c r="R178" s="460">
        <f>F178+47</f>
        <v>16661</v>
      </c>
      <c r="S178" s="288">
        <f t="shared" si="318"/>
        <v>16661</v>
      </c>
      <c r="T178" s="460">
        <f>F178+39</f>
        <v>16653</v>
      </c>
      <c r="U178" s="288">
        <f t="shared" si="319"/>
        <v>16653</v>
      </c>
      <c r="V178" s="460">
        <f>F178+34</f>
        <v>16648</v>
      </c>
      <c r="W178" s="288">
        <f>+V178*$X$1</f>
        <v>16648</v>
      </c>
      <c r="X178" s="687"/>
      <c r="Y178" s="717"/>
      <c r="Z178" s="717"/>
      <c r="AA178" s="688"/>
      <c r="AB178" s="192" t="s">
        <v>614</v>
      </c>
    </row>
    <row r="179" spans="1:28" ht="12.6" customHeight="1" x14ac:dyDescent="0.2">
      <c r="A179" s="20"/>
      <c r="B179" s="711" t="s">
        <v>613</v>
      </c>
      <c r="C179" s="712"/>
      <c r="D179" s="712"/>
      <c r="E179" s="712"/>
      <c r="F179" s="380">
        <f>16.54*X2</f>
        <v>17615.099999999999</v>
      </c>
      <c r="G179" s="255">
        <f t="shared" ref="G179" si="363">+F179*$X$1</f>
        <v>17615.099999999999</v>
      </c>
      <c r="H179" s="542">
        <f>F179+400</f>
        <v>18015.099999999999</v>
      </c>
      <c r="I179" s="287">
        <f t="shared" si="360"/>
        <v>18015.099999999999</v>
      </c>
      <c r="J179" s="542">
        <f>F179+150</f>
        <v>17765.099999999999</v>
      </c>
      <c r="K179" s="287">
        <f t="shared" si="359"/>
        <v>17765.099999999999</v>
      </c>
      <c r="L179" s="542">
        <f t="shared" si="315"/>
        <v>17735.099999999999</v>
      </c>
      <c r="M179" s="287">
        <f t="shared" si="361"/>
        <v>17735.099999999999</v>
      </c>
      <c r="N179" s="542">
        <f>F179+60</f>
        <v>17675.099999999999</v>
      </c>
      <c r="O179" s="287">
        <f t="shared" si="316"/>
        <v>17675.099999999999</v>
      </c>
      <c r="P179" s="542">
        <f t="shared" si="317"/>
        <v>17669.099999999999</v>
      </c>
      <c r="Q179" s="287">
        <f t="shared" si="362"/>
        <v>17669.099999999999</v>
      </c>
      <c r="R179" s="542">
        <f>F179+47</f>
        <v>17662.099999999999</v>
      </c>
      <c r="S179" s="287">
        <f t="shared" si="318"/>
        <v>17662.099999999999</v>
      </c>
      <c r="T179" s="542">
        <f>F179+39</f>
        <v>17654.099999999999</v>
      </c>
      <c r="U179" s="287">
        <f t="shared" si="319"/>
        <v>17654.099999999999</v>
      </c>
      <c r="V179" s="542">
        <f>F179+34</f>
        <v>17649.099999999999</v>
      </c>
      <c r="W179" s="287">
        <f>+V179*$X$1</f>
        <v>17649.099999999999</v>
      </c>
      <c r="X179" s="674"/>
      <c r="Y179" s="675"/>
      <c r="Z179" s="675"/>
      <c r="AA179" s="676"/>
      <c r="AB179" s="192" t="s">
        <v>612</v>
      </c>
    </row>
    <row r="180" spans="1:28" ht="12.6" customHeight="1" x14ac:dyDescent="0.2">
      <c r="A180" s="25"/>
      <c r="B180" s="702" t="s">
        <v>638</v>
      </c>
      <c r="C180" s="703"/>
      <c r="D180" s="703"/>
      <c r="E180" s="703"/>
      <c r="F180" s="319">
        <v>171</v>
      </c>
      <c r="G180" s="506"/>
      <c r="H180" s="370"/>
      <c r="I180" s="1234" t="s">
        <v>580</v>
      </c>
      <c r="J180" s="1235"/>
      <c r="K180" s="1235"/>
      <c r="L180" s="1235"/>
      <c r="M180" s="1236"/>
      <c r="N180" s="460">
        <f>F180+154</f>
        <v>325</v>
      </c>
      <c r="O180" s="288">
        <f t="shared" ref="O180" si="364">+N180*$X$1</f>
        <v>325</v>
      </c>
      <c r="P180" s="460">
        <f>F180+137</f>
        <v>308</v>
      </c>
      <c r="Q180" s="288">
        <f t="shared" ref="Q180" si="365">+P180*$X$1</f>
        <v>308</v>
      </c>
      <c r="R180" s="460">
        <f>F180+127</f>
        <v>298</v>
      </c>
      <c r="S180" s="288">
        <f t="shared" ref="S180" si="366">+R180*$X$1</f>
        <v>298</v>
      </c>
      <c r="T180" s="460">
        <f>F180+105</f>
        <v>276</v>
      </c>
      <c r="U180" s="288">
        <f t="shared" ref="U180" si="367">+T180*$X$1</f>
        <v>276</v>
      </c>
      <c r="V180" s="460">
        <f>F180+94</f>
        <v>265</v>
      </c>
      <c r="W180" s="288">
        <f t="shared" ref="W180" si="368">+V180*$X$1</f>
        <v>265</v>
      </c>
      <c r="X180" s="157"/>
      <c r="Y180" s="147"/>
      <c r="Z180" s="147"/>
      <c r="AA180" s="147"/>
      <c r="AB180" s="192">
        <v>415</v>
      </c>
    </row>
    <row r="181" spans="1:28" ht="12.6" customHeight="1" x14ac:dyDescent="0.2">
      <c r="A181" s="25"/>
      <c r="B181" s="711" t="s">
        <v>528</v>
      </c>
      <c r="C181" s="712"/>
      <c r="D181" s="712"/>
      <c r="E181" s="712"/>
      <c r="F181" s="306">
        <v>191</v>
      </c>
      <c r="G181" s="255"/>
      <c r="H181" s="371"/>
      <c r="I181" s="1237"/>
      <c r="J181" s="1237"/>
      <c r="K181" s="1237"/>
      <c r="L181" s="1237"/>
      <c r="M181" s="1238"/>
      <c r="N181" s="542">
        <f>F181+154</f>
        <v>345</v>
      </c>
      <c r="O181" s="287">
        <f t="shared" ref="O181:O183" si="369">+N181*$X$1</f>
        <v>345</v>
      </c>
      <c r="P181" s="542">
        <f>F181+137</f>
        <v>328</v>
      </c>
      <c r="Q181" s="287">
        <f t="shared" ref="Q181:Q183" si="370">+P181*$X$1</f>
        <v>328</v>
      </c>
      <c r="R181" s="542">
        <f>F181+127</f>
        <v>318</v>
      </c>
      <c r="S181" s="287">
        <f t="shared" ref="S181:S183" si="371">+R181*$X$1</f>
        <v>318</v>
      </c>
      <c r="T181" s="542">
        <f>F181+105</f>
        <v>296</v>
      </c>
      <c r="U181" s="287">
        <f t="shared" ref="U181:U183" si="372">+T181*$X$1</f>
        <v>296</v>
      </c>
      <c r="V181" s="542">
        <f>F181+94</f>
        <v>285</v>
      </c>
      <c r="W181" s="287">
        <f t="shared" ref="W181:W183" si="373">+V181*$X$1</f>
        <v>285</v>
      </c>
      <c r="X181" s="157"/>
      <c r="Y181" s="147"/>
      <c r="Z181" s="147"/>
      <c r="AA181" s="147"/>
      <c r="AB181" s="192">
        <v>416</v>
      </c>
    </row>
    <row r="182" spans="1:28" ht="12.6" customHeight="1" x14ac:dyDescent="0.2">
      <c r="A182" s="25"/>
      <c r="B182" s="689" t="s">
        <v>529</v>
      </c>
      <c r="C182" s="690"/>
      <c r="D182" s="690"/>
      <c r="E182" s="690"/>
      <c r="F182" s="319">
        <v>183</v>
      </c>
      <c r="G182" s="305"/>
      <c r="H182" s="371"/>
      <c r="I182" s="1237"/>
      <c r="J182" s="1237"/>
      <c r="K182" s="1237"/>
      <c r="L182" s="1237"/>
      <c r="M182" s="1238"/>
      <c r="N182" s="460">
        <f>F182+154</f>
        <v>337</v>
      </c>
      <c r="O182" s="288">
        <f t="shared" si="369"/>
        <v>337</v>
      </c>
      <c r="P182" s="460">
        <f>F182+137</f>
        <v>320</v>
      </c>
      <c r="Q182" s="288">
        <f t="shared" si="370"/>
        <v>320</v>
      </c>
      <c r="R182" s="460">
        <f>F182+127</f>
        <v>310</v>
      </c>
      <c r="S182" s="288">
        <f t="shared" si="371"/>
        <v>310</v>
      </c>
      <c r="T182" s="460">
        <f>F182+105</f>
        <v>288</v>
      </c>
      <c r="U182" s="288">
        <f t="shared" si="372"/>
        <v>288</v>
      </c>
      <c r="V182" s="460">
        <f>F182+94</f>
        <v>277</v>
      </c>
      <c r="W182" s="288">
        <f t="shared" si="373"/>
        <v>277</v>
      </c>
      <c r="X182" s="157"/>
      <c r="Y182" s="147"/>
      <c r="Z182" s="147"/>
      <c r="AA182" s="147"/>
      <c r="AB182" s="192">
        <v>417</v>
      </c>
    </row>
    <row r="183" spans="1:28" ht="12.6" customHeight="1" x14ac:dyDescent="0.2">
      <c r="A183" s="25"/>
      <c r="B183" s="711" t="s">
        <v>530</v>
      </c>
      <c r="C183" s="712"/>
      <c r="D183" s="712"/>
      <c r="E183" s="712"/>
      <c r="F183" s="306">
        <v>183</v>
      </c>
      <c r="G183" s="255"/>
      <c r="H183" s="372"/>
      <c r="I183" s="1239"/>
      <c r="J183" s="1239"/>
      <c r="K183" s="1239"/>
      <c r="L183" s="1239"/>
      <c r="M183" s="1240"/>
      <c r="N183" s="542">
        <f>F183+154</f>
        <v>337</v>
      </c>
      <c r="O183" s="287">
        <f t="shared" si="369"/>
        <v>337</v>
      </c>
      <c r="P183" s="542">
        <f>F183+137</f>
        <v>320</v>
      </c>
      <c r="Q183" s="287">
        <f t="shared" si="370"/>
        <v>320</v>
      </c>
      <c r="R183" s="542">
        <f>F183+127</f>
        <v>310</v>
      </c>
      <c r="S183" s="287">
        <f t="shared" si="371"/>
        <v>310</v>
      </c>
      <c r="T183" s="542">
        <f>F183+105</f>
        <v>288</v>
      </c>
      <c r="U183" s="287">
        <f t="shared" si="372"/>
        <v>288</v>
      </c>
      <c r="V183" s="542">
        <f>F183+94</f>
        <v>277</v>
      </c>
      <c r="W183" s="287">
        <f t="shared" si="373"/>
        <v>277</v>
      </c>
      <c r="X183" s="157"/>
      <c r="Y183" s="147"/>
      <c r="Z183" s="147"/>
      <c r="AA183" s="147"/>
      <c r="AB183" s="192">
        <v>418</v>
      </c>
    </row>
    <row r="184" spans="1:28" ht="12.6" customHeight="1" x14ac:dyDescent="0.2">
      <c r="A184" s="25"/>
      <c r="B184" s="689" t="s">
        <v>185</v>
      </c>
      <c r="C184" s="690"/>
      <c r="D184" s="690"/>
      <c r="E184" s="690"/>
      <c r="F184" s="384">
        <v>896</v>
      </c>
      <c r="G184" s="319">
        <f t="shared" ref="G184:G197" si="374">+F184*$X$1</f>
        <v>896</v>
      </c>
      <c r="H184" s="286"/>
      <c r="I184" s="351"/>
      <c r="J184" s="119"/>
      <c r="K184" s="505"/>
      <c r="L184" s="102">
        <f>F184+75</f>
        <v>971</v>
      </c>
      <c r="M184" s="305">
        <f t="shared" ref="M184:M185" si="375">+L184*$X$1</f>
        <v>971</v>
      </c>
      <c r="N184" s="102">
        <f>F184+55</f>
        <v>951</v>
      </c>
      <c r="O184" s="319">
        <f>+N184*$X$1</f>
        <v>951</v>
      </c>
      <c r="P184" s="102">
        <f>F184+49</f>
        <v>945</v>
      </c>
      <c r="Q184" s="319">
        <f>+P184*$X$1</f>
        <v>945</v>
      </c>
      <c r="R184" s="460">
        <f>F184+42</f>
        <v>938</v>
      </c>
      <c r="S184" s="288">
        <f>+R184*$X$1</f>
        <v>938</v>
      </c>
      <c r="T184" s="460">
        <f>F184+34</f>
        <v>930</v>
      </c>
      <c r="U184" s="288">
        <f>+T184*$X$1</f>
        <v>930</v>
      </c>
      <c r="V184" s="460">
        <f>F184+30</f>
        <v>926</v>
      </c>
      <c r="W184" s="288">
        <f>+V184*$X$1</f>
        <v>926</v>
      </c>
      <c r="X184" s="929"/>
      <c r="Y184" s="930"/>
      <c r="Z184" s="930"/>
      <c r="AA184" s="931"/>
      <c r="AB184" s="416">
        <v>421</v>
      </c>
    </row>
    <row r="185" spans="1:28" ht="12.6" customHeight="1" x14ac:dyDescent="0.2">
      <c r="A185" s="25"/>
      <c r="B185" s="711" t="s">
        <v>585</v>
      </c>
      <c r="C185" s="712"/>
      <c r="D185" s="712"/>
      <c r="E185" s="712"/>
      <c r="F185" s="385">
        <v>813</v>
      </c>
      <c r="G185" s="306">
        <f t="shared" si="374"/>
        <v>813</v>
      </c>
      <c r="H185" s="1012" t="s">
        <v>622</v>
      </c>
      <c r="I185" s="1013"/>
      <c r="J185" s="1013"/>
      <c r="K185" s="1014"/>
      <c r="L185" s="542">
        <f>F185+200</f>
        <v>1013</v>
      </c>
      <c r="M185" s="287">
        <f t="shared" si="375"/>
        <v>1013</v>
      </c>
      <c r="N185" s="542">
        <f>F185+110</f>
        <v>923</v>
      </c>
      <c r="O185" s="287">
        <f t="shared" ref="O185" si="376">+N185*$X$1</f>
        <v>923</v>
      </c>
      <c r="P185" s="542">
        <f>F185+80</f>
        <v>893</v>
      </c>
      <c r="Q185" s="287">
        <f t="shared" ref="Q185" si="377">+P185*$X$1</f>
        <v>893</v>
      </c>
      <c r="R185" s="542">
        <f>F185+70</f>
        <v>883</v>
      </c>
      <c r="S185" s="287">
        <f t="shared" ref="S185" si="378">+R185*$X$1</f>
        <v>883</v>
      </c>
      <c r="T185" s="103">
        <f>F185+63</f>
        <v>876</v>
      </c>
      <c r="U185" s="255">
        <f t="shared" ref="U185" si="379">+T185*$X$1</f>
        <v>876</v>
      </c>
      <c r="V185" s="542">
        <f>F185+57</f>
        <v>870</v>
      </c>
      <c r="W185" s="287">
        <f t="shared" ref="W185" si="380">+V185*$X$1</f>
        <v>870</v>
      </c>
      <c r="X185" s="929"/>
      <c r="Y185" s="930"/>
      <c r="Z185" s="930"/>
      <c r="AA185" s="931"/>
      <c r="AB185" s="416" t="s">
        <v>724</v>
      </c>
    </row>
    <row r="186" spans="1:28" ht="12.6" customHeight="1" x14ac:dyDescent="0.2">
      <c r="A186" s="25"/>
      <c r="B186" s="689" t="s">
        <v>582</v>
      </c>
      <c r="C186" s="690"/>
      <c r="D186" s="690"/>
      <c r="E186" s="690"/>
      <c r="F186" s="384">
        <v>813</v>
      </c>
      <c r="G186" s="319">
        <f t="shared" si="374"/>
        <v>813</v>
      </c>
      <c r="H186" s="1015"/>
      <c r="I186" s="1016"/>
      <c r="J186" s="1016"/>
      <c r="K186" s="1017"/>
      <c r="L186" s="460">
        <f>F186+200</f>
        <v>1013</v>
      </c>
      <c r="M186" s="288">
        <f t="shared" ref="M186:M188" si="381">+L186*$X$1</f>
        <v>1013</v>
      </c>
      <c r="N186" s="460">
        <f>F186+110</f>
        <v>923</v>
      </c>
      <c r="O186" s="288">
        <f t="shared" ref="O186:O188" si="382">+N186*$X$1</f>
        <v>923</v>
      </c>
      <c r="P186" s="460">
        <f>F186+80</f>
        <v>893</v>
      </c>
      <c r="Q186" s="288">
        <f t="shared" ref="Q186:Q188" si="383">+P186*$X$1</f>
        <v>893</v>
      </c>
      <c r="R186" s="460">
        <f>F186+70</f>
        <v>883</v>
      </c>
      <c r="S186" s="288">
        <f t="shared" ref="S186:S188" si="384">+R186*$X$1</f>
        <v>883</v>
      </c>
      <c r="T186" s="102">
        <f>F186+63</f>
        <v>876</v>
      </c>
      <c r="U186" s="305">
        <f t="shared" ref="U186:U188" si="385">+T186*$X$1</f>
        <v>876</v>
      </c>
      <c r="V186" s="460">
        <f>F186+57</f>
        <v>870</v>
      </c>
      <c r="W186" s="288">
        <f t="shared" ref="W186:W188" si="386">+V186*$X$1</f>
        <v>870</v>
      </c>
      <c r="X186" s="929"/>
      <c r="Y186" s="930"/>
      <c r="Z186" s="930"/>
      <c r="AA186" s="931"/>
      <c r="AB186" s="416" t="s">
        <v>719</v>
      </c>
    </row>
    <row r="187" spans="1:28" ht="12.6" customHeight="1" x14ac:dyDescent="0.2">
      <c r="A187" s="25"/>
      <c r="B187" s="711" t="s">
        <v>581</v>
      </c>
      <c r="C187" s="712"/>
      <c r="D187" s="712"/>
      <c r="E187" s="712"/>
      <c r="F187" s="385">
        <v>813</v>
      </c>
      <c r="G187" s="306">
        <f t="shared" si="374"/>
        <v>813</v>
      </c>
      <c r="H187" s="1015"/>
      <c r="I187" s="1016"/>
      <c r="J187" s="1016"/>
      <c r="K187" s="1017"/>
      <c r="L187" s="542">
        <f>F187+200</f>
        <v>1013</v>
      </c>
      <c r="M187" s="287">
        <f t="shared" si="381"/>
        <v>1013</v>
      </c>
      <c r="N187" s="542">
        <f>F187+110</f>
        <v>923</v>
      </c>
      <c r="O187" s="287">
        <f t="shared" si="382"/>
        <v>923</v>
      </c>
      <c r="P187" s="542">
        <f>F187+80</f>
        <v>893</v>
      </c>
      <c r="Q187" s="287">
        <f t="shared" si="383"/>
        <v>893</v>
      </c>
      <c r="R187" s="542">
        <f>F187+70</f>
        <v>883</v>
      </c>
      <c r="S187" s="287">
        <f t="shared" si="384"/>
        <v>883</v>
      </c>
      <c r="T187" s="103">
        <f>F187+63</f>
        <v>876</v>
      </c>
      <c r="U187" s="255">
        <f t="shared" si="385"/>
        <v>876</v>
      </c>
      <c r="V187" s="542">
        <f>F187+57</f>
        <v>870</v>
      </c>
      <c r="W187" s="287">
        <f t="shared" si="386"/>
        <v>870</v>
      </c>
      <c r="X187" s="929"/>
      <c r="Y187" s="930"/>
      <c r="Z187" s="930"/>
      <c r="AA187" s="931"/>
      <c r="AB187" s="416" t="s">
        <v>721</v>
      </c>
    </row>
    <row r="188" spans="1:28" ht="12.6" customHeight="1" x14ac:dyDescent="0.2">
      <c r="A188" s="25"/>
      <c r="B188" s="689" t="s">
        <v>584</v>
      </c>
      <c r="C188" s="690"/>
      <c r="D188" s="690"/>
      <c r="E188" s="690"/>
      <c r="F188" s="384">
        <v>813</v>
      </c>
      <c r="G188" s="319">
        <f t="shared" si="374"/>
        <v>813</v>
      </c>
      <c r="H188" s="1015"/>
      <c r="I188" s="1016"/>
      <c r="J188" s="1016"/>
      <c r="K188" s="1017"/>
      <c r="L188" s="460">
        <f>F188+200</f>
        <v>1013</v>
      </c>
      <c r="M188" s="288">
        <f t="shared" si="381"/>
        <v>1013</v>
      </c>
      <c r="N188" s="460">
        <f>F188+110</f>
        <v>923</v>
      </c>
      <c r="O188" s="288">
        <f t="shared" si="382"/>
        <v>923</v>
      </c>
      <c r="P188" s="460">
        <f>F188+80</f>
        <v>893</v>
      </c>
      <c r="Q188" s="288">
        <f t="shared" si="383"/>
        <v>893</v>
      </c>
      <c r="R188" s="460">
        <f>F188+70</f>
        <v>883</v>
      </c>
      <c r="S188" s="288">
        <f t="shared" si="384"/>
        <v>883</v>
      </c>
      <c r="T188" s="102">
        <f>F188+63</f>
        <v>876</v>
      </c>
      <c r="U188" s="305">
        <f t="shared" si="385"/>
        <v>876</v>
      </c>
      <c r="V188" s="460">
        <f>F188+57</f>
        <v>870</v>
      </c>
      <c r="W188" s="288">
        <f t="shared" si="386"/>
        <v>870</v>
      </c>
      <c r="X188" s="1007"/>
      <c r="Y188" s="1008"/>
      <c r="Z188" s="1008"/>
      <c r="AA188" s="1009"/>
      <c r="AB188" s="416" t="s">
        <v>720</v>
      </c>
    </row>
    <row r="189" spans="1:28" ht="12.6" customHeight="1" x14ac:dyDescent="0.2">
      <c r="A189" s="25"/>
      <c r="B189" s="711" t="s">
        <v>723</v>
      </c>
      <c r="C189" s="712"/>
      <c r="D189" s="712"/>
      <c r="E189" s="712"/>
      <c r="F189" s="385">
        <v>890</v>
      </c>
      <c r="G189" s="306">
        <f t="shared" ref="G189" si="387">+F189*$X$1</f>
        <v>890</v>
      </c>
      <c r="H189" s="1015"/>
      <c r="I189" s="1016"/>
      <c r="J189" s="1016"/>
      <c r="K189" s="1017"/>
      <c r="L189" s="542">
        <f>F189+200</f>
        <v>1090</v>
      </c>
      <c r="M189" s="287">
        <f t="shared" ref="M189" si="388">+L189*$X$1</f>
        <v>1090</v>
      </c>
      <c r="N189" s="542">
        <f>F189+110</f>
        <v>1000</v>
      </c>
      <c r="O189" s="287">
        <f t="shared" ref="O189" si="389">+N189*$X$1</f>
        <v>1000</v>
      </c>
      <c r="P189" s="542">
        <f>F189+80</f>
        <v>970</v>
      </c>
      <c r="Q189" s="287">
        <f t="shared" ref="Q189" si="390">+P189*$X$1</f>
        <v>970</v>
      </c>
      <c r="R189" s="542">
        <f>F189+70</f>
        <v>960</v>
      </c>
      <c r="S189" s="287">
        <f t="shared" ref="S189" si="391">+R189*$X$1</f>
        <v>960</v>
      </c>
      <c r="T189" s="103">
        <f>F189+63</f>
        <v>953</v>
      </c>
      <c r="U189" s="255">
        <f t="shared" ref="U189" si="392">+T189*$X$1</f>
        <v>953</v>
      </c>
      <c r="V189" s="542">
        <f>F189+57</f>
        <v>947</v>
      </c>
      <c r="W189" s="287">
        <f t="shared" ref="W189" si="393">+V189*$X$1</f>
        <v>947</v>
      </c>
      <c r="X189" s="929"/>
      <c r="Y189" s="930"/>
      <c r="Z189" s="930"/>
      <c r="AA189" s="931"/>
      <c r="AB189" s="416" t="s">
        <v>722</v>
      </c>
    </row>
    <row r="190" spans="1:28" ht="12.6" customHeight="1" x14ac:dyDescent="0.2">
      <c r="A190" s="25"/>
      <c r="B190" s="689" t="s">
        <v>583</v>
      </c>
      <c r="C190" s="690"/>
      <c r="D190" s="690"/>
      <c r="E190" s="690"/>
      <c r="F190" s="384">
        <v>906</v>
      </c>
      <c r="G190" s="319">
        <f t="shared" si="374"/>
        <v>906</v>
      </c>
      <c r="H190" s="1018"/>
      <c r="I190" s="1019"/>
      <c r="J190" s="1019"/>
      <c r="K190" s="1020"/>
      <c r="L190" s="460">
        <f>F190+230</f>
        <v>1136</v>
      </c>
      <c r="M190" s="288">
        <f t="shared" ref="M190" si="394">+L190*$X$1</f>
        <v>1136</v>
      </c>
      <c r="N190" s="460">
        <f>F190+130</f>
        <v>1036</v>
      </c>
      <c r="O190" s="288">
        <f t="shared" ref="O190" si="395">+N190*$X$1</f>
        <v>1036</v>
      </c>
      <c r="P190" s="460">
        <f>F190+100</f>
        <v>1006</v>
      </c>
      <c r="Q190" s="288">
        <f t="shared" ref="Q190" si="396">+P190*$X$1</f>
        <v>1006</v>
      </c>
      <c r="R190" s="460">
        <f>F190+90</f>
        <v>996</v>
      </c>
      <c r="S190" s="288">
        <f t="shared" ref="S190" si="397">+R190*$X$1</f>
        <v>996</v>
      </c>
      <c r="T190" s="102">
        <f>F190+83</f>
        <v>989</v>
      </c>
      <c r="U190" s="305">
        <f t="shared" ref="U190" si="398">+T190*$X$1</f>
        <v>989</v>
      </c>
      <c r="V190" s="460">
        <f>F190+77</f>
        <v>983</v>
      </c>
      <c r="W190" s="288">
        <f t="shared" ref="W190" si="399">+V190*$X$1</f>
        <v>983</v>
      </c>
      <c r="X190" s="929"/>
      <c r="Y190" s="930"/>
      <c r="Z190" s="930"/>
      <c r="AA190" s="931"/>
      <c r="AB190" s="416" t="s">
        <v>718</v>
      </c>
    </row>
    <row r="191" spans="1:28" ht="12.6" customHeight="1" x14ac:dyDescent="0.2">
      <c r="A191" s="104"/>
      <c r="B191" s="938" t="s">
        <v>965</v>
      </c>
      <c r="C191" s="939"/>
      <c r="D191" s="939"/>
      <c r="E191" s="939"/>
      <c r="F191" s="504">
        <f>0.89*X2</f>
        <v>947.85</v>
      </c>
      <c r="G191" s="632">
        <f t="shared" si="374"/>
        <v>947.85</v>
      </c>
      <c r="H191" s="393"/>
      <c r="I191" s="330"/>
      <c r="J191" s="393"/>
      <c r="K191" s="330"/>
      <c r="L191" s="542">
        <f>F191+120</f>
        <v>1067.8499999999999</v>
      </c>
      <c r="M191" s="287">
        <f>+L191*$X$1</f>
        <v>1067.8499999999999</v>
      </c>
      <c r="N191" s="542">
        <f>F191+63</f>
        <v>1010.85</v>
      </c>
      <c r="O191" s="287">
        <f>+N191*$X$1</f>
        <v>1010.85</v>
      </c>
      <c r="P191" s="542">
        <f>F191+54</f>
        <v>1001.85</v>
      </c>
      <c r="Q191" s="287">
        <f>+P191*$X$1</f>
        <v>1001.85</v>
      </c>
      <c r="R191" s="542">
        <f>F191+45</f>
        <v>992.85</v>
      </c>
      <c r="S191" s="287">
        <f>+R191*$X$1</f>
        <v>992.85</v>
      </c>
      <c r="T191" s="103">
        <f>F191+37</f>
        <v>984.85</v>
      </c>
      <c r="U191" s="255">
        <f>+T191*$X$1</f>
        <v>984.85</v>
      </c>
      <c r="V191" s="103">
        <f>F191+32</f>
        <v>979.85</v>
      </c>
      <c r="W191" s="255">
        <f>+V191*$X$1</f>
        <v>979.85</v>
      </c>
      <c r="X191" s="147"/>
      <c r="Y191" s="156"/>
      <c r="Z191" s="147"/>
      <c r="AA191" s="147"/>
      <c r="AB191" s="192">
        <v>425</v>
      </c>
    </row>
    <row r="192" spans="1:28" ht="12.6" customHeight="1" x14ac:dyDescent="0.2">
      <c r="A192" s="104"/>
      <c r="B192" s="689" t="s">
        <v>855</v>
      </c>
      <c r="C192" s="707"/>
      <c r="D192" s="707"/>
      <c r="E192" s="707"/>
      <c r="F192" s="381">
        <f>0.6*X2</f>
        <v>639</v>
      </c>
      <c r="G192" s="288">
        <f t="shared" ref="G192" si="400">+F192*$X$1</f>
        <v>639</v>
      </c>
      <c r="H192" s="100"/>
      <c r="I192" s="329"/>
      <c r="J192" s="100"/>
      <c r="K192" s="329"/>
      <c r="L192" s="460">
        <f>F192+120</f>
        <v>759</v>
      </c>
      <c r="M192" s="288">
        <f>+L192*$X$1</f>
        <v>759</v>
      </c>
      <c r="N192" s="460">
        <f>F192+63</f>
        <v>702</v>
      </c>
      <c r="O192" s="288">
        <f>+N192*$X$1</f>
        <v>702</v>
      </c>
      <c r="P192" s="460">
        <f>F192+54</f>
        <v>693</v>
      </c>
      <c r="Q192" s="288">
        <f>+P192*$X$1</f>
        <v>693</v>
      </c>
      <c r="R192" s="460">
        <f>F192+45</f>
        <v>684</v>
      </c>
      <c r="S192" s="288">
        <f>+R192*$X$1</f>
        <v>684</v>
      </c>
      <c r="T192" s="102">
        <f>F192+37</f>
        <v>676</v>
      </c>
      <c r="U192" s="305">
        <f>+T192*$X$1</f>
        <v>676</v>
      </c>
      <c r="V192" s="102">
        <f>F192+32</f>
        <v>671</v>
      </c>
      <c r="W192" s="305">
        <f>+V192*$X$1</f>
        <v>671</v>
      </c>
      <c r="X192" s="147"/>
      <c r="Y192" s="156"/>
      <c r="Z192" s="147"/>
      <c r="AA192" s="147"/>
      <c r="AB192" s="192">
        <v>426</v>
      </c>
    </row>
    <row r="193" spans="1:38" ht="12.6" customHeight="1" x14ac:dyDescent="0.2">
      <c r="A193" s="104"/>
      <c r="B193" s="711" t="s">
        <v>497</v>
      </c>
      <c r="C193" s="712"/>
      <c r="D193" s="712"/>
      <c r="E193" s="712"/>
      <c r="F193" s="380">
        <f>1.006*X2</f>
        <v>1071.3900000000001</v>
      </c>
      <c r="G193" s="287">
        <f t="shared" si="374"/>
        <v>1071.3900000000001</v>
      </c>
      <c r="H193" s="393"/>
      <c r="I193" s="330"/>
      <c r="J193" s="393"/>
      <c r="K193" s="330"/>
      <c r="L193" s="542">
        <f>F193+120</f>
        <v>1191.3900000000001</v>
      </c>
      <c r="M193" s="287">
        <f>+L193*$X$1</f>
        <v>1191.3900000000001</v>
      </c>
      <c r="N193" s="542">
        <f>F193+63</f>
        <v>1134.3900000000001</v>
      </c>
      <c r="O193" s="287">
        <f>+N193*$X$1</f>
        <v>1134.3900000000001</v>
      </c>
      <c r="P193" s="542">
        <f>F193+54</f>
        <v>1125.3900000000001</v>
      </c>
      <c r="Q193" s="287">
        <f>+P193*$X$1</f>
        <v>1125.3900000000001</v>
      </c>
      <c r="R193" s="542">
        <f>F193+45</f>
        <v>1116.3900000000001</v>
      </c>
      <c r="S193" s="287">
        <f>+R193*$X$1</f>
        <v>1116.3900000000001</v>
      </c>
      <c r="T193" s="103">
        <f>F193+37</f>
        <v>1108.3900000000001</v>
      </c>
      <c r="U193" s="255">
        <f>+T193*$X$1</f>
        <v>1108.3900000000001</v>
      </c>
      <c r="V193" s="103">
        <f>F193+32</f>
        <v>1103.3900000000001</v>
      </c>
      <c r="W193" s="255">
        <f>+V193*$X$1</f>
        <v>1103.3900000000001</v>
      </c>
      <c r="X193" s="147"/>
      <c r="Y193" s="156"/>
      <c r="Z193" s="147"/>
      <c r="AA193" s="147"/>
      <c r="AB193" s="192" t="s">
        <v>547</v>
      </c>
    </row>
    <row r="194" spans="1:38" ht="12.6" customHeight="1" x14ac:dyDescent="0.2">
      <c r="A194" s="104"/>
      <c r="B194" s="689" t="s">
        <v>487</v>
      </c>
      <c r="C194" s="690"/>
      <c r="D194" s="690"/>
      <c r="E194" s="690"/>
      <c r="F194" s="381">
        <f>0.71*X2</f>
        <v>756.15</v>
      </c>
      <c r="G194" s="288">
        <f t="shared" ref="G194:G195" si="401">+F194*$X$1</f>
        <v>756.15</v>
      </c>
      <c r="H194" s="100"/>
      <c r="I194" s="329"/>
      <c r="J194" s="100"/>
      <c r="K194" s="329"/>
      <c r="L194" s="460">
        <f>F194+120</f>
        <v>876.15</v>
      </c>
      <c r="M194" s="288">
        <f>+L194*$X$1</f>
        <v>876.15</v>
      </c>
      <c r="N194" s="460">
        <f>F194+63</f>
        <v>819.15</v>
      </c>
      <c r="O194" s="288">
        <f>+N194*$X$1</f>
        <v>819.15</v>
      </c>
      <c r="P194" s="460">
        <f>F194+54</f>
        <v>810.15</v>
      </c>
      <c r="Q194" s="288">
        <f>+P194*$X$1</f>
        <v>810.15</v>
      </c>
      <c r="R194" s="460">
        <f>F194+45</f>
        <v>801.15</v>
      </c>
      <c r="S194" s="288">
        <f>+R194*$X$1</f>
        <v>801.15</v>
      </c>
      <c r="T194" s="102">
        <f>F194+37</f>
        <v>793.15</v>
      </c>
      <c r="U194" s="305">
        <f>+T194*$X$1</f>
        <v>793.15</v>
      </c>
      <c r="V194" s="102">
        <f>F194+32</f>
        <v>788.15</v>
      </c>
      <c r="W194" s="305">
        <f>+V194*$X$1</f>
        <v>788.15</v>
      </c>
      <c r="X194" s="147"/>
      <c r="Y194" s="156"/>
      <c r="Z194" s="147"/>
      <c r="AA194" s="147"/>
      <c r="AB194" s="192">
        <v>428</v>
      </c>
    </row>
    <row r="195" spans="1:38" s="1" customFormat="1" ht="12.6" customHeight="1" x14ac:dyDescent="0.2">
      <c r="A195" s="19"/>
      <c r="B195" s="671" t="s">
        <v>963</v>
      </c>
      <c r="C195" s="672"/>
      <c r="D195" s="672"/>
      <c r="E195" s="673"/>
      <c r="F195" s="535">
        <f>11.62*X2</f>
        <v>12375.3</v>
      </c>
      <c r="G195" s="287">
        <f t="shared" si="401"/>
        <v>12375.3</v>
      </c>
      <c r="H195" s="71">
        <f>F195+500</f>
        <v>12875.3</v>
      </c>
      <c r="I195" s="287">
        <f t="shared" ref="I195" si="402">+H195*$X$1</f>
        <v>12875.3</v>
      </c>
      <c r="J195" s="654">
        <f>F195+210</f>
        <v>12585.3</v>
      </c>
      <c r="K195" s="287">
        <f t="shared" ref="K195" si="403">+J195*$X$1</f>
        <v>12585.3</v>
      </c>
      <c r="L195" s="654">
        <f>F195+150</f>
        <v>12525.3</v>
      </c>
      <c r="M195" s="287">
        <f t="shared" ref="M195" si="404">+L195*$X$1</f>
        <v>12525.3</v>
      </c>
      <c r="N195" s="654">
        <f>F195+120</f>
        <v>12495.3</v>
      </c>
      <c r="O195" s="287">
        <f t="shared" ref="O195" si="405">+N195*$X$1</f>
        <v>12495.3</v>
      </c>
      <c r="P195" s="654">
        <f>F195+95</f>
        <v>12470.3</v>
      </c>
      <c r="Q195" s="287">
        <f t="shared" ref="Q195" si="406">+P195*$X$1</f>
        <v>12470.3</v>
      </c>
      <c r="R195" s="654">
        <f>F195+85</f>
        <v>12460.3</v>
      </c>
      <c r="S195" s="287">
        <f t="shared" ref="S195" si="407">+R195*$X$1</f>
        <v>12460.3</v>
      </c>
      <c r="T195" s="654">
        <f>F195+77</f>
        <v>12452.3</v>
      </c>
      <c r="U195" s="287">
        <f t="shared" ref="U195" si="408">+T195*$X$1</f>
        <v>12452.3</v>
      </c>
      <c r="V195" s="654">
        <f>F195+68</f>
        <v>12443.3</v>
      </c>
      <c r="W195" s="287">
        <f t="shared" ref="W195" si="409">+V195*$X$1</f>
        <v>12443.3</v>
      </c>
      <c r="X195" s="643"/>
      <c r="Y195" s="644"/>
      <c r="Z195" s="644"/>
      <c r="AA195" s="645"/>
      <c r="AB195" s="192">
        <v>430</v>
      </c>
      <c r="AC195" s="4"/>
      <c r="AD195" s="4"/>
      <c r="AE195" s="4"/>
      <c r="AF195" s="4"/>
      <c r="AG195" s="4"/>
      <c r="AH195" s="128"/>
      <c r="AI195" s="4"/>
      <c r="AJ195" s="4"/>
      <c r="AK195" s="4"/>
      <c r="AL195" s="4"/>
    </row>
    <row r="196" spans="1:38" s="1" customFormat="1" ht="12.6" customHeight="1" x14ac:dyDescent="0.2">
      <c r="A196" s="19"/>
      <c r="B196" s="671" t="s">
        <v>964</v>
      </c>
      <c r="C196" s="672"/>
      <c r="D196" s="672"/>
      <c r="E196" s="673"/>
      <c r="F196" s="621">
        <f>12.7*X2</f>
        <v>13525.5</v>
      </c>
      <c r="G196" s="288">
        <f t="shared" ref="G196" si="410">+F196*$X$1</f>
        <v>13525.5</v>
      </c>
      <c r="H196" s="89">
        <f>F196+500</f>
        <v>14025.5</v>
      </c>
      <c r="I196" s="288">
        <f t="shared" ref="I196" si="411">+H196*$X$1</f>
        <v>14025.5</v>
      </c>
      <c r="J196" s="460">
        <f>F196+210</f>
        <v>13735.5</v>
      </c>
      <c r="K196" s="288">
        <f t="shared" ref="K196" si="412">+J196*$X$1</f>
        <v>13735.5</v>
      </c>
      <c r="L196" s="460">
        <f>F196+150</f>
        <v>13675.5</v>
      </c>
      <c r="M196" s="288">
        <f t="shared" ref="M196" si="413">+L196*$X$1</f>
        <v>13675.5</v>
      </c>
      <c r="N196" s="460">
        <f>F196+120</f>
        <v>13645.5</v>
      </c>
      <c r="O196" s="288">
        <f t="shared" ref="O196" si="414">+N196*$X$1</f>
        <v>13645.5</v>
      </c>
      <c r="P196" s="460">
        <f>F196+95</f>
        <v>13620.5</v>
      </c>
      <c r="Q196" s="288">
        <f t="shared" ref="Q196" si="415">+P196*$X$1</f>
        <v>13620.5</v>
      </c>
      <c r="R196" s="460">
        <f>F196+85</f>
        <v>13610.5</v>
      </c>
      <c r="S196" s="288">
        <f t="shared" ref="S196" si="416">+R196*$X$1</f>
        <v>13610.5</v>
      </c>
      <c r="T196" s="460">
        <f>F196+77</f>
        <v>13602.5</v>
      </c>
      <c r="U196" s="288">
        <f t="shared" ref="U196" si="417">+T196*$X$1</f>
        <v>13602.5</v>
      </c>
      <c r="V196" s="460">
        <f>F196+68</f>
        <v>13593.5</v>
      </c>
      <c r="W196" s="288">
        <f t="shared" ref="W196" si="418">+V196*$X$1</f>
        <v>13593.5</v>
      </c>
      <c r="X196" s="651"/>
      <c r="Y196" s="653"/>
      <c r="Z196" s="653"/>
      <c r="AA196" s="652"/>
      <c r="AB196" s="192">
        <v>431</v>
      </c>
      <c r="AC196" s="4"/>
      <c r="AD196" s="4"/>
      <c r="AE196" s="4"/>
      <c r="AF196" s="4"/>
      <c r="AG196" s="4"/>
      <c r="AH196" s="128"/>
      <c r="AI196" s="4"/>
      <c r="AJ196" s="4"/>
      <c r="AK196" s="4"/>
      <c r="AL196" s="4"/>
    </row>
    <row r="197" spans="1:38" ht="12.6" customHeight="1" x14ac:dyDescent="0.2">
      <c r="A197" s="18"/>
      <c r="B197" s="711" t="s">
        <v>186</v>
      </c>
      <c r="C197" s="712"/>
      <c r="D197" s="712"/>
      <c r="E197" s="712"/>
      <c r="F197" s="380">
        <f>1.53*X2</f>
        <v>1629.45</v>
      </c>
      <c r="G197" s="287">
        <f t="shared" si="374"/>
        <v>1629.45</v>
      </c>
      <c r="H197" s="393">
        <f>F197+500</f>
        <v>2129.4499999999998</v>
      </c>
      <c r="I197" s="287">
        <f>+H197*$X$1</f>
        <v>2129.4499999999998</v>
      </c>
      <c r="J197" s="542">
        <f>F197+180</f>
        <v>1809.45</v>
      </c>
      <c r="K197" s="287">
        <f t="shared" ref="K197" si="419">+J197*$X$1</f>
        <v>1809.45</v>
      </c>
      <c r="L197" s="542">
        <f>F197+120</f>
        <v>1749.45</v>
      </c>
      <c r="M197" s="287">
        <f>+L197*$X$1</f>
        <v>1749.45</v>
      </c>
      <c r="N197" s="542">
        <f>F197+63</f>
        <v>1692.45</v>
      </c>
      <c r="O197" s="287">
        <f>+N197*$X$1</f>
        <v>1692.45</v>
      </c>
      <c r="P197" s="542">
        <f>F197+54</f>
        <v>1683.45</v>
      </c>
      <c r="Q197" s="287">
        <f>+P197*$X$1</f>
        <v>1683.45</v>
      </c>
      <c r="R197" s="542">
        <f>F197+45</f>
        <v>1674.45</v>
      </c>
      <c r="S197" s="287">
        <f>+R197*$X$1</f>
        <v>1674.45</v>
      </c>
      <c r="T197" s="103">
        <f>F197+37</f>
        <v>1666.45</v>
      </c>
      <c r="U197" s="255">
        <f>+T197*$X$1</f>
        <v>1666.45</v>
      </c>
      <c r="V197" s="103">
        <f>F197+32</f>
        <v>1661.45</v>
      </c>
      <c r="W197" s="255">
        <f>+V197*$X$1</f>
        <v>1661.45</v>
      </c>
      <c r="X197" s="147"/>
      <c r="Y197" s="156"/>
      <c r="Z197" s="147"/>
      <c r="AA197" s="147"/>
      <c r="AB197" s="192">
        <v>442</v>
      </c>
    </row>
    <row r="198" spans="1:38" ht="12.6" customHeight="1" x14ac:dyDescent="0.2">
      <c r="A198" s="18"/>
      <c r="B198" s="702" t="s">
        <v>187</v>
      </c>
      <c r="C198" s="703"/>
      <c r="D198" s="703"/>
      <c r="E198" s="703"/>
      <c r="F198" s="374"/>
      <c r="G198" s="1050" t="s">
        <v>844</v>
      </c>
      <c r="H198" s="1051"/>
      <c r="I198" s="1051"/>
      <c r="J198" s="1051"/>
      <c r="K198" s="1051"/>
      <c r="L198" s="1051"/>
      <c r="M198" s="1051"/>
      <c r="N198" s="1051"/>
      <c r="O198" s="1051"/>
      <c r="P198" s="1052"/>
      <c r="Q198" s="1052"/>
      <c r="R198" s="1052"/>
      <c r="S198" s="1053"/>
      <c r="T198" s="71"/>
      <c r="U198" s="288"/>
      <c r="V198" s="102"/>
      <c r="W198" s="305"/>
      <c r="X198" s="157"/>
      <c r="Y198" s="156"/>
      <c r="Z198" s="147"/>
      <c r="AA198" s="147"/>
      <c r="AB198" s="192">
        <v>450</v>
      </c>
    </row>
    <row r="199" spans="1:38" ht="12.6" customHeight="1" x14ac:dyDescent="0.2">
      <c r="A199" s="18"/>
      <c r="B199" s="711" t="s">
        <v>188</v>
      </c>
      <c r="C199" s="712"/>
      <c r="D199" s="712"/>
      <c r="E199" s="712"/>
      <c r="F199" s="127"/>
      <c r="G199" s="1054"/>
      <c r="H199" s="1055"/>
      <c r="I199" s="1055"/>
      <c r="J199" s="1055"/>
      <c r="K199" s="1055"/>
      <c r="L199" s="1055"/>
      <c r="M199" s="1055"/>
      <c r="N199" s="1055"/>
      <c r="O199" s="1055"/>
      <c r="P199" s="1056"/>
      <c r="Q199" s="1057"/>
      <c r="R199" s="1056"/>
      <c r="S199" s="1058"/>
      <c r="T199" s="71"/>
      <c r="U199" s="287"/>
      <c r="V199" s="103"/>
      <c r="W199" s="255"/>
      <c r="X199" s="157"/>
      <c r="Y199" s="156"/>
      <c r="Z199" s="147"/>
      <c r="AA199" s="147"/>
      <c r="AB199" s="192">
        <v>451</v>
      </c>
    </row>
    <row r="200" spans="1:38" ht="12.6" customHeight="1" x14ac:dyDescent="0.2">
      <c r="A200" s="18"/>
      <c r="B200" s="689" t="s">
        <v>189</v>
      </c>
      <c r="C200" s="690"/>
      <c r="D200" s="690"/>
      <c r="E200" s="690"/>
      <c r="F200" s="91"/>
      <c r="G200" s="1054"/>
      <c r="H200" s="1055"/>
      <c r="I200" s="1055"/>
      <c r="J200" s="1055"/>
      <c r="K200" s="1055"/>
      <c r="L200" s="1055"/>
      <c r="M200" s="1055"/>
      <c r="N200" s="1055"/>
      <c r="O200" s="1055"/>
      <c r="P200" s="1056"/>
      <c r="Q200" s="1057"/>
      <c r="R200" s="1056"/>
      <c r="S200" s="1058"/>
      <c r="T200" s="71"/>
      <c r="U200" s="288"/>
      <c r="V200" s="102"/>
      <c r="W200" s="305"/>
      <c r="X200" s="157"/>
      <c r="Y200" s="156"/>
      <c r="Z200" s="147"/>
      <c r="AA200" s="147"/>
      <c r="AB200" s="192">
        <v>452</v>
      </c>
    </row>
    <row r="201" spans="1:38" ht="12.6" customHeight="1" x14ac:dyDescent="0.2">
      <c r="A201" s="18"/>
      <c r="B201" s="711" t="s">
        <v>190</v>
      </c>
      <c r="C201" s="712"/>
      <c r="D201" s="712"/>
      <c r="E201" s="712"/>
      <c r="F201" s="127"/>
      <c r="G201" s="1054"/>
      <c r="H201" s="1055"/>
      <c r="I201" s="1055"/>
      <c r="J201" s="1055"/>
      <c r="K201" s="1055"/>
      <c r="L201" s="1055"/>
      <c r="M201" s="1055"/>
      <c r="N201" s="1055"/>
      <c r="O201" s="1055"/>
      <c r="P201" s="1056"/>
      <c r="Q201" s="1057"/>
      <c r="R201" s="1056"/>
      <c r="S201" s="1058"/>
      <c r="T201" s="71"/>
      <c r="U201" s="287"/>
      <c r="V201" s="103"/>
      <c r="W201" s="255"/>
      <c r="X201" s="157"/>
      <c r="Y201" s="156"/>
      <c r="Z201" s="147"/>
      <c r="AA201" s="147"/>
      <c r="AB201" s="192">
        <v>453</v>
      </c>
    </row>
    <row r="202" spans="1:38" ht="12.6" customHeight="1" x14ac:dyDescent="0.2">
      <c r="A202" s="18"/>
      <c r="B202" s="689" t="s">
        <v>191</v>
      </c>
      <c r="C202" s="690"/>
      <c r="D202" s="690"/>
      <c r="E202" s="690"/>
      <c r="F202" s="91"/>
      <c r="G202" s="1054"/>
      <c r="H202" s="1055"/>
      <c r="I202" s="1055"/>
      <c r="J202" s="1055"/>
      <c r="K202" s="1055"/>
      <c r="L202" s="1055"/>
      <c r="M202" s="1055"/>
      <c r="N202" s="1055"/>
      <c r="O202" s="1055"/>
      <c r="P202" s="1056"/>
      <c r="Q202" s="1057"/>
      <c r="R202" s="1056"/>
      <c r="S202" s="1058"/>
      <c r="T202" s="71"/>
      <c r="U202" s="288"/>
      <c r="V202" s="102"/>
      <c r="W202" s="305"/>
      <c r="X202" s="157"/>
      <c r="Y202" s="156"/>
      <c r="Z202" s="147"/>
      <c r="AA202" s="147"/>
      <c r="AB202" s="192">
        <v>454</v>
      </c>
    </row>
    <row r="203" spans="1:38" ht="12.6" customHeight="1" x14ac:dyDescent="0.2">
      <c r="A203" s="18"/>
      <c r="B203" s="711" t="s">
        <v>192</v>
      </c>
      <c r="C203" s="712"/>
      <c r="D203" s="712"/>
      <c r="E203" s="712"/>
      <c r="F203" s="373"/>
      <c r="G203" s="1059"/>
      <c r="H203" s="1060"/>
      <c r="I203" s="1060"/>
      <c r="J203" s="1060"/>
      <c r="K203" s="1060"/>
      <c r="L203" s="1060"/>
      <c r="M203" s="1060"/>
      <c r="N203" s="1060"/>
      <c r="O203" s="1060"/>
      <c r="P203" s="1061"/>
      <c r="Q203" s="1061"/>
      <c r="R203" s="1061"/>
      <c r="S203" s="1062"/>
      <c r="T203" s="71"/>
      <c r="U203" s="287"/>
      <c r="V203" s="103"/>
      <c r="W203" s="255"/>
      <c r="X203" s="157"/>
      <c r="Y203" s="156"/>
      <c r="Z203" s="147"/>
      <c r="AA203" s="147"/>
      <c r="AB203" s="192">
        <v>460</v>
      </c>
    </row>
    <row r="204" spans="1:38" ht="12.6" customHeight="1" x14ac:dyDescent="0.2">
      <c r="A204" s="18"/>
      <c r="B204" s="689" t="s">
        <v>366</v>
      </c>
      <c r="C204" s="704"/>
      <c r="D204" s="704"/>
      <c r="E204" s="704"/>
      <c r="F204" s="381">
        <f>1.974*X2</f>
        <v>2102.31</v>
      </c>
      <c r="G204" s="507">
        <f t="shared" ref="G204:G206" si="420">+F204*$X$1</f>
        <v>2102.31</v>
      </c>
      <c r="H204" s="460"/>
      <c r="I204" s="288"/>
      <c r="J204" s="460">
        <f t="shared" ref="J204:J209" si="421">F204+180</f>
        <v>2282.31</v>
      </c>
      <c r="K204" s="288">
        <f t="shared" ref="K204:K207" si="422">+J204*$X$1</f>
        <v>2282.31</v>
      </c>
      <c r="L204" s="460">
        <f t="shared" ref="L204:L209" si="423">F204+120</f>
        <v>2222.31</v>
      </c>
      <c r="M204" s="288">
        <f t="shared" ref="M204:M209" si="424">+L204*$X$1</f>
        <v>2222.31</v>
      </c>
      <c r="N204" s="460">
        <f t="shared" ref="N204:N210" si="425">F204+63</f>
        <v>2165.31</v>
      </c>
      <c r="O204" s="288">
        <f t="shared" ref="O204:O210" si="426">+N204*$X$1</f>
        <v>2165.31</v>
      </c>
      <c r="P204" s="460">
        <f t="shared" ref="P204:P210" si="427">F204+54</f>
        <v>2156.31</v>
      </c>
      <c r="Q204" s="288">
        <f t="shared" ref="Q204:Q210" si="428">+P204*$X$1</f>
        <v>2156.31</v>
      </c>
      <c r="R204" s="460">
        <f t="shared" ref="R204:R210" si="429">F204+45</f>
        <v>2147.31</v>
      </c>
      <c r="S204" s="288">
        <f t="shared" ref="S204:S210" si="430">+R204*$X$1</f>
        <v>2147.31</v>
      </c>
      <c r="T204" s="102">
        <f t="shared" ref="T204:T213" si="431">F204+37</f>
        <v>2139.31</v>
      </c>
      <c r="U204" s="305">
        <f t="shared" ref="U204:U213" si="432">+T204*$X$1</f>
        <v>2139.31</v>
      </c>
      <c r="V204" s="102">
        <f t="shared" ref="V204:V213" si="433">F204+32</f>
        <v>2134.31</v>
      </c>
      <c r="W204" s="305">
        <f t="shared" ref="W204:W213" si="434">+V204*$X$1</f>
        <v>2134.31</v>
      </c>
      <c r="X204" s="147"/>
      <c r="Y204" s="156"/>
      <c r="Z204" s="147"/>
      <c r="AA204" s="147"/>
      <c r="AB204" s="192">
        <v>465</v>
      </c>
    </row>
    <row r="205" spans="1:38" ht="12.6" customHeight="1" x14ac:dyDescent="0.2">
      <c r="A205" s="18"/>
      <c r="B205" s="711" t="s">
        <v>814</v>
      </c>
      <c r="C205" s="744"/>
      <c r="D205" s="744"/>
      <c r="E205" s="744"/>
      <c r="F205" s="380">
        <f>1.38*X2</f>
        <v>1469.6999999999998</v>
      </c>
      <c r="G205" s="339">
        <f t="shared" ref="G205" si="435">+F205*$X$1</f>
        <v>1469.6999999999998</v>
      </c>
      <c r="H205" s="605"/>
      <c r="I205" s="287"/>
      <c r="J205" s="605">
        <f t="shared" si="421"/>
        <v>1649.6999999999998</v>
      </c>
      <c r="K205" s="287">
        <f t="shared" si="422"/>
        <v>1649.6999999999998</v>
      </c>
      <c r="L205" s="605">
        <f t="shared" si="423"/>
        <v>1589.6999999999998</v>
      </c>
      <c r="M205" s="287">
        <f t="shared" si="424"/>
        <v>1589.6999999999998</v>
      </c>
      <c r="N205" s="605">
        <f t="shared" si="425"/>
        <v>1532.6999999999998</v>
      </c>
      <c r="O205" s="287">
        <f t="shared" si="426"/>
        <v>1532.6999999999998</v>
      </c>
      <c r="P205" s="605">
        <f t="shared" si="427"/>
        <v>1523.6999999999998</v>
      </c>
      <c r="Q205" s="287">
        <f t="shared" si="428"/>
        <v>1523.6999999999998</v>
      </c>
      <c r="R205" s="605">
        <f t="shared" si="429"/>
        <v>1514.6999999999998</v>
      </c>
      <c r="S205" s="287">
        <f t="shared" si="430"/>
        <v>1514.6999999999998</v>
      </c>
      <c r="T205" s="103">
        <f t="shared" si="431"/>
        <v>1506.6999999999998</v>
      </c>
      <c r="U205" s="255">
        <f t="shared" si="432"/>
        <v>1506.6999999999998</v>
      </c>
      <c r="V205" s="103">
        <f t="shared" si="433"/>
        <v>1501.6999999999998</v>
      </c>
      <c r="W205" s="255">
        <f t="shared" si="434"/>
        <v>1501.6999999999998</v>
      </c>
      <c r="X205" s="147"/>
      <c r="Y205" s="156"/>
      <c r="Z205" s="147"/>
      <c r="AA205" s="147"/>
      <c r="AB205" s="192">
        <v>466</v>
      </c>
    </row>
    <row r="206" spans="1:38" ht="12.6" customHeight="1" x14ac:dyDescent="0.2">
      <c r="A206" s="18"/>
      <c r="B206" s="702" t="s">
        <v>629</v>
      </c>
      <c r="C206" s="708"/>
      <c r="D206" s="708"/>
      <c r="E206" s="708"/>
      <c r="F206" s="384">
        <f>1*X2</f>
        <v>1065</v>
      </c>
      <c r="G206" s="340">
        <f t="shared" si="420"/>
        <v>1065</v>
      </c>
      <c r="H206" s="460"/>
      <c r="I206" s="288"/>
      <c r="J206" s="460">
        <f t="shared" si="421"/>
        <v>1245</v>
      </c>
      <c r="K206" s="288">
        <f t="shared" si="422"/>
        <v>1245</v>
      </c>
      <c r="L206" s="460">
        <f t="shared" si="423"/>
        <v>1185</v>
      </c>
      <c r="M206" s="288">
        <f t="shared" si="424"/>
        <v>1185</v>
      </c>
      <c r="N206" s="460">
        <f t="shared" si="425"/>
        <v>1128</v>
      </c>
      <c r="O206" s="288">
        <f t="shared" si="426"/>
        <v>1128</v>
      </c>
      <c r="P206" s="460">
        <f t="shared" si="427"/>
        <v>1119</v>
      </c>
      <c r="Q206" s="288">
        <f t="shared" si="428"/>
        <v>1119</v>
      </c>
      <c r="R206" s="460">
        <f t="shared" si="429"/>
        <v>1110</v>
      </c>
      <c r="S206" s="288">
        <f t="shared" si="430"/>
        <v>1110</v>
      </c>
      <c r="T206" s="102">
        <f t="shared" si="431"/>
        <v>1102</v>
      </c>
      <c r="U206" s="305">
        <f t="shared" si="432"/>
        <v>1102</v>
      </c>
      <c r="V206" s="102">
        <f t="shared" si="433"/>
        <v>1097</v>
      </c>
      <c r="W206" s="305">
        <f t="shared" si="434"/>
        <v>1097</v>
      </c>
      <c r="X206" s="147"/>
      <c r="Y206" s="147"/>
      <c r="Z206" s="147"/>
      <c r="AA206" s="147"/>
      <c r="AB206" s="192">
        <v>528</v>
      </c>
    </row>
    <row r="207" spans="1:38" ht="12.6" customHeight="1" x14ac:dyDescent="0.2">
      <c r="A207" s="18"/>
      <c r="B207" s="683" t="s">
        <v>367</v>
      </c>
      <c r="C207" s="715"/>
      <c r="D207" s="715"/>
      <c r="E207" s="716"/>
      <c r="F207" s="306">
        <v>3998</v>
      </c>
      <c r="G207" s="312">
        <f t="shared" ref="G207:G211" si="436">+F207*$X$1</f>
        <v>3998</v>
      </c>
      <c r="H207" s="605"/>
      <c r="I207" s="287"/>
      <c r="J207" s="605">
        <f t="shared" si="421"/>
        <v>4178</v>
      </c>
      <c r="K207" s="287">
        <f t="shared" si="422"/>
        <v>4178</v>
      </c>
      <c r="L207" s="605">
        <f t="shared" si="423"/>
        <v>4118</v>
      </c>
      <c r="M207" s="287">
        <f t="shared" si="424"/>
        <v>4118</v>
      </c>
      <c r="N207" s="605">
        <f t="shared" si="425"/>
        <v>4061</v>
      </c>
      <c r="O207" s="287">
        <f t="shared" si="426"/>
        <v>4061</v>
      </c>
      <c r="P207" s="605">
        <f t="shared" si="427"/>
        <v>4052</v>
      </c>
      <c r="Q207" s="287">
        <f t="shared" si="428"/>
        <v>4052</v>
      </c>
      <c r="R207" s="605">
        <f t="shared" si="429"/>
        <v>4043</v>
      </c>
      <c r="S207" s="287">
        <f t="shared" si="430"/>
        <v>4043</v>
      </c>
      <c r="T207" s="103">
        <f t="shared" si="431"/>
        <v>4035</v>
      </c>
      <c r="U207" s="255">
        <f t="shared" si="432"/>
        <v>4035</v>
      </c>
      <c r="V207" s="103">
        <f t="shared" si="433"/>
        <v>4030</v>
      </c>
      <c r="W207" s="255">
        <f t="shared" si="434"/>
        <v>4030</v>
      </c>
      <c r="X207" s="147"/>
      <c r="Y207" s="147"/>
      <c r="Z207" s="147"/>
      <c r="AA207" s="147"/>
      <c r="AB207" s="192"/>
    </row>
    <row r="208" spans="1:38" ht="12.6" customHeight="1" x14ac:dyDescent="0.2">
      <c r="A208" s="18"/>
      <c r="B208" s="689" t="s">
        <v>810</v>
      </c>
      <c r="C208" s="704"/>
      <c r="D208" s="704"/>
      <c r="E208" s="704"/>
      <c r="F208" s="381">
        <f>1*X2</f>
        <v>1065</v>
      </c>
      <c r="G208" s="507">
        <f t="shared" si="436"/>
        <v>1065</v>
      </c>
      <c r="H208" s="460">
        <f>F208+420</f>
        <v>1485</v>
      </c>
      <c r="I208" s="288">
        <f>+H208*$X$1</f>
        <v>1485</v>
      </c>
      <c r="J208" s="460">
        <f t="shared" si="421"/>
        <v>1245</v>
      </c>
      <c r="K208" s="288">
        <f t="shared" ref="K208:K209" si="437">+J208*$X$1</f>
        <v>1245</v>
      </c>
      <c r="L208" s="460">
        <f t="shared" si="423"/>
        <v>1185</v>
      </c>
      <c r="M208" s="288">
        <f t="shared" si="424"/>
        <v>1185</v>
      </c>
      <c r="N208" s="460">
        <f t="shared" si="425"/>
        <v>1128</v>
      </c>
      <c r="O208" s="288">
        <f t="shared" si="426"/>
        <v>1128</v>
      </c>
      <c r="P208" s="460">
        <f t="shared" si="427"/>
        <v>1119</v>
      </c>
      <c r="Q208" s="288">
        <f t="shared" si="428"/>
        <v>1119</v>
      </c>
      <c r="R208" s="460">
        <f t="shared" si="429"/>
        <v>1110</v>
      </c>
      <c r="S208" s="288">
        <f t="shared" si="430"/>
        <v>1110</v>
      </c>
      <c r="T208" s="102">
        <f t="shared" si="431"/>
        <v>1102</v>
      </c>
      <c r="U208" s="305">
        <f t="shared" si="432"/>
        <v>1102</v>
      </c>
      <c r="V208" s="102">
        <f t="shared" si="433"/>
        <v>1097</v>
      </c>
      <c r="W208" s="305">
        <f t="shared" si="434"/>
        <v>1097</v>
      </c>
      <c r="X208" s="147"/>
      <c r="Y208" s="156"/>
      <c r="Z208" s="147"/>
      <c r="AA208" s="147"/>
      <c r="AB208" s="192">
        <v>534</v>
      </c>
    </row>
    <row r="209" spans="1:28" ht="12.6" customHeight="1" x14ac:dyDescent="0.2">
      <c r="A209" s="18"/>
      <c r="B209" s="683" t="s">
        <v>368</v>
      </c>
      <c r="C209" s="684"/>
      <c r="D209" s="684"/>
      <c r="E209" s="685"/>
      <c r="F209" s="306">
        <v>1235</v>
      </c>
      <c r="G209" s="312">
        <f t="shared" si="436"/>
        <v>1235</v>
      </c>
      <c r="H209" s="281"/>
      <c r="I209" s="281"/>
      <c r="J209" s="605">
        <f t="shared" si="421"/>
        <v>1415</v>
      </c>
      <c r="K209" s="287">
        <f t="shared" si="437"/>
        <v>1415</v>
      </c>
      <c r="L209" s="605">
        <f t="shared" si="423"/>
        <v>1355</v>
      </c>
      <c r="M209" s="287">
        <f t="shared" si="424"/>
        <v>1355</v>
      </c>
      <c r="N209" s="605">
        <f t="shared" si="425"/>
        <v>1298</v>
      </c>
      <c r="O209" s="287">
        <f t="shared" si="426"/>
        <v>1298</v>
      </c>
      <c r="P209" s="605">
        <f t="shared" si="427"/>
        <v>1289</v>
      </c>
      <c r="Q209" s="287">
        <f t="shared" si="428"/>
        <v>1289</v>
      </c>
      <c r="R209" s="605">
        <f t="shared" si="429"/>
        <v>1280</v>
      </c>
      <c r="S209" s="287">
        <f t="shared" si="430"/>
        <v>1280</v>
      </c>
      <c r="T209" s="103">
        <f t="shared" si="431"/>
        <v>1272</v>
      </c>
      <c r="U209" s="255">
        <f t="shared" si="432"/>
        <v>1272</v>
      </c>
      <c r="V209" s="103">
        <f t="shared" si="433"/>
        <v>1267</v>
      </c>
      <c r="W209" s="255">
        <f t="shared" si="434"/>
        <v>1267</v>
      </c>
      <c r="X209" s="147"/>
      <c r="Y209" s="147"/>
      <c r="Z209" s="147"/>
      <c r="AA209" s="147"/>
      <c r="AB209" s="192"/>
    </row>
    <row r="210" spans="1:28" ht="12.6" customHeight="1" x14ac:dyDescent="0.2">
      <c r="A210" s="18"/>
      <c r="B210" s="702" t="s">
        <v>193</v>
      </c>
      <c r="C210" s="703"/>
      <c r="D210" s="703"/>
      <c r="E210" s="703"/>
      <c r="F210" s="319">
        <v>210</v>
      </c>
      <c r="G210" s="353">
        <f>+F210*$X$1</f>
        <v>210</v>
      </c>
      <c r="H210" s="1068" t="s">
        <v>359</v>
      </c>
      <c r="I210" s="1068"/>
      <c r="J210" s="1069"/>
      <c r="K210" s="1069"/>
      <c r="L210" s="1069"/>
      <c r="M210" s="1070"/>
      <c r="N210" s="460">
        <f t="shared" si="425"/>
        <v>273</v>
      </c>
      <c r="O210" s="288">
        <f t="shared" si="426"/>
        <v>273</v>
      </c>
      <c r="P210" s="460">
        <f t="shared" si="427"/>
        <v>264</v>
      </c>
      <c r="Q210" s="288">
        <f t="shared" si="428"/>
        <v>264</v>
      </c>
      <c r="R210" s="460">
        <f t="shared" si="429"/>
        <v>255</v>
      </c>
      <c r="S210" s="288">
        <f t="shared" si="430"/>
        <v>255</v>
      </c>
      <c r="T210" s="102">
        <f t="shared" si="431"/>
        <v>247</v>
      </c>
      <c r="U210" s="305">
        <f t="shared" si="432"/>
        <v>247</v>
      </c>
      <c r="V210" s="102">
        <f t="shared" si="433"/>
        <v>242</v>
      </c>
      <c r="W210" s="305">
        <f t="shared" si="434"/>
        <v>242</v>
      </c>
      <c r="X210" s="147"/>
      <c r="Y210" s="147"/>
      <c r="Z210" s="147"/>
      <c r="AA210" s="147"/>
      <c r="AB210" s="192">
        <v>539</v>
      </c>
    </row>
    <row r="211" spans="1:28" ht="12.6" customHeight="1" x14ac:dyDescent="0.2">
      <c r="A211" s="18"/>
      <c r="B211" s="808" t="s">
        <v>480</v>
      </c>
      <c r="C211" s="821"/>
      <c r="D211" s="821"/>
      <c r="E211" s="821"/>
      <c r="F211" s="306">
        <v>490</v>
      </c>
      <c r="G211" s="307">
        <f t="shared" si="436"/>
        <v>490</v>
      </c>
      <c r="H211" s="281"/>
      <c r="I211" s="281"/>
      <c r="J211" s="71"/>
      <c r="K211" s="287"/>
      <c r="L211" s="605"/>
      <c r="M211" s="287"/>
      <c r="N211" s="605"/>
      <c r="O211" s="287"/>
      <c r="P211" s="605"/>
      <c r="Q211" s="287"/>
      <c r="R211" s="605"/>
      <c r="S211" s="287"/>
      <c r="T211" s="103">
        <f t="shared" si="431"/>
        <v>527</v>
      </c>
      <c r="U211" s="255">
        <f t="shared" si="432"/>
        <v>527</v>
      </c>
      <c r="V211" s="103">
        <f t="shared" si="433"/>
        <v>522</v>
      </c>
      <c r="W211" s="255">
        <f t="shared" si="434"/>
        <v>522</v>
      </c>
      <c r="X211" s="147"/>
      <c r="Y211" s="147"/>
      <c r="Z211" s="147"/>
      <c r="AA211" s="147"/>
      <c r="AB211" s="192">
        <v>540</v>
      </c>
    </row>
    <row r="212" spans="1:28" ht="12.6" customHeight="1" x14ac:dyDescent="0.2">
      <c r="A212" s="18"/>
      <c r="B212" s="702" t="s">
        <v>482</v>
      </c>
      <c r="C212" s="708"/>
      <c r="D212" s="708"/>
      <c r="E212" s="708"/>
      <c r="F212" s="319">
        <v>843</v>
      </c>
      <c r="G212" s="340">
        <f t="shared" ref="G212" si="438">+F212*$X$1</f>
        <v>843</v>
      </c>
      <c r="H212" s="280"/>
      <c r="I212" s="280"/>
      <c r="J212" s="89"/>
      <c r="K212" s="288"/>
      <c r="L212" s="460"/>
      <c r="M212" s="288"/>
      <c r="N212" s="460"/>
      <c r="O212" s="288"/>
      <c r="P212" s="460"/>
      <c r="Q212" s="288"/>
      <c r="R212" s="460"/>
      <c r="S212" s="288"/>
      <c r="T212" s="102">
        <f t="shared" si="431"/>
        <v>880</v>
      </c>
      <c r="U212" s="305">
        <f t="shared" si="432"/>
        <v>880</v>
      </c>
      <c r="V212" s="102">
        <f t="shared" si="433"/>
        <v>875</v>
      </c>
      <c r="W212" s="305">
        <f t="shared" si="434"/>
        <v>875</v>
      </c>
      <c r="X212" s="147"/>
      <c r="Y212" s="147"/>
      <c r="Z212" s="147"/>
      <c r="AA212" s="147"/>
      <c r="AB212" s="192" t="s">
        <v>564</v>
      </c>
    </row>
    <row r="213" spans="1:28" ht="12.6" customHeight="1" x14ac:dyDescent="0.2">
      <c r="A213" s="18"/>
      <c r="B213" s="683" t="s">
        <v>433</v>
      </c>
      <c r="C213" s="684"/>
      <c r="D213" s="684"/>
      <c r="E213" s="685"/>
      <c r="F213" s="385">
        <f>18.74*X2</f>
        <v>19958.099999999999</v>
      </c>
      <c r="G213" s="307">
        <f t="shared" ref="G213" si="439">+F213*$X$1</f>
        <v>19958.099999999999</v>
      </c>
      <c r="H213" s="605">
        <f>F213+500</f>
        <v>20458.099999999999</v>
      </c>
      <c r="I213" s="287">
        <f>+H213*$X$1</f>
        <v>20458.099999999999</v>
      </c>
      <c r="J213" s="605">
        <f>F213+200</f>
        <v>20158.099999999999</v>
      </c>
      <c r="K213" s="287">
        <f t="shared" ref="K213" si="440">+J213*$X$1</f>
        <v>20158.099999999999</v>
      </c>
      <c r="L213" s="605">
        <f>F213+120</f>
        <v>20078.099999999999</v>
      </c>
      <c r="M213" s="287">
        <f>+L213*$X$1</f>
        <v>20078.099999999999</v>
      </c>
      <c r="N213" s="605">
        <f>F213+63</f>
        <v>20021.099999999999</v>
      </c>
      <c r="O213" s="287">
        <f>+N213*$X$1</f>
        <v>20021.099999999999</v>
      </c>
      <c r="P213" s="605">
        <f>F213+54</f>
        <v>20012.099999999999</v>
      </c>
      <c r="Q213" s="287">
        <f>+P213*$X$1</f>
        <v>20012.099999999999</v>
      </c>
      <c r="R213" s="605">
        <f>F213+45</f>
        <v>20003.099999999999</v>
      </c>
      <c r="S213" s="287">
        <f>+R213*$X$1</f>
        <v>20003.099999999999</v>
      </c>
      <c r="T213" s="103">
        <f t="shared" si="431"/>
        <v>19995.099999999999</v>
      </c>
      <c r="U213" s="255">
        <f t="shared" si="432"/>
        <v>19995.099999999999</v>
      </c>
      <c r="V213" s="103">
        <f t="shared" si="433"/>
        <v>19990.099999999999</v>
      </c>
      <c r="W213" s="255">
        <f t="shared" si="434"/>
        <v>19990.099999999999</v>
      </c>
      <c r="X213" s="147"/>
      <c r="Y213" s="147"/>
      <c r="Z213" s="147"/>
      <c r="AA213" s="147"/>
      <c r="AB213" s="192">
        <v>542</v>
      </c>
    </row>
    <row r="214" spans="1:28" ht="12.6" customHeight="1" x14ac:dyDescent="0.2">
      <c r="A214" s="18"/>
      <c r="B214" s="689" t="s">
        <v>481</v>
      </c>
      <c r="C214" s="690"/>
      <c r="D214" s="690"/>
      <c r="E214" s="690"/>
      <c r="F214" s="288"/>
      <c r="G214" s="288"/>
      <c r="H214" s="460"/>
      <c r="I214" s="460"/>
      <c r="J214" s="460"/>
      <c r="K214" s="288"/>
      <c r="L214" s="460"/>
      <c r="M214" s="288"/>
      <c r="N214" s="460"/>
      <c r="O214" s="288"/>
      <c r="P214" s="460"/>
      <c r="Q214" s="288"/>
      <c r="R214" s="460"/>
      <c r="S214" s="288"/>
      <c r="T214" s="460"/>
      <c r="U214" s="288"/>
      <c r="V214" s="89"/>
      <c r="W214" s="345"/>
      <c r="X214" s="147"/>
      <c r="Y214" s="147"/>
      <c r="Z214" s="147"/>
      <c r="AA214" s="147"/>
      <c r="AB214" s="192">
        <v>544</v>
      </c>
    </row>
    <row r="215" spans="1:28" ht="12.6" customHeight="1" x14ac:dyDescent="0.2">
      <c r="A215" s="18"/>
      <c r="B215" s="1065" t="s">
        <v>194</v>
      </c>
      <c r="C215" s="1066"/>
      <c r="D215" s="1066"/>
      <c r="E215" s="1066"/>
      <c r="F215" s="545">
        <v>411</v>
      </c>
      <c r="G215" s="546">
        <f t="shared" ref="G215:G220" si="441">+F215*$X$1</f>
        <v>411</v>
      </c>
      <c r="H215" s="547"/>
      <c r="I215" s="547"/>
      <c r="J215" s="460">
        <f>F215+200</f>
        <v>611</v>
      </c>
      <c r="K215" s="546">
        <f t="shared" ref="K215:K221" si="442">+J215*$X$1</f>
        <v>611</v>
      </c>
      <c r="L215" s="607">
        <f>F215+130</f>
        <v>541</v>
      </c>
      <c r="M215" s="546">
        <f t="shared" ref="M215" si="443">+L215*$X$1</f>
        <v>541</v>
      </c>
      <c r="N215" s="607">
        <f>F215+75</f>
        <v>486</v>
      </c>
      <c r="O215" s="546">
        <f t="shared" ref="O215" si="444">+N215*$X$1</f>
        <v>486</v>
      </c>
      <c r="P215" s="549"/>
      <c r="Q215" s="1047" t="s">
        <v>152</v>
      </c>
      <c r="R215" s="1048"/>
      <c r="S215" s="1048"/>
      <c r="T215" s="1048"/>
      <c r="U215" s="1048"/>
      <c r="V215" s="1048"/>
      <c r="W215" s="1049"/>
      <c r="X215" s="131"/>
      <c r="Y215" s="131"/>
      <c r="Z215" s="131"/>
      <c r="AA215" s="131"/>
      <c r="AB215" s="192">
        <v>547</v>
      </c>
    </row>
    <row r="216" spans="1:28" ht="12.6" customHeight="1" x14ac:dyDescent="0.2">
      <c r="A216" s="18"/>
      <c r="B216" s="680" t="s">
        <v>369</v>
      </c>
      <c r="C216" s="1063"/>
      <c r="D216" s="1063"/>
      <c r="E216" s="1064"/>
      <c r="F216" s="288">
        <v>3920</v>
      </c>
      <c r="G216" s="288">
        <f t="shared" si="441"/>
        <v>3920</v>
      </c>
      <c r="H216" s="280"/>
      <c r="I216" s="280"/>
      <c r="J216" s="460">
        <f>F216+200</f>
        <v>4120</v>
      </c>
      <c r="K216" s="288">
        <f t="shared" si="442"/>
        <v>4120</v>
      </c>
      <c r="L216" s="460">
        <f t="shared" ref="L216:L221" si="445">F216+130</f>
        <v>4050</v>
      </c>
      <c r="M216" s="288">
        <f t="shared" ref="M216:M221" si="446">+L216*$X$1</f>
        <v>4050</v>
      </c>
      <c r="N216" s="460">
        <f t="shared" ref="N216:N221" si="447">F216+75</f>
        <v>3995</v>
      </c>
      <c r="O216" s="288">
        <f t="shared" ref="O216:O221" si="448">+N216*$X$1</f>
        <v>3995</v>
      </c>
      <c r="P216" s="460">
        <f t="shared" ref="P216:P221" si="449">F216+64</f>
        <v>3984</v>
      </c>
      <c r="Q216" s="288">
        <f t="shared" ref="Q216" si="450">+P216*$X$1</f>
        <v>3984</v>
      </c>
      <c r="R216" s="460">
        <f t="shared" ref="R216:R221" si="451">F216+53</f>
        <v>3973</v>
      </c>
      <c r="S216" s="288">
        <f t="shared" ref="S216" si="452">+R216*$X$1</f>
        <v>3973</v>
      </c>
      <c r="T216" s="102">
        <f t="shared" ref="T216:T221" si="453">F216+45</f>
        <v>3965</v>
      </c>
      <c r="U216" s="305">
        <f t="shared" ref="U216" si="454">+T216*$X$1</f>
        <v>3965</v>
      </c>
      <c r="V216" s="102">
        <f t="shared" ref="V216:V221" si="455">F216+39</f>
        <v>3959</v>
      </c>
      <c r="W216" s="305">
        <f t="shared" ref="W216" si="456">+V216*$X$1</f>
        <v>3959</v>
      </c>
      <c r="X216" s="131"/>
      <c r="Y216" s="131"/>
      <c r="Z216" s="131"/>
      <c r="AA216" s="131"/>
      <c r="AB216" s="420"/>
    </row>
    <row r="217" spans="1:28" ht="12.6" customHeight="1" x14ac:dyDescent="0.2">
      <c r="A217" s="18"/>
      <c r="B217" s="683" t="s">
        <v>495</v>
      </c>
      <c r="C217" s="684"/>
      <c r="D217" s="684"/>
      <c r="E217" s="685"/>
      <c r="F217" s="306">
        <v>1117</v>
      </c>
      <c r="G217" s="287">
        <f t="shared" si="441"/>
        <v>1117</v>
      </c>
      <c r="H217" s="281"/>
      <c r="I217" s="281"/>
      <c r="J217" s="605">
        <f>F217+200</f>
        <v>1317</v>
      </c>
      <c r="K217" s="287">
        <f t="shared" si="442"/>
        <v>1317</v>
      </c>
      <c r="L217" s="605">
        <f t="shared" si="445"/>
        <v>1247</v>
      </c>
      <c r="M217" s="287">
        <f t="shared" si="446"/>
        <v>1247</v>
      </c>
      <c r="N217" s="605">
        <f t="shared" si="447"/>
        <v>1192</v>
      </c>
      <c r="O217" s="287">
        <f t="shared" si="448"/>
        <v>1192</v>
      </c>
      <c r="P217" s="605">
        <f t="shared" si="449"/>
        <v>1181</v>
      </c>
      <c r="Q217" s="287">
        <f t="shared" ref="Q217:Q221" si="457">+P217*$X$1</f>
        <v>1181</v>
      </c>
      <c r="R217" s="605">
        <f t="shared" si="451"/>
        <v>1170</v>
      </c>
      <c r="S217" s="287">
        <f t="shared" ref="S217:S221" si="458">+R217*$X$1</f>
        <v>1170</v>
      </c>
      <c r="T217" s="103">
        <f t="shared" si="453"/>
        <v>1162</v>
      </c>
      <c r="U217" s="255">
        <f t="shared" ref="U217:U221" si="459">+T217*$X$1</f>
        <v>1162</v>
      </c>
      <c r="V217" s="103">
        <f t="shared" si="455"/>
        <v>1156</v>
      </c>
      <c r="W217" s="255">
        <f t="shared" ref="W217:W221" si="460">+V217*$X$1</f>
        <v>1156</v>
      </c>
      <c r="X217" s="147"/>
      <c r="Y217" s="147"/>
      <c r="Z217" s="147"/>
      <c r="AA217" s="147"/>
      <c r="AB217" s="192"/>
    </row>
    <row r="218" spans="1:28" ht="12.6" customHeight="1" x14ac:dyDescent="0.2">
      <c r="A218" s="18"/>
      <c r="B218" s="680" t="s">
        <v>455</v>
      </c>
      <c r="C218" s="1063"/>
      <c r="D218" s="1063"/>
      <c r="E218" s="1064"/>
      <c r="F218" s="288">
        <v>3773</v>
      </c>
      <c r="G218" s="288">
        <f t="shared" si="441"/>
        <v>3773</v>
      </c>
      <c r="H218" s="280"/>
      <c r="I218" s="280"/>
      <c r="J218" s="460">
        <f>F218+200</f>
        <v>3973</v>
      </c>
      <c r="K218" s="288">
        <f t="shared" si="442"/>
        <v>3973</v>
      </c>
      <c r="L218" s="460">
        <f t="shared" si="445"/>
        <v>3903</v>
      </c>
      <c r="M218" s="288">
        <f t="shared" si="446"/>
        <v>3903</v>
      </c>
      <c r="N218" s="460">
        <f t="shared" si="447"/>
        <v>3848</v>
      </c>
      <c r="O218" s="288">
        <f t="shared" si="448"/>
        <v>3848</v>
      </c>
      <c r="P218" s="460">
        <f t="shared" si="449"/>
        <v>3837</v>
      </c>
      <c r="Q218" s="288">
        <f t="shared" si="457"/>
        <v>3837</v>
      </c>
      <c r="R218" s="460">
        <f t="shared" si="451"/>
        <v>3826</v>
      </c>
      <c r="S218" s="288">
        <f t="shared" si="458"/>
        <v>3826</v>
      </c>
      <c r="T218" s="102">
        <f t="shared" si="453"/>
        <v>3818</v>
      </c>
      <c r="U218" s="305">
        <f t="shared" si="459"/>
        <v>3818</v>
      </c>
      <c r="V218" s="102">
        <f t="shared" si="455"/>
        <v>3812</v>
      </c>
      <c r="W218" s="305">
        <f t="shared" si="460"/>
        <v>3812</v>
      </c>
      <c r="X218" s="131"/>
      <c r="Y218" s="131"/>
      <c r="Z218" s="131"/>
      <c r="AA218" s="131"/>
      <c r="AB218" s="192">
        <v>551</v>
      </c>
    </row>
    <row r="219" spans="1:28" ht="12.6" customHeight="1" x14ac:dyDescent="0.2">
      <c r="A219" s="18"/>
      <c r="B219" s="843" t="s">
        <v>453</v>
      </c>
      <c r="C219" s="844"/>
      <c r="D219" s="844"/>
      <c r="E219" s="845"/>
      <c r="F219" s="306">
        <v>4214</v>
      </c>
      <c r="G219" s="287">
        <f t="shared" si="441"/>
        <v>4214</v>
      </c>
      <c r="H219" s="281"/>
      <c r="I219" s="281"/>
      <c r="J219" s="605">
        <f t="shared" ref="J219:J221" si="461">F219+200</f>
        <v>4414</v>
      </c>
      <c r="K219" s="287">
        <f t="shared" si="442"/>
        <v>4414</v>
      </c>
      <c r="L219" s="605">
        <f t="shared" si="445"/>
        <v>4344</v>
      </c>
      <c r="M219" s="287">
        <f t="shared" si="446"/>
        <v>4344</v>
      </c>
      <c r="N219" s="605">
        <f t="shared" si="447"/>
        <v>4289</v>
      </c>
      <c r="O219" s="287">
        <f t="shared" si="448"/>
        <v>4289</v>
      </c>
      <c r="P219" s="605">
        <f t="shared" si="449"/>
        <v>4278</v>
      </c>
      <c r="Q219" s="287">
        <f t="shared" si="457"/>
        <v>4278</v>
      </c>
      <c r="R219" s="605">
        <f t="shared" si="451"/>
        <v>4267</v>
      </c>
      <c r="S219" s="287">
        <f t="shared" si="458"/>
        <v>4267</v>
      </c>
      <c r="T219" s="103">
        <f t="shared" si="453"/>
        <v>4259</v>
      </c>
      <c r="U219" s="255">
        <f t="shared" si="459"/>
        <v>4259</v>
      </c>
      <c r="V219" s="103">
        <f t="shared" si="455"/>
        <v>4253</v>
      </c>
      <c r="W219" s="255">
        <f t="shared" si="460"/>
        <v>4253</v>
      </c>
      <c r="X219" s="131"/>
      <c r="Y219" s="131"/>
      <c r="Z219" s="131"/>
      <c r="AA219" s="131"/>
      <c r="AB219" s="192" t="s">
        <v>452</v>
      </c>
    </row>
    <row r="220" spans="1:28" ht="12.6" customHeight="1" x14ac:dyDescent="0.2">
      <c r="A220" s="18"/>
      <c r="B220" s="1071" t="s">
        <v>454</v>
      </c>
      <c r="C220" s="1072"/>
      <c r="D220" s="1072"/>
      <c r="E220" s="1073"/>
      <c r="F220" s="319">
        <v>4567</v>
      </c>
      <c r="G220" s="288">
        <f t="shared" si="441"/>
        <v>4567</v>
      </c>
      <c r="H220" s="280"/>
      <c r="I220" s="280"/>
      <c r="J220" s="460">
        <f t="shared" si="461"/>
        <v>4767</v>
      </c>
      <c r="K220" s="288">
        <f t="shared" si="442"/>
        <v>4767</v>
      </c>
      <c r="L220" s="460">
        <f t="shared" si="445"/>
        <v>4697</v>
      </c>
      <c r="M220" s="288">
        <f t="shared" si="446"/>
        <v>4697</v>
      </c>
      <c r="N220" s="460">
        <f t="shared" si="447"/>
        <v>4642</v>
      </c>
      <c r="O220" s="288">
        <f t="shared" si="448"/>
        <v>4642</v>
      </c>
      <c r="P220" s="460">
        <f t="shared" si="449"/>
        <v>4631</v>
      </c>
      <c r="Q220" s="288">
        <f t="shared" si="457"/>
        <v>4631</v>
      </c>
      <c r="R220" s="460">
        <f t="shared" si="451"/>
        <v>4620</v>
      </c>
      <c r="S220" s="288">
        <f t="shared" si="458"/>
        <v>4620</v>
      </c>
      <c r="T220" s="102">
        <f t="shared" si="453"/>
        <v>4612</v>
      </c>
      <c r="U220" s="305">
        <f t="shared" si="459"/>
        <v>4612</v>
      </c>
      <c r="V220" s="102">
        <f t="shared" si="455"/>
        <v>4606</v>
      </c>
      <c r="W220" s="305">
        <f t="shared" si="460"/>
        <v>4606</v>
      </c>
      <c r="X220" s="131"/>
      <c r="Y220" s="131"/>
      <c r="Z220" s="131"/>
      <c r="AA220" s="131"/>
      <c r="AB220" s="192" t="s">
        <v>456</v>
      </c>
    </row>
    <row r="221" spans="1:28" ht="12.6" customHeight="1" x14ac:dyDescent="0.2">
      <c r="A221" s="18"/>
      <c r="B221" s="711" t="s">
        <v>410</v>
      </c>
      <c r="C221" s="744"/>
      <c r="D221" s="744"/>
      <c r="E221" s="744"/>
      <c r="F221" s="287">
        <v>4028</v>
      </c>
      <c r="G221" s="287">
        <f t="shared" ref="G221" si="462">+F221*$X$1</f>
        <v>4028</v>
      </c>
      <c r="H221" s="281"/>
      <c r="I221" s="281"/>
      <c r="J221" s="605">
        <f t="shared" si="461"/>
        <v>4228</v>
      </c>
      <c r="K221" s="287">
        <f t="shared" si="442"/>
        <v>4228</v>
      </c>
      <c r="L221" s="605">
        <f t="shared" si="445"/>
        <v>4158</v>
      </c>
      <c r="M221" s="287">
        <f t="shared" si="446"/>
        <v>4158</v>
      </c>
      <c r="N221" s="605">
        <f t="shared" si="447"/>
        <v>4103</v>
      </c>
      <c r="O221" s="287">
        <f t="shared" si="448"/>
        <v>4103</v>
      </c>
      <c r="P221" s="605">
        <f t="shared" si="449"/>
        <v>4092</v>
      </c>
      <c r="Q221" s="287">
        <f t="shared" si="457"/>
        <v>4092</v>
      </c>
      <c r="R221" s="605">
        <f t="shared" si="451"/>
        <v>4081</v>
      </c>
      <c r="S221" s="287">
        <f t="shared" si="458"/>
        <v>4081</v>
      </c>
      <c r="T221" s="103">
        <f t="shared" si="453"/>
        <v>4073</v>
      </c>
      <c r="U221" s="255">
        <f t="shared" si="459"/>
        <v>4073</v>
      </c>
      <c r="V221" s="103">
        <f t="shared" si="455"/>
        <v>4067</v>
      </c>
      <c r="W221" s="255">
        <f t="shared" si="460"/>
        <v>4067</v>
      </c>
      <c r="X221" s="131"/>
      <c r="Y221" s="131"/>
      <c r="Z221" s="131"/>
      <c r="AA221" s="131"/>
      <c r="AB221" s="192">
        <v>553</v>
      </c>
    </row>
    <row r="222" spans="1:28" ht="12.6" customHeight="1" x14ac:dyDescent="0.2">
      <c r="A222" s="18"/>
      <c r="B222" s="702" t="s">
        <v>628</v>
      </c>
      <c r="C222" s="708"/>
      <c r="D222" s="708"/>
      <c r="E222" s="708"/>
      <c r="F222" s="384">
        <f>5.65*X2</f>
        <v>6017.25</v>
      </c>
      <c r="G222" s="340">
        <f t="shared" ref="G222" si="463">+F222*$X$1</f>
        <v>6017.25</v>
      </c>
      <c r="H222" s="460">
        <f>F222+500</f>
        <v>6517.25</v>
      </c>
      <c r="I222" s="288">
        <f>+H222*$X$1</f>
        <v>6517.25</v>
      </c>
      <c r="J222" s="460">
        <f>F222+360</f>
        <v>6377.25</v>
      </c>
      <c r="K222" s="288">
        <f>+J222*$X$1</f>
        <v>6377.25</v>
      </c>
      <c r="L222" s="460">
        <f>F222+330</f>
        <v>6347.25</v>
      </c>
      <c r="M222" s="288">
        <f t="shared" ref="M222" si="464">+L222*$X$1</f>
        <v>6347.25</v>
      </c>
      <c r="N222" s="460">
        <f>F222+290</f>
        <v>6307.25</v>
      </c>
      <c r="O222" s="288">
        <f t="shared" ref="O222" si="465">+N222*$X$1</f>
        <v>6307.25</v>
      </c>
      <c r="P222" s="460">
        <f>F222+240</f>
        <v>6257.25</v>
      </c>
      <c r="Q222" s="288">
        <f t="shared" ref="Q222" si="466">+P222*$X$1</f>
        <v>6257.25</v>
      </c>
      <c r="R222" s="460">
        <f>F222+220</f>
        <v>6237.25</v>
      </c>
      <c r="S222" s="288">
        <f t="shared" ref="S222" si="467">+R222*$X$1</f>
        <v>6237.25</v>
      </c>
      <c r="T222" s="102">
        <f>F222+200</f>
        <v>6217.25</v>
      </c>
      <c r="U222" s="305">
        <f t="shared" ref="U222" si="468">+T222*$X$1</f>
        <v>6217.25</v>
      </c>
      <c r="V222" s="102">
        <f>F222+175</f>
        <v>6192.25</v>
      </c>
      <c r="W222" s="305">
        <f t="shared" ref="W222" si="469">+V222*$X$1</f>
        <v>6192.25</v>
      </c>
      <c r="X222" s="147"/>
      <c r="Y222" s="147"/>
      <c r="Z222" s="147"/>
      <c r="AA222" s="147"/>
      <c r="AB222" s="192">
        <v>616</v>
      </c>
    </row>
    <row r="223" spans="1:28" ht="12.6" customHeight="1" x14ac:dyDescent="0.2">
      <c r="A223" s="18"/>
      <c r="B223" s="1010" t="s">
        <v>363</v>
      </c>
      <c r="C223" s="1011"/>
      <c r="D223" s="1011"/>
      <c r="E223" s="1011"/>
      <c r="F223" s="546">
        <v>220</v>
      </c>
      <c r="G223" s="546">
        <f t="shared" ref="G223:G226" si="470">+F223*$X$1</f>
        <v>220</v>
      </c>
      <c r="H223" s="547"/>
      <c r="I223" s="550"/>
      <c r="J223" s="548">
        <f>F223+180</f>
        <v>400</v>
      </c>
      <c r="K223" s="546">
        <f t="shared" ref="K223" si="471">+J223*$X$1</f>
        <v>400</v>
      </c>
      <c r="L223" s="548">
        <f>F223+120</f>
        <v>340</v>
      </c>
      <c r="M223" s="546">
        <f>+L223*$X$1</f>
        <v>340</v>
      </c>
      <c r="N223" s="548">
        <f>F223+63</f>
        <v>283</v>
      </c>
      <c r="O223" s="546">
        <f>+N223*$X$1</f>
        <v>283</v>
      </c>
      <c r="P223" s="548"/>
      <c r="Q223" s="1005" t="s">
        <v>152</v>
      </c>
      <c r="R223" s="1006"/>
      <c r="S223" s="1006"/>
      <c r="T223" s="1006"/>
      <c r="U223" s="1006"/>
      <c r="V223" s="1006"/>
      <c r="W223" s="1006"/>
      <c r="X223" s="147"/>
      <c r="Y223" s="147"/>
      <c r="Z223" s="147"/>
      <c r="AA223" s="147"/>
      <c r="AB223" s="192">
        <v>618</v>
      </c>
    </row>
    <row r="224" spans="1:28" ht="12.6" customHeight="1" x14ac:dyDescent="0.2">
      <c r="A224" s="104"/>
      <c r="B224" s="721" t="s">
        <v>490</v>
      </c>
      <c r="C224" s="722"/>
      <c r="D224" s="722"/>
      <c r="E224" s="722"/>
      <c r="F224" s="546">
        <v>600</v>
      </c>
      <c r="G224" s="546">
        <f t="shared" si="470"/>
        <v>600</v>
      </c>
      <c r="H224" s="548"/>
      <c r="I224" s="546"/>
      <c r="J224" s="547"/>
      <c r="K224" s="550"/>
      <c r="L224" s="548">
        <f>F224+130</f>
        <v>730</v>
      </c>
      <c r="M224" s="546">
        <f t="shared" ref="M224" si="472">+L224*$X$1</f>
        <v>730</v>
      </c>
      <c r="N224" s="548"/>
      <c r="O224" s="546"/>
      <c r="P224" s="548">
        <f>F224+5.1</f>
        <v>605.1</v>
      </c>
      <c r="Q224" s="1005" t="s">
        <v>152</v>
      </c>
      <c r="R224" s="1006"/>
      <c r="S224" s="1006"/>
      <c r="T224" s="1006"/>
      <c r="U224" s="1006"/>
      <c r="V224" s="1006"/>
      <c r="W224" s="1006"/>
      <c r="X224" s="132"/>
      <c r="Y224" s="147"/>
      <c r="Z224" s="147"/>
      <c r="AA224" s="147"/>
      <c r="AB224" s="192">
        <v>621</v>
      </c>
    </row>
    <row r="225" spans="1:34" ht="12.6" customHeight="1" x14ac:dyDescent="0.2">
      <c r="A225" s="21"/>
      <c r="B225" s="711" t="s">
        <v>195</v>
      </c>
      <c r="C225" s="744"/>
      <c r="D225" s="744"/>
      <c r="E225" s="744"/>
      <c r="F225" s="380">
        <f>2.93*X2</f>
        <v>3120.4500000000003</v>
      </c>
      <c r="G225" s="287">
        <f>+F225*$X$1</f>
        <v>3120.4500000000003</v>
      </c>
      <c r="H225" s="318"/>
      <c r="I225" s="343"/>
      <c r="J225" s="654">
        <f t="shared" ref="J225:J231" si="473">F225+180</f>
        <v>3300.4500000000003</v>
      </c>
      <c r="K225" s="287">
        <f t="shared" ref="K225:K231" si="474">+J225*$X$1</f>
        <v>3300.4500000000003</v>
      </c>
      <c r="L225" s="654">
        <f t="shared" ref="L225:L231" si="475">F225+120</f>
        <v>3240.4500000000003</v>
      </c>
      <c r="M225" s="287">
        <f t="shared" ref="M225:M231" si="476">+L225*$X$1</f>
        <v>3240.4500000000003</v>
      </c>
      <c r="N225" s="654">
        <f t="shared" ref="N225:N231" si="477">F225+63</f>
        <v>3183.4500000000003</v>
      </c>
      <c r="O225" s="287">
        <f t="shared" ref="O225:O231" si="478">+N225*$X$1</f>
        <v>3183.4500000000003</v>
      </c>
      <c r="P225" s="654">
        <f t="shared" ref="P225:P231" si="479">F225+54</f>
        <v>3174.4500000000003</v>
      </c>
      <c r="Q225" s="287">
        <f t="shared" ref="Q225:Q231" si="480">+P225*$X$1</f>
        <v>3174.4500000000003</v>
      </c>
      <c r="R225" s="654">
        <f t="shared" ref="R225:R231" si="481">F225+45</f>
        <v>3165.4500000000003</v>
      </c>
      <c r="S225" s="287">
        <f t="shared" ref="S225:S231" si="482">+R225*$X$1</f>
        <v>3165.4500000000003</v>
      </c>
      <c r="T225" s="103">
        <f t="shared" ref="T225:T231" si="483">F225+37</f>
        <v>3157.4500000000003</v>
      </c>
      <c r="U225" s="255">
        <f t="shared" ref="U225:U231" si="484">+T225*$X$1</f>
        <v>3157.4500000000003</v>
      </c>
      <c r="V225" s="103">
        <f t="shared" ref="V225:V231" si="485">F225+32</f>
        <v>3152.4500000000003</v>
      </c>
      <c r="W225" s="255">
        <f t="shared" ref="W225:W231" si="486">+V225*$X$1</f>
        <v>3152.4500000000003</v>
      </c>
      <c r="X225" s="147"/>
      <c r="Y225" s="156"/>
      <c r="Z225" s="147"/>
      <c r="AA225" s="147"/>
      <c r="AB225" s="192">
        <v>624</v>
      </c>
    </row>
    <row r="226" spans="1:34" ht="12.6" customHeight="1" x14ac:dyDescent="0.2">
      <c r="A226" s="21"/>
      <c r="B226" s="911" t="s">
        <v>196</v>
      </c>
      <c r="C226" s="912"/>
      <c r="D226" s="912"/>
      <c r="E226" s="912"/>
      <c r="F226" s="381">
        <f>5.057*X2</f>
        <v>5385.7050000000008</v>
      </c>
      <c r="G226" s="288">
        <f t="shared" si="470"/>
        <v>5385.7050000000008</v>
      </c>
      <c r="H226" s="286"/>
      <c r="I226" s="344"/>
      <c r="J226" s="460">
        <f t="shared" si="473"/>
        <v>5565.7050000000008</v>
      </c>
      <c r="K226" s="288">
        <f t="shared" si="474"/>
        <v>5565.7050000000008</v>
      </c>
      <c r="L226" s="460">
        <f t="shared" si="475"/>
        <v>5505.7050000000008</v>
      </c>
      <c r="M226" s="288">
        <f t="shared" si="476"/>
        <v>5505.7050000000008</v>
      </c>
      <c r="N226" s="460">
        <f t="shared" si="477"/>
        <v>5448.7050000000008</v>
      </c>
      <c r="O226" s="288">
        <f t="shared" si="478"/>
        <v>5448.7050000000008</v>
      </c>
      <c r="P226" s="460">
        <f t="shared" si="479"/>
        <v>5439.7050000000008</v>
      </c>
      <c r="Q226" s="288">
        <f t="shared" si="480"/>
        <v>5439.7050000000008</v>
      </c>
      <c r="R226" s="460">
        <f t="shared" si="481"/>
        <v>5430.7050000000008</v>
      </c>
      <c r="S226" s="288">
        <f t="shared" si="482"/>
        <v>5430.7050000000008</v>
      </c>
      <c r="T226" s="102">
        <f t="shared" si="483"/>
        <v>5422.7050000000008</v>
      </c>
      <c r="U226" s="305">
        <f t="shared" si="484"/>
        <v>5422.7050000000008</v>
      </c>
      <c r="V226" s="102">
        <f t="shared" si="485"/>
        <v>5417.7050000000008</v>
      </c>
      <c r="W226" s="305">
        <f t="shared" si="486"/>
        <v>5417.7050000000008</v>
      </c>
      <c r="X226" s="147"/>
      <c r="Y226" s="156"/>
      <c r="Z226" s="147"/>
      <c r="AA226" s="147"/>
      <c r="AB226" s="192" t="s">
        <v>197</v>
      </c>
    </row>
    <row r="227" spans="1:34" ht="12.6" customHeight="1" x14ac:dyDescent="0.2">
      <c r="A227" s="21"/>
      <c r="B227" s="683" t="s">
        <v>198</v>
      </c>
      <c r="C227" s="684"/>
      <c r="D227" s="684"/>
      <c r="E227" s="685"/>
      <c r="F227" s="380">
        <f>5.6*X2</f>
        <v>5964</v>
      </c>
      <c r="G227" s="287">
        <f t="shared" ref="G227:G232" si="487">+F227*$X$1</f>
        <v>5964</v>
      </c>
      <c r="H227" s="318"/>
      <c r="I227" s="343"/>
      <c r="J227" s="654">
        <f t="shared" si="473"/>
        <v>6144</v>
      </c>
      <c r="K227" s="287">
        <f t="shared" si="474"/>
        <v>6144</v>
      </c>
      <c r="L227" s="654">
        <f t="shared" si="475"/>
        <v>6084</v>
      </c>
      <c r="M227" s="287">
        <f t="shared" si="476"/>
        <v>6084</v>
      </c>
      <c r="N227" s="654">
        <f t="shared" si="477"/>
        <v>6027</v>
      </c>
      <c r="O227" s="287">
        <f t="shared" si="478"/>
        <v>6027</v>
      </c>
      <c r="P227" s="654">
        <f t="shared" si="479"/>
        <v>6018</v>
      </c>
      <c r="Q227" s="287">
        <f t="shared" si="480"/>
        <v>6018</v>
      </c>
      <c r="R227" s="654">
        <f t="shared" si="481"/>
        <v>6009</v>
      </c>
      <c r="S227" s="287">
        <f t="shared" si="482"/>
        <v>6009</v>
      </c>
      <c r="T227" s="103">
        <f t="shared" si="483"/>
        <v>6001</v>
      </c>
      <c r="U227" s="255">
        <f t="shared" si="484"/>
        <v>6001</v>
      </c>
      <c r="V227" s="103">
        <f t="shared" si="485"/>
        <v>5996</v>
      </c>
      <c r="W227" s="255">
        <f t="shared" si="486"/>
        <v>5996</v>
      </c>
      <c r="X227" s="147"/>
      <c r="Y227" s="156"/>
      <c r="Z227" s="147"/>
      <c r="AA227" s="147"/>
      <c r="AB227" s="192">
        <v>629</v>
      </c>
    </row>
    <row r="228" spans="1:34" ht="12.6" customHeight="1" x14ac:dyDescent="0.2">
      <c r="A228" s="21"/>
      <c r="B228" s="680" t="s">
        <v>416</v>
      </c>
      <c r="C228" s="691"/>
      <c r="D228" s="691"/>
      <c r="E228" s="692"/>
      <c r="F228" s="381">
        <f>8.55*X2</f>
        <v>9105.75</v>
      </c>
      <c r="G228" s="288">
        <f t="shared" si="487"/>
        <v>9105.75</v>
      </c>
      <c r="H228" s="286"/>
      <c r="I228" s="344"/>
      <c r="J228" s="460">
        <f t="shared" si="473"/>
        <v>9285.75</v>
      </c>
      <c r="K228" s="288">
        <f t="shared" si="474"/>
        <v>9285.75</v>
      </c>
      <c r="L228" s="460">
        <f t="shared" si="475"/>
        <v>9225.75</v>
      </c>
      <c r="M228" s="288">
        <f t="shared" si="476"/>
        <v>9225.75</v>
      </c>
      <c r="N228" s="460">
        <f t="shared" si="477"/>
        <v>9168.75</v>
      </c>
      <c r="O228" s="288">
        <f t="shared" si="478"/>
        <v>9168.75</v>
      </c>
      <c r="P228" s="460">
        <f t="shared" si="479"/>
        <v>9159.75</v>
      </c>
      <c r="Q228" s="288">
        <f t="shared" si="480"/>
        <v>9159.75</v>
      </c>
      <c r="R228" s="460">
        <f t="shared" si="481"/>
        <v>9150.75</v>
      </c>
      <c r="S228" s="288">
        <f t="shared" si="482"/>
        <v>9150.75</v>
      </c>
      <c r="T228" s="102">
        <f t="shared" si="483"/>
        <v>9142.75</v>
      </c>
      <c r="U228" s="305">
        <f t="shared" si="484"/>
        <v>9142.75</v>
      </c>
      <c r="V228" s="102">
        <f t="shared" si="485"/>
        <v>9137.75</v>
      </c>
      <c r="W228" s="305">
        <f t="shared" si="486"/>
        <v>9137.75</v>
      </c>
      <c r="X228" s="147"/>
      <c r="Y228" s="156"/>
      <c r="Z228" s="147"/>
      <c r="AA228" s="147"/>
      <c r="AB228" s="192">
        <v>630</v>
      </c>
    </row>
    <row r="229" spans="1:34" ht="12.6" customHeight="1" x14ac:dyDescent="0.2">
      <c r="A229" s="21"/>
      <c r="B229" s="917" t="s">
        <v>543</v>
      </c>
      <c r="C229" s="918"/>
      <c r="D229" s="918"/>
      <c r="E229" s="919"/>
      <c r="F229" s="551">
        <f>0.96*X2</f>
        <v>1022.4</v>
      </c>
      <c r="G229" s="631">
        <f t="shared" ref="G229" si="488">+F229*$X$1</f>
        <v>1022.4</v>
      </c>
      <c r="H229" s="582"/>
      <c r="I229" s="583"/>
      <c r="J229" s="581">
        <f t="shared" si="473"/>
        <v>1202.4000000000001</v>
      </c>
      <c r="K229" s="546">
        <f t="shared" si="474"/>
        <v>1202.4000000000001</v>
      </c>
      <c r="L229" s="581">
        <f t="shared" si="475"/>
        <v>1142.4000000000001</v>
      </c>
      <c r="M229" s="546">
        <f t="shared" si="476"/>
        <v>1142.4000000000001</v>
      </c>
      <c r="N229" s="581">
        <f t="shared" si="477"/>
        <v>1085.4000000000001</v>
      </c>
      <c r="O229" s="546">
        <f t="shared" si="478"/>
        <v>1085.4000000000001</v>
      </c>
      <c r="P229" s="581">
        <f t="shared" si="479"/>
        <v>1076.4000000000001</v>
      </c>
      <c r="Q229" s="546">
        <f t="shared" si="480"/>
        <v>1076.4000000000001</v>
      </c>
      <c r="R229" s="581">
        <f t="shared" si="481"/>
        <v>1067.4000000000001</v>
      </c>
      <c r="S229" s="546">
        <f t="shared" si="482"/>
        <v>1067.4000000000001</v>
      </c>
      <c r="T229" s="558">
        <f t="shared" si="483"/>
        <v>1059.4000000000001</v>
      </c>
      <c r="U229" s="557">
        <f t="shared" si="484"/>
        <v>1059.4000000000001</v>
      </c>
      <c r="V229" s="558">
        <f t="shared" si="485"/>
        <v>1054.4000000000001</v>
      </c>
      <c r="W229" s="557">
        <f t="shared" si="486"/>
        <v>1054.4000000000001</v>
      </c>
      <c r="X229" s="147"/>
      <c r="Y229" s="156"/>
      <c r="Z229" s="147"/>
      <c r="AA229" s="147"/>
      <c r="AB229" s="192">
        <v>631</v>
      </c>
    </row>
    <row r="230" spans="1:34" ht="12.6" customHeight="1" x14ac:dyDescent="0.2">
      <c r="A230" s="21"/>
      <c r="B230" s="671" t="s">
        <v>923</v>
      </c>
      <c r="C230" s="672"/>
      <c r="D230" s="672"/>
      <c r="E230" s="673"/>
      <c r="F230" s="381">
        <f>2.69*X2</f>
        <v>2864.85</v>
      </c>
      <c r="G230" s="290">
        <f t="shared" ref="G230" si="489">+F230*$X$1</f>
        <v>2864.85</v>
      </c>
      <c r="H230" s="286"/>
      <c r="I230" s="351"/>
      <c r="J230" s="460">
        <f t="shared" ref="J230" si="490">F230+180</f>
        <v>3044.85</v>
      </c>
      <c r="K230" s="288">
        <f t="shared" ref="K230" si="491">+J230*$X$1</f>
        <v>3044.85</v>
      </c>
      <c r="L230" s="460">
        <f t="shared" ref="L230" si="492">F230+120</f>
        <v>2984.85</v>
      </c>
      <c r="M230" s="288">
        <f t="shared" ref="M230" si="493">+L230*$X$1</f>
        <v>2984.85</v>
      </c>
      <c r="N230" s="460">
        <f t="shared" ref="N230" si="494">F230+63</f>
        <v>2927.85</v>
      </c>
      <c r="O230" s="288">
        <f t="shared" ref="O230" si="495">+N230*$X$1</f>
        <v>2927.85</v>
      </c>
      <c r="P230" s="460">
        <f t="shared" ref="P230" si="496">F230+54</f>
        <v>2918.85</v>
      </c>
      <c r="Q230" s="288">
        <f t="shared" ref="Q230" si="497">+P230*$X$1</f>
        <v>2918.85</v>
      </c>
      <c r="R230" s="460">
        <f t="shared" ref="R230" si="498">F230+45</f>
        <v>2909.85</v>
      </c>
      <c r="S230" s="288">
        <f t="shared" ref="S230" si="499">+R230*$X$1</f>
        <v>2909.85</v>
      </c>
      <c r="T230" s="102">
        <f t="shared" ref="T230" si="500">F230+37</f>
        <v>2901.85</v>
      </c>
      <c r="U230" s="305">
        <f t="shared" ref="U230" si="501">+T230*$X$1</f>
        <v>2901.85</v>
      </c>
      <c r="V230" s="102">
        <f t="shared" ref="V230" si="502">F230+32</f>
        <v>2896.85</v>
      </c>
      <c r="W230" s="305">
        <f t="shared" ref="W230" si="503">+V230*$X$1</f>
        <v>2896.85</v>
      </c>
      <c r="X230" s="147"/>
      <c r="Y230" s="156"/>
      <c r="Z230" s="147"/>
      <c r="AA230" s="147"/>
      <c r="AB230" s="192">
        <v>633</v>
      </c>
    </row>
    <row r="231" spans="1:34" ht="12.6" customHeight="1" x14ac:dyDescent="0.2">
      <c r="A231" s="21"/>
      <c r="B231" s="683" t="s">
        <v>508</v>
      </c>
      <c r="C231" s="684"/>
      <c r="D231" s="684"/>
      <c r="E231" s="685"/>
      <c r="F231" s="380">
        <f>1.352*X2</f>
        <v>1439.88</v>
      </c>
      <c r="G231" s="289">
        <f t="shared" si="487"/>
        <v>1439.88</v>
      </c>
      <c r="H231" s="318"/>
      <c r="I231" s="350"/>
      <c r="J231" s="654">
        <f t="shared" si="473"/>
        <v>1619.88</v>
      </c>
      <c r="K231" s="287">
        <f t="shared" si="474"/>
        <v>1619.88</v>
      </c>
      <c r="L231" s="654">
        <f t="shared" si="475"/>
        <v>1559.88</v>
      </c>
      <c r="M231" s="287">
        <f t="shared" si="476"/>
        <v>1559.88</v>
      </c>
      <c r="N231" s="654">
        <f t="shared" si="477"/>
        <v>1502.88</v>
      </c>
      <c r="O231" s="287">
        <f t="shared" si="478"/>
        <v>1502.88</v>
      </c>
      <c r="P231" s="654">
        <f t="shared" si="479"/>
        <v>1493.88</v>
      </c>
      <c r="Q231" s="287">
        <f t="shared" si="480"/>
        <v>1493.88</v>
      </c>
      <c r="R231" s="654">
        <f t="shared" si="481"/>
        <v>1484.88</v>
      </c>
      <c r="S231" s="287">
        <f t="shared" si="482"/>
        <v>1484.88</v>
      </c>
      <c r="T231" s="103">
        <f t="shared" si="483"/>
        <v>1476.88</v>
      </c>
      <c r="U231" s="255">
        <f t="shared" si="484"/>
        <v>1476.88</v>
      </c>
      <c r="V231" s="103">
        <f t="shared" si="485"/>
        <v>1471.88</v>
      </c>
      <c r="W231" s="255">
        <f t="shared" si="486"/>
        <v>1471.88</v>
      </c>
      <c r="X231" s="147"/>
      <c r="Y231" s="156"/>
      <c r="Z231" s="147"/>
      <c r="AA231" s="147"/>
      <c r="AB231" s="192">
        <v>640</v>
      </c>
    </row>
    <row r="232" spans="1:34" ht="12.6" customHeight="1" x14ac:dyDescent="0.2">
      <c r="A232" s="18"/>
      <c r="B232" s="689" t="s">
        <v>199</v>
      </c>
      <c r="C232" s="690"/>
      <c r="D232" s="690"/>
      <c r="E232" s="690"/>
      <c r="F232" s="381">
        <f>2.7*X2</f>
        <v>2875.5</v>
      </c>
      <c r="G232" s="288">
        <f t="shared" si="487"/>
        <v>2875.5</v>
      </c>
      <c r="H232" s="89">
        <f t="shared" ref="H232" si="504">F232+400</f>
        <v>3275.5</v>
      </c>
      <c r="I232" s="288">
        <f t="shared" ref="I232" si="505">+H232*$X$1</f>
        <v>3275.5</v>
      </c>
      <c r="J232" s="460">
        <f t="shared" ref="J232" si="506">F232+170</f>
        <v>3045.5</v>
      </c>
      <c r="K232" s="288">
        <f t="shared" ref="K232" si="507">+J232*$X$1</f>
        <v>3045.5</v>
      </c>
      <c r="L232" s="460">
        <f t="shared" ref="L232" si="508">F232+130</f>
        <v>3005.5</v>
      </c>
      <c r="M232" s="288">
        <f t="shared" ref="M232" si="509">+L232*$X$1</f>
        <v>3005.5</v>
      </c>
      <c r="N232" s="460">
        <f t="shared" ref="N232" si="510">F232+100</f>
        <v>2975.5</v>
      </c>
      <c r="O232" s="288">
        <f t="shared" ref="O232" si="511">+N232*$X$1</f>
        <v>2975.5</v>
      </c>
      <c r="P232" s="460">
        <f t="shared" ref="P232" si="512">F232+80</f>
        <v>2955.5</v>
      </c>
      <c r="Q232" s="288">
        <f t="shared" ref="Q232" si="513">+P232*$X$1</f>
        <v>2955.5</v>
      </c>
      <c r="R232" s="460">
        <f t="shared" ref="R232" si="514">F232+74</f>
        <v>2949.5</v>
      </c>
      <c r="S232" s="288">
        <f t="shared" ref="S232" si="515">+R232*$X$1</f>
        <v>2949.5</v>
      </c>
      <c r="T232" s="460">
        <f t="shared" ref="T232" si="516">F232+67</f>
        <v>2942.5</v>
      </c>
      <c r="U232" s="288">
        <f t="shared" ref="U232" si="517">+T232*$X$1</f>
        <v>2942.5</v>
      </c>
      <c r="V232" s="460">
        <f t="shared" ref="V232" si="518">F232+55</f>
        <v>2930.5</v>
      </c>
      <c r="W232" s="288">
        <f t="shared" ref="W232" si="519">+V232*$X$1</f>
        <v>2930.5</v>
      </c>
      <c r="X232" s="687"/>
      <c r="Y232" s="717"/>
      <c r="Z232" s="717"/>
      <c r="AA232" s="688"/>
      <c r="AB232" s="192">
        <v>705</v>
      </c>
    </row>
    <row r="233" spans="1:34" ht="12.6" customHeight="1" x14ac:dyDescent="0.2">
      <c r="A233" s="18"/>
      <c r="B233" s="711" t="s">
        <v>520</v>
      </c>
      <c r="C233" s="712"/>
      <c r="D233" s="712"/>
      <c r="E233" s="712"/>
      <c r="F233" s="330">
        <v>10476</v>
      </c>
      <c r="G233" s="287">
        <f t="shared" ref="G233" si="520">+F233*$X$1</f>
        <v>10476</v>
      </c>
      <c r="H233" s="654">
        <f t="shared" ref="H233:H234" si="521">F233+500</f>
        <v>10976</v>
      </c>
      <c r="I233" s="287">
        <f t="shared" ref="I233:I235" si="522">+H233*$X$1</f>
        <v>10976</v>
      </c>
      <c r="J233" s="654">
        <f t="shared" ref="J233:J234" si="523">F233+220</f>
        <v>10696</v>
      </c>
      <c r="K233" s="287">
        <f t="shared" ref="K233:K235" si="524">+J233*$X$1</f>
        <v>10696</v>
      </c>
      <c r="L233" s="654">
        <f t="shared" ref="L233:L234" si="525">F233+170</f>
        <v>10646</v>
      </c>
      <c r="M233" s="287">
        <f t="shared" ref="M233:M235" si="526">+L233*$X$1</f>
        <v>10646</v>
      </c>
      <c r="N233" s="654">
        <f t="shared" ref="N233:N234" si="527">F233+145</f>
        <v>10621</v>
      </c>
      <c r="O233" s="287">
        <f t="shared" ref="O233:O235" si="528">+N233*$X$1</f>
        <v>10621</v>
      </c>
      <c r="P233" s="654">
        <f t="shared" ref="P233:P234" si="529">F233+130</f>
        <v>10606</v>
      </c>
      <c r="Q233" s="287">
        <f t="shared" ref="Q233:Q235" si="530">+P233*$X$1</f>
        <v>10606</v>
      </c>
      <c r="R233" s="654">
        <f t="shared" ref="R233:R234" si="531">F233+110</f>
        <v>10586</v>
      </c>
      <c r="S233" s="287">
        <f t="shared" ref="S233:S235" si="532">+R233*$X$1</f>
        <v>10586</v>
      </c>
      <c r="T233" s="103">
        <f t="shared" ref="T233:T234" si="533">F233+95</f>
        <v>10571</v>
      </c>
      <c r="U233" s="255">
        <f t="shared" ref="U233:U235" si="534">+T233*$X$1</f>
        <v>10571</v>
      </c>
      <c r="V233" s="103">
        <f t="shared" ref="V233:V234" si="535">F233+80</f>
        <v>10556</v>
      </c>
      <c r="W233" s="255">
        <f t="shared" ref="W233:W235" si="536">+V233*$X$1</f>
        <v>10556</v>
      </c>
      <c r="X233" s="677"/>
      <c r="Y233" s="694"/>
      <c r="Z233" s="694"/>
      <c r="AA233" s="679"/>
      <c r="AB233" s="192">
        <v>815</v>
      </c>
    </row>
    <row r="234" spans="1:34" ht="12.6" customHeight="1" x14ac:dyDescent="0.2">
      <c r="A234" s="18"/>
      <c r="B234" s="695" t="s">
        <v>956</v>
      </c>
      <c r="C234" s="1067"/>
      <c r="D234" s="1067"/>
      <c r="E234" s="1067"/>
      <c r="F234" s="381">
        <f>32.25*X2</f>
        <v>34346.25</v>
      </c>
      <c r="G234" s="288">
        <f>+F234*$X$1</f>
        <v>34346.25</v>
      </c>
      <c r="H234" s="460">
        <f t="shared" si="521"/>
        <v>34846.25</v>
      </c>
      <c r="I234" s="288">
        <f t="shared" ref="I234" si="537">+H234*$X$1</f>
        <v>34846.25</v>
      </c>
      <c r="J234" s="460">
        <f t="shared" si="523"/>
        <v>34566.25</v>
      </c>
      <c r="K234" s="288">
        <f t="shared" ref="K234" si="538">+J234*$X$1</f>
        <v>34566.25</v>
      </c>
      <c r="L234" s="460">
        <f t="shared" si="525"/>
        <v>34516.25</v>
      </c>
      <c r="M234" s="288">
        <f t="shared" ref="M234" si="539">+L234*$X$1</f>
        <v>34516.25</v>
      </c>
      <c r="N234" s="460">
        <f t="shared" si="527"/>
        <v>34491.25</v>
      </c>
      <c r="O234" s="288">
        <f t="shared" ref="O234" si="540">+N234*$X$1</f>
        <v>34491.25</v>
      </c>
      <c r="P234" s="460">
        <f t="shared" si="529"/>
        <v>34476.25</v>
      </c>
      <c r="Q234" s="288">
        <f t="shared" ref="Q234" si="541">+P234*$X$1</f>
        <v>34476.25</v>
      </c>
      <c r="R234" s="460">
        <f t="shared" si="531"/>
        <v>34456.25</v>
      </c>
      <c r="S234" s="288">
        <f t="shared" ref="S234" si="542">+R234*$X$1</f>
        <v>34456.25</v>
      </c>
      <c r="T234" s="102">
        <f t="shared" si="533"/>
        <v>34441.25</v>
      </c>
      <c r="U234" s="305">
        <f t="shared" ref="U234" si="543">+T234*$X$1</f>
        <v>34441.25</v>
      </c>
      <c r="V234" s="102">
        <f t="shared" si="535"/>
        <v>34426.25</v>
      </c>
      <c r="W234" s="305">
        <f t="shared" ref="W234" si="544">+V234*$X$1</f>
        <v>34426.25</v>
      </c>
      <c r="X234" s="677"/>
      <c r="Y234" s="694"/>
      <c r="Z234" s="694"/>
      <c r="AA234" s="679"/>
      <c r="AB234" s="192">
        <v>817</v>
      </c>
    </row>
    <row r="235" spans="1:34" ht="12.6" customHeight="1" x14ac:dyDescent="0.2">
      <c r="A235" s="18"/>
      <c r="B235" s="695" t="s">
        <v>957</v>
      </c>
      <c r="C235" s="1067"/>
      <c r="D235" s="1067"/>
      <c r="E235" s="1067"/>
      <c r="F235" s="380">
        <f>16.04*X2</f>
        <v>17082.599999999999</v>
      </c>
      <c r="G235" s="287">
        <f>+F235*$X$1</f>
        <v>17082.599999999999</v>
      </c>
      <c r="H235" s="654">
        <f t="shared" ref="H235" si="545">F235+500</f>
        <v>17582.599999999999</v>
      </c>
      <c r="I235" s="287">
        <f t="shared" si="522"/>
        <v>17582.599999999999</v>
      </c>
      <c r="J235" s="654">
        <f t="shared" ref="J235" si="546">F235+220</f>
        <v>17302.599999999999</v>
      </c>
      <c r="K235" s="287">
        <f t="shared" si="524"/>
        <v>17302.599999999999</v>
      </c>
      <c r="L235" s="654">
        <f t="shared" ref="L235" si="547">F235+170</f>
        <v>17252.599999999999</v>
      </c>
      <c r="M235" s="287">
        <f t="shared" si="526"/>
        <v>17252.599999999999</v>
      </c>
      <c r="N235" s="654">
        <f t="shared" ref="N235" si="548">F235+145</f>
        <v>17227.599999999999</v>
      </c>
      <c r="O235" s="287">
        <f t="shared" si="528"/>
        <v>17227.599999999999</v>
      </c>
      <c r="P235" s="654">
        <f t="shared" ref="P235" si="549">F235+130</f>
        <v>17212.599999999999</v>
      </c>
      <c r="Q235" s="287">
        <f t="shared" si="530"/>
        <v>17212.599999999999</v>
      </c>
      <c r="R235" s="654">
        <f t="shared" ref="R235" si="550">F235+110</f>
        <v>17192.599999999999</v>
      </c>
      <c r="S235" s="287">
        <f t="shared" si="532"/>
        <v>17192.599999999999</v>
      </c>
      <c r="T235" s="103">
        <f t="shared" ref="T235" si="551">F235+95</f>
        <v>17177.599999999999</v>
      </c>
      <c r="U235" s="255">
        <f t="shared" si="534"/>
        <v>17177.599999999999</v>
      </c>
      <c r="V235" s="103">
        <f t="shared" ref="V235" si="552">F235+80</f>
        <v>17162.599999999999</v>
      </c>
      <c r="W235" s="255">
        <f t="shared" si="536"/>
        <v>17162.599999999999</v>
      </c>
      <c r="X235" s="677"/>
      <c r="Y235" s="694"/>
      <c r="Z235" s="694"/>
      <c r="AA235" s="679"/>
      <c r="AB235" s="192">
        <v>818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6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AB236" s="99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6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AB237" s="4"/>
    </row>
    <row r="238" spans="1:34" ht="12.6" customHeight="1" x14ac:dyDescent="0.2">
      <c r="A238" s="18"/>
      <c r="B238" s="3"/>
      <c r="C238" s="3"/>
      <c r="D238" s="3"/>
      <c r="E238" s="75"/>
      <c r="F238" s="996"/>
      <c r="G238" s="996"/>
      <c r="H238" s="996"/>
      <c r="I238" s="996"/>
      <c r="J238" s="996"/>
      <c r="K238" s="276"/>
      <c r="L238" s="275"/>
      <c r="M238" s="275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AB238" s="4"/>
    </row>
    <row r="239" spans="1:34" ht="15.75" customHeight="1" x14ac:dyDescent="0.2">
      <c r="A239" s="18"/>
      <c r="B239" s="1029" t="s">
        <v>11</v>
      </c>
      <c r="C239" s="713" t="s">
        <v>12</v>
      </c>
      <c r="D239" s="714"/>
      <c r="E239" s="714"/>
      <c r="F239" s="709" t="s">
        <v>13</v>
      </c>
      <c r="G239" s="709" t="s">
        <v>13</v>
      </c>
      <c r="H239" s="730" t="s">
        <v>815</v>
      </c>
      <c r="I239" s="730"/>
      <c r="J239" s="731"/>
      <c r="K239" s="731"/>
      <c r="L239" s="731"/>
      <c r="M239" s="731"/>
      <c r="N239" s="731"/>
      <c r="O239" s="731"/>
      <c r="P239" s="731"/>
      <c r="Q239" s="731"/>
      <c r="R239" s="731"/>
      <c r="S239" s="731"/>
      <c r="T239" s="731"/>
      <c r="U239" s="731"/>
      <c r="V239" s="731"/>
      <c r="W239" s="731"/>
      <c r="X239" s="753" t="s">
        <v>14</v>
      </c>
      <c r="Y239" s="754"/>
      <c r="Z239" s="754"/>
      <c r="AA239" s="755"/>
      <c r="AB239" s="791" t="s">
        <v>15</v>
      </c>
      <c r="AF239" s="789" t="s">
        <v>3</v>
      </c>
      <c r="AG239" s="790"/>
      <c r="AH239" s="790"/>
    </row>
    <row r="240" spans="1:34" ht="11.25" customHeight="1" x14ac:dyDescent="0.2">
      <c r="A240" s="18"/>
      <c r="B240" s="1029"/>
      <c r="C240" s="714"/>
      <c r="D240" s="714"/>
      <c r="E240" s="714"/>
      <c r="F240" s="710"/>
      <c r="G240" s="710"/>
      <c r="H240" s="482"/>
      <c r="I240" s="474" t="s">
        <v>289</v>
      </c>
      <c r="J240" s="476"/>
      <c r="K240" s="474" t="s">
        <v>17</v>
      </c>
      <c r="L240" s="477"/>
      <c r="M240" s="477" t="s">
        <v>18</v>
      </c>
      <c r="N240" s="477"/>
      <c r="O240" s="474" t="s">
        <v>19</v>
      </c>
      <c r="P240" s="477"/>
      <c r="Q240" s="477" t="s">
        <v>291</v>
      </c>
      <c r="R240" s="477"/>
      <c r="S240" s="477" t="s">
        <v>20</v>
      </c>
      <c r="T240" s="477"/>
      <c r="U240" s="477" t="s">
        <v>21</v>
      </c>
      <c r="V240" s="477"/>
      <c r="W240" s="477" t="s">
        <v>22</v>
      </c>
      <c r="X240" s="756"/>
      <c r="Y240" s="757"/>
      <c r="Z240" s="757"/>
      <c r="AA240" s="758"/>
      <c r="AB240" s="792"/>
    </row>
    <row r="241" spans="1:28" ht="12.6" customHeight="1" x14ac:dyDescent="0.2">
      <c r="A241" s="18"/>
      <c r="B241" s="689" t="s">
        <v>519</v>
      </c>
      <c r="C241" s="690"/>
      <c r="D241" s="690"/>
      <c r="E241" s="690"/>
      <c r="F241" s="329">
        <v>18042</v>
      </c>
      <c r="G241" s="288">
        <f t="shared" ref="G241" si="553">+F241*$X$1</f>
        <v>18042</v>
      </c>
      <c r="H241" s="460">
        <f>F241+500</f>
        <v>18542</v>
      </c>
      <c r="I241" s="288">
        <f t="shared" ref="I241:I243" si="554">+H241*$X$1</f>
        <v>18542</v>
      </c>
      <c r="J241" s="460">
        <f>F241+220</f>
        <v>18262</v>
      </c>
      <c r="K241" s="288">
        <f t="shared" ref="K241:K243" si="555">+J241*$X$1</f>
        <v>18262</v>
      </c>
      <c r="L241" s="460">
        <f>F241+170</f>
        <v>18212</v>
      </c>
      <c r="M241" s="288">
        <f t="shared" ref="M241:M243" si="556">+L241*$X$1</f>
        <v>18212</v>
      </c>
      <c r="N241" s="460">
        <f>F241+145</f>
        <v>18187</v>
      </c>
      <c r="O241" s="288">
        <f t="shared" ref="O241:O243" si="557">+N241*$X$1</f>
        <v>18187</v>
      </c>
      <c r="P241" s="460">
        <f>F241+130</f>
        <v>18172</v>
      </c>
      <c r="Q241" s="288">
        <f t="shared" ref="Q241:Q243" si="558">+P241*$X$1</f>
        <v>18172</v>
      </c>
      <c r="R241" s="460">
        <f>F241+110</f>
        <v>18152</v>
      </c>
      <c r="S241" s="288">
        <f t="shared" ref="S241:S243" si="559">+R241*$X$1</f>
        <v>18152</v>
      </c>
      <c r="T241" s="102">
        <f>F241+95</f>
        <v>18137</v>
      </c>
      <c r="U241" s="305">
        <f t="shared" ref="U241:U243" si="560">+T241*$X$1</f>
        <v>18137</v>
      </c>
      <c r="V241" s="102">
        <f>F241+80</f>
        <v>18122</v>
      </c>
      <c r="W241" s="305">
        <f t="shared" ref="W241:W243" si="561">+V241*$X$1</f>
        <v>18122</v>
      </c>
      <c r="X241" s="677"/>
      <c r="Y241" s="694"/>
      <c r="Z241" s="694"/>
      <c r="AA241" s="679"/>
      <c r="AB241" s="192">
        <v>819</v>
      </c>
    </row>
    <row r="242" spans="1:28" ht="12.6" customHeight="1" x14ac:dyDescent="0.2">
      <c r="A242" s="18"/>
      <c r="B242" s="711" t="s">
        <v>704</v>
      </c>
      <c r="C242" s="712"/>
      <c r="D242" s="712"/>
      <c r="E242" s="712"/>
      <c r="F242" s="380">
        <f>4.7*X2</f>
        <v>5005.5</v>
      </c>
      <c r="G242" s="287">
        <f>+F242*$X$1</f>
        <v>5005.5</v>
      </c>
      <c r="H242" s="654">
        <f>F242+500</f>
        <v>5505.5</v>
      </c>
      <c r="I242" s="287">
        <f t="shared" si="554"/>
        <v>5505.5</v>
      </c>
      <c r="J242" s="654">
        <f>F242+220</f>
        <v>5225.5</v>
      </c>
      <c r="K242" s="287">
        <f t="shared" si="555"/>
        <v>5225.5</v>
      </c>
      <c r="L242" s="654">
        <f>F242+170</f>
        <v>5175.5</v>
      </c>
      <c r="M242" s="287">
        <f t="shared" si="556"/>
        <v>5175.5</v>
      </c>
      <c r="N242" s="654">
        <f>F242+145</f>
        <v>5150.5</v>
      </c>
      <c r="O242" s="287">
        <f t="shared" si="557"/>
        <v>5150.5</v>
      </c>
      <c r="P242" s="654">
        <f>F242+130</f>
        <v>5135.5</v>
      </c>
      <c r="Q242" s="287">
        <f t="shared" si="558"/>
        <v>5135.5</v>
      </c>
      <c r="R242" s="654">
        <f>F242+110</f>
        <v>5115.5</v>
      </c>
      <c r="S242" s="287">
        <f t="shared" si="559"/>
        <v>5115.5</v>
      </c>
      <c r="T242" s="103">
        <f>F242+95</f>
        <v>5100.5</v>
      </c>
      <c r="U242" s="255">
        <f t="shared" si="560"/>
        <v>5100.5</v>
      </c>
      <c r="V242" s="103">
        <f>F242+80</f>
        <v>5085.5</v>
      </c>
      <c r="W242" s="255">
        <f t="shared" si="561"/>
        <v>5085.5</v>
      </c>
      <c r="X242" s="677"/>
      <c r="Y242" s="694"/>
      <c r="Z242" s="694"/>
      <c r="AA242" s="679"/>
      <c r="AB242" s="192">
        <v>821</v>
      </c>
    </row>
    <row r="243" spans="1:28" ht="12.6" customHeight="1" x14ac:dyDescent="0.2">
      <c r="A243" s="18"/>
      <c r="B243" s="695" t="s">
        <v>903</v>
      </c>
      <c r="C243" s="696"/>
      <c r="D243" s="696"/>
      <c r="E243" s="696"/>
      <c r="F243" s="381">
        <f>12*X2</f>
        <v>12780</v>
      </c>
      <c r="G243" s="288">
        <f t="shared" ref="G243" si="562">+F243*$X$1</f>
        <v>12780</v>
      </c>
      <c r="H243" s="460">
        <f>F243+500</f>
        <v>13280</v>
      </c>
      <c r="I243" s="288">
        <f t="shared" si="554"/>
        <v>13280</v>
      </c>
      <c r="J243" s="460">
        <f>F243+220</f>
        <v>13000</v>
      </c>
      <c r="K243" s="288">
        <f t="shared" si="555"/>
        <v>13000</v>
      </c>
      <c r="L243" s="460">
        <f>F243+170</f>
        <v>12950</v>
      </c>
      <c r="M243" s="288">
        <f t="shared" si="556"/>
        <v>12950</v>
      </c>
      <c r="N243" s="460">
        <f>F243+145</f>
        <v>12925</v>
      </c>
      <c r="O243" s="288">
        <f t="shared" si="557"/>
        <v>12925</v>
      </c>
      <c r="P243" s="460">
        <f>F243+130</f>
        <v>12910</v>
      </c>
      <c r="Q243" s="288">
        <f t="shared" si="558"/>
        <v>12910</v>
      </c>
      <c r="R243" s="460">
        <f>F243+110</f>
        <v>12890</v>
      </c>
      <c r="S243" s="288">
        <f t="shared" si="559"/>
        <v>12890</v>
      </c>
      <c r="T243" s="102">
        <f>F243+95</f>
        <v>12875</v>
      </c>
      <c r="U243" s="305">
        <f t="shared" si="560"/>
        <v>12875</v>
      </c>
      <c r="V243" s="102">
        <f>F243+80</f>
        <v>12860</v>
      </c>
      <c r="W243" s="305">
        <f t="shared" si="561"/>
        <v>12860</v>
      </c>
      <c r="X243" s="677"/>
      <c r="Y243" s="694"/>
      <c r="Z243" s="694"/>
      <c r="AA243" s="679"/>
      <c r="AB243" s="192">
        <v>822</v>
      </c>
    </row>
    <row r="244" spans="1:28" ht="12.6" customHeight="1" x14ac:dyDescent="0.2">
      <c r="A244" s="18"/>
      <c r="B244" s="711" t="s">
        <v>515</v>
      </c>
      <c r="C244" s="712"/>
      <c r="D244" s="712"/>
      <c r="E244" s="712"/>
      <c r="F244" s="330">
        <v>15132</v>
      </c>
      <c r="G244" s="287">
        <f>+F244*$X$1</f>
        <v>15132</v>
      </c>
      <c r="H244" s="654">
        <f>F244+500</f>
        <v>15632</v>
      </c>
      <c r="I244" s="287">
        <f>+H244*$X$1</f>
        <v>15632</v>
      </c>
      <c r="J244" s="654">
        <f>F244+220</f>
        <v>15352</v>
      </c>
      <c r="K244" s="287">
        <f>+J244*$X$1</f>
        <v>15352</v>
      </c>
      <c r="L244" s="654">
        <f>F244+170</f>
        <v>15302</v>
      </c>
      <c r="M244" s="287">
        <f>+L244*$X$1</f>
        <v>15302</v>
      </c>
      <c r="N244" s="654">
        <f>F244+145</f>
        <v>15277</v>
      </c>
      <c r="O244" s="287">
        <f>+N244*$X$1</f>
        <v>15277</v>
      </c>
      <c r="P244" s="654">
        <f>F244+130</f>
        <v>15262</v>
      </c>
      <c r="Q244" s="287">
        <f>+P244*$X$1</f>
        <v>15262</v>
      </c>
      <c r="R244" s="654">
        <f>F244+110</f>
        <v>15242</v>
      </c>
      <c r="S244" s="287">
        <f>+R244*$X$1</f>
        <v>15242</v>
      </c>
      <c r="T244" s="103">
        <f>F244+95</f>
        <v>15227</v>
      </c>
      <c r="U244" s="255">
        <f>+T244*$X$1</f>
        <v>15227</v>
      </c>
      <c r="V244" s="103">
        <f>F244+80</f>
        <v>15212</v>
      </c>
      <c r="W244" s="255">
        <f>+V244*$X$1</f>
        <v>15212</v>
      </c>
      <c r="X244" s="677"/>
      <c r="Y244" s="694"/>
      <c r="Z244" s="694"/>
      <c r="AA244" s="679"/>
      <c r="AB244" s="192">
        <v>823</v>
      </c>
    </row>
    <row r="245" spans="1:28" ht="12.6" customHeight="1" x14ac:dyDescent="0.2">
      <c r="A245" s="18"/>
      <c r="B245" s="695" t="s">
        <v>914</v>
      </c>
      <c r="C245" s="696"/>
      <c r="D245" s="696"/>
      <c r="E245" s="696"/>
      <c r="F245" s="381">
        <f>3.45*X2</f>
        <v>3674.25</v>
      </c>
      <c r="G245" s="288">
        <f t="shared" ref="G245" si="563">+F245*$X$1</f>
        <v>3674.25</v>
      </c>
      <c r="H245" s="460">
        <f t="shared" ref="H245" si="564">F245+500</f>
        <v>4174.25</v>
      </c>
      <c r="I245" s="288">
        <f t="shared" ref="I245" si="565">+H245*$X$1</f>
        <v>4174.25</v>
      </c>
      <c r="J245" s="460">
        <f t="shared" ref="J245" si="566">F245+220</f>
        <v>3894.25</v>
      </c>
      <c r="K245" s="288">
        <f t="shared" ref="K245" si="567">+J245*$X$1</f>
        <v>3894.25</v>
      </c>
      <c r="L245" s="460">
        <f t="shared" ref="L245" si="568">F245+170</f>
        <v>3844.25</v>
      </c>
      <c r="M245" s="288">
        <f t="shared" ref="M245" si="569">+L245*$X$1</f>
        <v>3844.25</v>
      </c>
      <c r="N245" s="460">
        <f t="shared" ref="N245" si="570">F245+145</f>
        <v>3819.25</v>
      </c>
      <c r="O245" s="288">
        <f t="shared" ref="O245" si="571">+N245*$X$1</f>
        <v>3819.25</v>
      </c>
      <c r="P245" s="460">
        <f t="shared" ref="P245" si="572">F245+130</f>
        <v>3804.25</v>
      </c>
      <c r="Q245" s="288">
        <f t="shared" ref="Q245" si="573">+P245*$X$1</f>
        <v>3804.25</v>
      </c>
      <c r="R245" s="460">
        <f t="shared" ref="R245" si="574">F245+110</f>
        <v>3784.25</v>
      </c>
      <c r="S245" s="288">
        <f t="shared" ref="S245" si="575">+R245*$X$1</f>
        <v>3784.25</v>
      </c>
      <c r="T245" s="102">
        <f t="shared" ref="T245" si="576">F245+95</f>
        <v>3769.25</v>
      </c>
      <c r="U245" s="305">
        <f t="shared" ref="U245" si="577">+T245*$X$1</f>
        <v>3769.25</v>
      </c>
      <c r="V245" s="102">
        <f t="shared" ref="V245" si="578">F245+80</f>
        <v>3754.25</v>
      </c>
      <c r="W245" s="305">
        <f t="shared" ref="W245" si="579">+V245*$X$1</f>
        <v>3754.25</v>
      </c>
      <c r="X245" s="677"/>
      <c r="Y245" s="694"/>
      <c r="Z245" s="694"/>
      <c r="AA245" s="679"/>
      <c r="AB245" s="192">
        <v>824</v>
      </c>
    </row>
    <row r="246" spans="1:28" ht="12.6" customHeight="1" x14ac:dyDescent="0.2">
      <c r="A246" s="18"/>
      <c r="B246" s="711" t="s">
        <v>846</v>
      </c>
      <c r="C246" s="712"/>
      <c r="D246" s="712"/>
      <c r="E246" s="712"/>
      <c r="F246" s="380">
        <f>3.4*X2</f>
        <v>3621</v>
      </c>
      <c r="G246" s="287">
        <f>+F246*$X$1</f>
        <v>3621</v>
      </c>
      <c r="H246" s="654">
        <f>F246+500</f>
        <v>4121</v>
      </c>
      <c r="I246" s="287">
        <f>+H246*$X$1</f>
        <v>4121</v>
      </c>
      <c r="J246" s="654">
        <f>F246+220</f>
        <v>3841</v>
      </c>
      <c r="K246" s="287">
        <f>+J246*$X$1</f>
        <v>3841</v>
      </c>
      <c r="L246" s="654">
        <f>F246+170</f>
        <v>3791</v>
      </c>
      <c r="M246" s="287">
        <f>+L246*$X$1</f>
        <v>3791</v>
      </c>
      <c r="N246" s="654">
        <f>F246+145</f>
        <v>3766</v>
      </c>
      <c r="O246" s="287">
        <f>+N246*$X$1</f>
        <v>3766</v>
      </c>
      <c r="P246" s="654">
        <f>F246+130</f>
        <v>3751</v>
      </c>
      <c r="Q246" s="287">
        <f>+P246*$X$1</f>
        <v>3751</v>
      </c>
      <c r="R246" s="654">
        <f>F246+110</f>
        <v>3731</v>
      </c>
      <c r="S246" s="287">
        <f>+R246*$X$1</f>
        <v>3731</v>
      </c>
      <c r="T246" s="103">
        <f>F246+95</f>
        <v>3716</v>
      </c>
      <c r="U246" s="255">
        <f>+T246*$X$1</f>
        <v>3716</v>
      </c>
      <c r="V246" s="103">
        <f>F246+80</f>
        <v>3701</v>
      </c>
      <c r="W246" s="255">
        <f>+V246*$X$1</f>
        <v>3701</v>
      </c>
      <c r="X246" s="677"/>
      <c r="Y246" s="694"/>
      <c r="Z246" s="694"/>
      <c r="AA246" s="679"/>
      <c r="AB246" s="192">
        <v>825</v>
      </c>
    </row>
    <row r="247" spans="1:28" ht="12.6" customHeight="1" x14ac:dyDescent="0.2">
      <c r="A247" s="18"/>
      <c r="B247" s="689" t="s">
        <v>699</v>
      </c>
      <c r="C247" s="690"/>
      <c r="D247" s="690"/>
      <c r="E247" s="690"/>
      <c r="F247" s="381">
        <f>7.5*X2</f>
        <v>7987.5</v>
      </c>
      <c r="G247" s="288">
        <f>+F247*$X$1</f>
        <v>7987.5</v>
      </c>
      <c r="H247" s="460">
        <f>F247+500</f>
        <v>8487.5</v>
      </c>
      <c r="I247" s="288">
        <f>+H247*$X$1</f>
        <v>8487.5</v>
      </c>
      <c r="J247" s="460">
        <f>F247+220</f>
        <v>8207.5</v>
      </c>
      <c r="K247" s="288">
        <f>+J247*$X$1</f>
        <v>8207.5</v>
      </c>
      <c r="L247" s="460">
        <f>F247+170</f>
        <v>8157.5</v>
      </c>
      <c r="M247" s="288">
        <f>+L247*$X$1</f>
        <v>8157.5</v>
      </c>
      <c r="N247" s="460">
        <f>F247+145</f>
        <v>8132.5</v>
      </c>
      <c r="O247" s="288">
        <f>+N247*$X$1</f>
        <v>8132.5</v>
      </c>
      <c r="P247" s="460">
        <f>F247+130</f>
        <v>8117.5</v>
      </c>
      <c r="Q247" s="288">
        <f>+P247*$X$1</f>
        <v>8117.5</v>
      </c>
      <c r="R247" s="460">
        <f>F247+110</f>
        <v>8097.5</v>
      </c>
      <c r="S247" s="288">
        <f>+R247*$X$1</f>
        <v>8097.5</v>
      </c>
      <c r="T247" s="102">
        <f>F247+95</f>
        <v>8082.5</v>
      </c>
      <c r="U247" s="305">
        <f>+T247*$X$1</f>
        <v>8082.5</v>
      </c>
      <c r="V247" s="102">
        <f>F247+80</f>
        <v>8067.5</v>
      </c>
      <c r="W247" s="305">
        <f>+V247*$X$1</f>
        <v>8067.5</v>
      </c>
      <c r="X247" s="677"/>
      <c r="Y247" s="694"/>
      <c r="Z247" s="694"/>
      <c r="AA247" s="679"/>
      <c r="AB247" s="192">
        <v>826</v>
      </c>
    </row>
    <row r="248" spans="1:28" ht="12.6" customHeight="1" x14ac:dyDescent="0.2">
      <c r="A248" s="18"/>
      <c r="B248" s="700" t="s">
        <v>881</v>
      </c>
      <c r="C248" s="712"/>
      <c r="D248" s="712"/>
      <c r="E248" s="712"/>
      <c r="F248" s="380">
        <f>2.9*X2</f>
        <v>3088.5</v>
      </c>
      <c r="G248" s="287">
        <f t="shared" ref="G248" si="580">+F248*$X$1</f>
        <v>3088.5</v>
      </c>
      <c r="H248" s="647">
        <f t="shared" ref="H248:H253" si="581">F248+500</f>
        <v>3588.5</v>
      </c>
      <c r="I248" s="287">
        <f t="shared" ref="I248:I253" si="582">+H248*$X$1</f>
        <v>3588.5</v>
      </c>
      <c r="J248" s="647">
        <f t="shared" ref="J248:J253" si="583">F248+220</f>
        <v>3308.5</v>
      </c>
      <c r="K248" s="287">
        <f t="shared" ref="K248:K253" si="584">+J248*$X$1</f>
        <v>3308.5</v>
      </c>
      <c r="L248" s="647">
        <f t="shared" ref="L248:L253" si="585">F248+170</f>
        <v>3258.5</v>
      </c>
      <c r="M248" s="287">
        <f t="shared" ref="M248:M253" si="586">+L248*$X$1</f>
        <v>3258.5</v>
      </c>
      <c r="N248" s="647">
        <f t="shared" ref="N248:N253" si="587">F248+145</f>
        <v>3233.5</v>
      </c>
      <c r="O248" s="287">
        <f t="shared" ref="O248:O253" si="588">+N248*$X$1</f>
        <v>3233.5</v>
      </c>
      <c r="P248" s="647">
        <f t="shared" ref="P248:P253" si="589">F248+130</f>
        <v>3218.5</v>
      </c>
      <c r="Q248" s="287">
        <f t="shared" ref="Q248:Q253" si="590">+P248*$X$1</f>
        <v>3218.5</v>
      </c>
      <c r="R248" s="647">
        <f t="shared" ref="R248:R253" si="591">F248+110</f>
        <v>3198.5</v>
      </c>
      <c r="S248" s="287">
        <f t="shared" ref="S248:S253" si="592">+R248*$X$1</f>
        <v>3198.5</v>
      </c>
      <c r="T248" s="103">
        <f t="shared" ref="T248:T253" si="593">F248+95</f>
        <v>3183.5</v>
      </c>
      <c r="U248" s="255">
        <f t="shared" ref="U248:U253" si="594">+T248*$X$1</f>
        <v>3183.5</v>
      </c>
      <c r="V248" s="103">
        <f t="shared" ref="V248:V253" si="595">F248+80</f>
        <v>3168.5</v>
      </c>
      <c r="W248" s="255">
        <f t="shared" ref="W248:W253" si="596">+V248*$X$1</f>
        <v>3168.5</v>
      </c>
      <c r="X248" s="677"/>
      <c r="Y248" s="694"/>
      <c r="Z248" s="694"/>
      <c r="AA248" s="679"/>
      <c r="AB248" s="192">
        <v>827</v>
      </c>
    </row>
    <row r="249" spans="1:28" ht="12.6" customHeight="1" x14ac:dyDescent="0.2">
      <c r="A249" s="18"/>
      <c r="B249" s="689" t="s">
        <v>700</v>
      </c>
      <c r="C249" s="690"/>
      <c r="D249" s="690"/>
      <c r="E249" s="690"/>
      <c r="F249" s="381">
        <f>8.75*X2</f>
        <v>9318.75</v>
      </c>
      <c r="G249" s="288">
        <f>+F249*$X$1</f>
        <v>9318.75</v>
      </c>
      <c r="H249" s="460">
        <f t="shared" si="581"/>
        <v>9818.75</v>
      </c>
      <c r="I249" s="288">
        <f t="shared" si="582"/>
        <v>9818.75</v>
      </c>
      <c r="J249" s="460">
        <f t="shared" si="583"/>
        <v>9538.75</v>
      </c>
      <c r="K249" s="288">
        <f t="shared" si="584"/>
        <v>9538.75</v>
      </c>
      <c r="L249" s="460">
        <f t="shared" si="585"/>
        <v>9488.75</v>
      </c>
      <c r="M249" s="288">
        <f t="shared" si="586"/>
        <v>9488.75</v>
      </c>
      <c r="N249" s="460">
        <f t="shared" si="587"/>
        <v>9463.75</v>
      </c>
      <c r="O249" s="288">
        <f t="shared" si="588"/>
        <v>9463.75</v>
      </c>
      <c r="P249" s="460">
        <f t="shared" si="589"/>
        <v>9448.75</v>
      </c>
      <c r="Q249" s="288">
        <f t="shared" si="590"/>
        <v>9448.75</v>
      </c>
      <c r="R249" s="460">
        <f t="shared" si="591"/>
        <v>9428.75</v>
      </c>
      <c r="S249" s="288">
        <f t="shared" si="592"/>
        <v>9428.75</v>
      </c>
      <c r="T249" s="102">
        <f t="shared" si="593"/>
        <v>9413.75</v>
      </c>
      <c r="U249" s="305">
        <f t="shared" si="594"/>
        <v>9413.75</v>
      </c>
      <c r="V249" s="102">
        <f t="shared" si="595"/>
        <v>9398.75</v>
      </c>
      <c r="W249" s="305">
        <f t="shared" si="596"/>
        <v>9398.75</v>
      </c>
      <c r="X249" s="677"/>
      <c r="Y249" s="694"/>
      <c r="Z249" s="694"/>
      <c r="AA249" s="679"/>
      <c r="AB249" s="192">
        <v>828</v>
      </c>
    </row>
    <row r="250" spans="1:28" ht="12.6" customHeight="1" x14ac:dyDescent="0.2">
      <c r="A250" s="18"/>
      <c r="B250" s="711" t="s">
        <v>625</v>
      </c>
      <c r="C250" s="712"/>
      <c r="D250" s="712"/>
      <c r="E250" s="712"/>
      <c r="F250" s="380">
        <f>3.612*X2</f>
        <v>3846.78</v>
      </c>
      <c r="G250" s="287">
        <f>+F250*$X$1</f>
        <v>3846.78</v>
      </c>
      <c r="H250" s="647">
        <f t="shared" si="581"/>
        <v>4346.7800000000007</v>
      </c>
      <c r="I250" s="287">
        <f t="shared" si="582"/>
        <v>4346.7800000000007</v>
      </c>
      <c r="J250" s="647">
        <f t="shared" si="583"/>
        <v>4066.78</v>
      </c>
      <c r="K250" s="287">
        <f t="shared" si="584"/>
        <v>4066.78</v>
      </c>
      <c r="L250" s="647">
        <f t="shared" si="585"/>
        <v>4016.78</v>
      </c>
      <c r="M250" s="287">
        <f t="shared" si="586"/>
        <v>4016.78</v>
      </c>
      <c r="N250" s="647">
        <f t="shared" si="587"/>
        <v>3991.78</v>
      </c>
      <c r="O250" s="287">
        <f t="shared" si="588"/>
        <v>3991.78</v>
      </c>
      <c r="P250" s="647">
        <f t="shared" si="589"/>
        <v>3976.78</v>
      </c>
      <c r="Q250" s="287">
        <f t="shared" si="590"/>
        <v>3976.78</v>
      </c>
      <c r="R250" s="647">
        <f t="shared" si="591"/>
        <v>3956.78</v>
      </c>
      <c r="S250" s="287">
        <f t="shared" si="592"/>
        <v>3956.78</v>
      </c>
      <c r="T250" s="103">
        <f t="shared" si="593"/>
        <v>3941.78</v>
      </c>
      <c r="U250" s="255">
        <f t="shared" si="594"/>
        <v>3941.78</v>
      </c>
      <c r="V250" s="103">
        <f t="shared" si="595"/>
        <v>3926.78</v>
      </c>
      <c r="W250" s="255">
        <f t="shared" si="596"/>
        <v>3926.78</v>
      </c>
      <c r="X250" s="677"/>
      <c r="Y250" s="694"/>
      <c r="Z250" s="694"/>
      <c r="AA250" s="679"/>
      <c r="AB250" s="192">
        <v>829</v>
      </c>
    </row>
    <row r="251" spans="1:28" ht="12.6" customHeight="1" x14ac:dyDescent="0.2">
      <c r="A251" s="18"/>
      <c r="B251" s="689" t="s">
        <v>847</v>
      </c>
      <c r="C251" s="690"/>
      <c r="D251" s="690"/>
      <c r="E251" s="690"/>
      <c r="F251" s="381">
        <f>7.75*X2</f>
        <v>8253.75</v>
      </c>
      <c r="G251" s="288">
        <f>+F251*$X$1</f>
        <v>8253.75</v>
      </c>
      <c r="H251" s="460">
        <f t="shared" si="581"/>
        <v>8753.75</v>
      </c>
      <c r="I251" s="288">
        <f t="shared" si="582"/>
        <v>8753.75</v>
      </c>
      <c r="J251" s="460">
        <f t="shared" si="583"/>
        <v>8473.75</v>
      </c>
      <c r="K251" s="288">
        <f t="shared" si="584"/>
        <v>8473.75</v>
      </c>
      <c r="L251" s="460">
        <f t="shared" si="585"/>
        <v>8423.75</v>
      </c>
      <c r="M251" s="288">
        <f t="shared" si="586"/>
        <v>8423.75</v>
      </c>
      <c r="N251" s="460">
        <f t="shared" si="587"/>
        <v>8398.75</v>
      </c>
      <c r="O251" s="288">
        <f t="shared" si="588"/>
        <v>8398.75</v>
      </c>
      <c r="P251" s="460">
        <f t="shared" si="589"/>
        <v>8383.75</v>
      </c>
      <c r="Q251" s="288">
        <f t="shared" si="590"/>
        <v>8383.75</v>
      </c>
      <c r="R251" s="460">
        <f t="shared" si="591"/>
        <v>8363.75</v>
      </c>
      <c r="S251" s="288">
        <f t="shared" si="592"/>
        <v>8363.75</v>
      </c>
      <c r="T251" s="102">
        <f t="shared" si="593"/>
        <v>8348.75</v>
      </c>
      <c r="U251" s="305">
        <f t="shared" si="594"/>
        <v>8348.75</v>
      </c>
      <c r="V251" s="102">
        <f t="shared" si="595"/>
        <v>8333.75</v>
      </c>
      <c r="W251" s="305">
        <f t="shared" si="596"/>
        <v>8333.75</v>
      </c>
      <c r="X251" s="677"/>
      <c r="Y251" s="694"/>
      <c r="Z251" s="694"/>
      <c r="AA251" s="679"/>
      <c r="AB251" s="192">
        <v>831</v>
      </c>
    </row>
    <row r="252" spans="1:28" ht="12.6" customHeight="1" x14ac:dyDescent="0.2">
      <c r="A252" s="18"/>
      <c r="B252" s="695" t="s">
        <v>904</v>
      </c>
      <c r="C252" s="696"/>
      <c r="D252" s="696"/>
      <c r="E252" s="696"/>
      <c r="F252" s="380">
        <f>2.81*X2</f>
        <v>2992.65</v>
      </c>
      <c r="G252" s="287">
        <f t="shared" ref="G252" si="597">+F252*$X$1</f>
        <v>2992.65</v>
      </c>
      <c r="H252" s="647">
        <f t="shared" si="581"/>
        <v>3492.65</v>
      </c>
      <c r="I252" s="287">
        <f t="shared" si="582"/>
        <v>3492.65</v>
      </c>
      <c r="J252" s="647">
        <f t="shared" si="583"/>
        <v>3212.65</v>
      </c>
      <c r="K252" s="287">
        <f t="shared" si="584"/>
        <v>3212.65</v>
      </c>
      <c r="L252" s="647">
        <f t="shared" si="585"/>
        <v>3162.65</v>
      </c>
      <c r="M252" s="287">
        <f t="shared" si="586"/>
        <v>3162.65</v>
      </c>
      <c r="N252" s="647">
        <f t="shared" si="587"/>
        <v>3137.65</v>
      </c>
      <c r="O252" s="287">
        <f t="shared" si="588"/>
        <v>3137.65</v>
      </c>
      <c r="P252" s="647">
        <f t="shared" si="589"/>
        <v>3122.65</v>
      </c>
      <c r="Q252" s="287">
        <f t="shared" si="590"/>
        <v>3122.65</v>
      </c>
      <c r="R252" s="647">
        <f t="shared" si="591"/>
        <v>3102.65</v>
      </c>
      <c r="S252" s="287">
        <f t="shared" si="592"/>
        <v>3102.65</v>
      </c>
      <c r="T252" s="103">
        <f t="shared" si="593"/>
        <v>3087.65</v>
      </c>
      <c r="U252" s="255">
        <f t="shared" si="594"/>
        <v>3087.65</v>
      </c>
      <c r="V252" s="103">
        <f t="shared" si="595"/>
        <v>3072.65</v>
      </c>
      <c r="W252" s="255">
        <f t="shared" si="596"/>
        <v>3072.65</v>
      </c>
      <c r="X252" s="677"/>
      <c r="Y252" s="694"/>
      <c r="Z252" s="694"/>
      <c r="AA252" s="679"/>
      <c r="AB252" s="192">
        <v>832</v>
      </c>
    </row>
    <row r="253" spans="1:28" ht="12.6" customHeight="1" x14ac:dyDescent="0.2">
      <c r="A253" s="18"/>
      <c r="B253" s="689" t="s">
        <v>569</v>
      </c>
      <c r="C253" s="690"/>
      <c r="D253" s="690"/>
      <c r="E253" s="690"/>
      <c r="F253" s="381">
        <f>11.8*X2</f>
        <v>12567</v>
      </c>
      <c r="G253" s="288">
        <f t="shared" ref="G253" si="598">+F253*$X$1</f>
        <v>12567</v>
      </c>
      <c r="H253" s="460">
        <f t="shared" si="581"/>
        <v>13067</v>
      </c>
      <c r="I253" s="288">
        <f t="shared" si="582"/>
        <v>13067</v>
      </c>
      <c r="J253" s="460">
        <f t="shared" si="583"/>
        <v>12787</v>
      </c>
      <c r="K253" s="288">
        <f t="shared" si="584"/>
        <v>12787</v>
      </c>
      <c r="L253" s="460">
        <f t="shared" si="585"/>
        <v>12737</v>
      </c>
      <c r="M253" s="288">
        <f t="shared" si="586"/>
        <v>12737</v>
      </c>
      <c r="N253" s="460">
        <f t="shared" si="587"/>
        <v>12712</v>
      </c>
      <c r="O253" s="288">
        <f t="shared" si="588"/>
        <v>12712</v>
      </c>
      <c r="P253" s="460">
        <f t="shared" si="589"/>
        <v>12697</v>
      </c>
      <c r="Q253" s="288">
        <f t="shared" si="590"/>
        <v>12697</v>
      </c>
      <c r="R253" s="460">
        <f t="shared" si="591"/>
        <v>12677</v>
      </c>
      <c r="S253" s="288">
        <f t="shared" si="592"/>
        <v>12677</v>
      </c>
      <c r="T253" s="102">
        <f t="shared" si="593"/>
        <v>12662</v>
      </c>
      <c r="U253" s="305">
        <f t="shared" si="594"/>
        <v>12662</v>
      </c>
      <c r="V253" s="102">
        <f t="shared" si="595"/>
        <v>12647</v>
      </c>
      <c r="W253" s="305">
        <f t="shared" si="596"/>
        <v>12647</v>
      </c>
      <c r="X253" s="677"/>
      <c r="Y253" s="694"/>
      <c r="Z253" s="694"/>
      <c r="AA253" s="679"/>
      <c r="AB253" s="192">
        <v>833</v>
      </c>
    </row>
    <row r="254" spans="1:28" ht="12.6" customHeight="1" x14ac:dyDescent="0.2">
      <c r="A254" s="18"/>
      <c r="B254" s="711" t="s">
        <v>621</v>
      </c>
      <c r="C254" s="712"/>
      <c r="D254" s="712"/>
      <c r="E254" s="712"/>
      <c r="F254" s="380">
        <f>7.35*X2</f>
        <v>7827.75</v>
      </c>
      <c r="G254" s="287">
        <f t="shared" ref="G254" si="599">+F254*$X$1</f>
        <v>7827.75</v>
      </c>
      <c r="H254" s="647">
        <f t="shared" ref="H254:H263" si="600">F254+500</f>
        <v>8327.75</v>
      </c>
      <c r="I254" s="287">
        <f t="shared" ref="I254:I263" si="601">+H254*$X$1</f>
        <v>8327.75</v>
      </c>
      <c r="J254" s="647">
        <f t="shared" ref="J254:J263" si="602">F254+220</f>
        <v>8047.75</v>
      </c>
      <c r="K254" s="287">
        <f t="shared" ref="K254:K263" si="603">+J254*$X$1</f>
        <v>8047.75</v>
      </c>
      <c r="L254" s="647">
        <f t="shared" ref="L254:L263" si="604">F254+170</f>
        <v>7997.75</v>
      </c>
      <c r="M254" s="287">
        <f t="shared" ref="M254:M263" si="605">+L254*$X$1</f>
        <v>7997.75</v>
      </c>
      <c r="N254" s="647">
        <f t="shared" ref="N254:N263" si="606">F254+145</f>
        <v>7972.75</v>
      </c>
      <c r="O254" s="287">
        <f t="shared" ref="O254:O263" si="607">+N254*$X$1</f>
        <v>7972.75</v>
      </c>
      <c r="P254" s="647">
        <f t="shared" ref="P254:P263" si="608">F254+130</f>
        <v>7957.75</v>
      </c>
      <c r="Q254" s="287">
        <f t="shared" ref="Q254:Q263" si="609">+P254*$X$1</f>
        <v>7957.75</v>
      </c>
      <c r="R254" s="647">
        <f t="shared" ref="R254:R263" si="610">F254+110</f>
        <v>7937.75</v>
      </c>
      <c r="S254" s="287">
        <f t="shared" ref="S254:S263" si="611">+R254*$X$1</f>
        <v>7937.75</v>
      </c>
      <c r="T254" s="103">
        <f t="shared" ref="T254:T263" si="612">F254+95</f>
        <v>7922.75</v>
      </c>
      <c r="U254" s="255">
        <f t="shared" ref="U254:U263" si="613">+T254*$X$1</f>
        <v>7922.75</v>
      </c>
      <c r="V254" s="103">
        <f t="shared" ref="V254:V263" si="614">F254+80</f>
        <v>7907.75</v>
      </c>
      <c r="W254" s="255">
        <f t="shared" ref="W254:W263" si="615">+V254*$X$1</f>
        <v>7907.75</v>
      </c>
      <c r="X254" s="677"/>
      <c r="Y254" s="694"/>
      <c r="Z254" s="694"/>
      <c r="AA254" s="679"/>
      <c r="AB254" s="192">
        <v>834</v>
      </c>
    </row>
    <row r="255" spans="1:28" ht="12.6" customHeight="1" x14ac:dyDescent="0.2">
      <c r="A255" s="18"/>
      <c r="B255" s="689" t="s">
        <v>623</v>
      </c>
      <c r="C255" s="690"/>
      <c r="D255" s="690"/>
      <c r="E255" s="690"/>
      <c r="F255" s="381">
        <f>7.2*X2</f>
        <v>7668</v>
      </c>
      <c r="G255" s="288">
        <f>+F255*$X$1</f>
        <v>7668</v>
      </c>
      <c r="H255" s="460">
        <f t="shared" si="600"/>
        <v>8168</v>
      </c>
      <c r="I255" s="288">
        <f t="shared" si="601"/>
        <v>8168</v>
      </c>
      <c r="J255" s="460">
        <f t="shared" si="602"/>
        <v>7888</v>
      </c>
      <c r="K255" s="288">
        <f t="shared" si="603"/>
        <v>7888</v>
      </c>
      <c r="L255" s="460">
        <f t="shared" si="604"/>
        <v>7838</v>
      </c>
      <c r="M255" s="288">
        <f t="shared" si="605"/>
        <v>7838</v>
      </c>
      <c r="N255" s="460">
        <f t="shared" si="606"/>
        <v>7813</v>
      </c>
      <c r="O255" s="288">
        <f t="shared" si="607"/>
        <v>7813</v>
      </c>
      <c r="P255" s="460">
        <f t="shared" si="608"/>
        <v>7798</v>
      </c>
      <c r="Q255" s="288">
        <f t="shared" si="609"/>
        <v>7798</v>
      </c>
      <c r="R255" s="460">
        <f t="shared" si="610"/>
        <v>7778</v>
      </c>
      <c r="S255" s="288">
        <f t="shared" si="611"/>
        <v>7778</v>
      </c>
      <c r="T255" s="102">
        <f t="shared" si="612"/>
        <v>7763</v>
      </c>
      <c r="U255" s="305">
        <f t="shared" si="613"/>
        <v>7763</v>
      </c>
      <c r="V255" s="102">
        <f t="shared" si="614"/>
        <v>7748</v>
      </c>
      <c r="W255" s="305">
        <f t="shared" si="615"/>
        <v>7748</v>
      </c>
      <c r="X255" s="677"/>
      <c r="Y255" s="694"/>
      <c r="Z255" s="694"/>
      <c r="AA255" s="679"/>
      <c r="AB255" s="192">
        <v>836</v>
      </c>
    </row>
    <row r="256" spans="1:28" ht="12.6" customHeight="1" x14ac:dyDescent="0.2">
      <c r="A256" s="18"/>
      <c r="B256" s="700" t="s">
        <v>871</v>
      </c>
      <c r="C256" s="712"/>
      <c r="D256" s="712"/>
      <c r="E256" s="712"/>
      <c r="F256" s="380">
        <f>4.8*X2</f>
        <v>5112</v>
      </c>
      <c r="G256" s="287">
        <f t="shared" ref="G256" si="616">+F256*$X$1</f>
        <v>5112</v>
      </c>
      <c r="H256" s="647">
        <f t="shared" si="600"/>
        <v>5612</v>
      </c>
      <c r="I256" s="287">
        <f t="shared" si="601"/>
        <v>5612</v>
      </c>
      <c r="J256" s="647">
        <f t="shared" si="602"/>
        <v>5332</v>
      </c>
      <c r="K256" s="287">
        <f t="shared" si="603"/>
        <v>5332</v>
      </c>
      <c r="L256" s="647">
        <f t="shared" si="604"/>
        <v>5282</v>
      </c>
      <c r="M256" s="287">
        <f t="shared" si="605"/>
        <v>5282</v>
      </c>
      <c r="N256" s="647">
        <f t="shared" si="606"/>
        <v>5257</v>
      </c>
      <c r="O256" s="287">
        <f t="shared" si="607"/>
        <v>5257</v>
      </c>
      <c r="P256" s="647">
        <f t="shared" si="608"/>
        <v>5242</v>
      </c>
      <c r="Q256" s="287">
        <f t="shared" si="609"/>
        <v>5242</v>
      </c>
      <c r="R256" s="647">
        <f t="shared" si="610"/>
        <v>5222</v>
      </c>
      <c r="S256" s="287">
        <f t="shared" si="611"/>
        <v>5222</v>
      </c>
      <c r="T256" s="103">
        <f t="shared" si="612"/>
        <v>5207</v>
      </c>
      <c r="U256" s="255">
        <f t="shared" si="613"/>
        <v>5207</v>
      </c>
      <c r="V256" s="103">
        <f t="shared" si="614"/>
        <v>5192</v>
      </c>
      <c r="W256" s="255">
        <f t="shared" si="615"/>
        <v>5192</v>
      </c>
      <c r="X256" s="677"/>
      <c r="Y256" s="694"/>
      <c r="Z256" s="694"/>
      <c r="AA256" s="679"/>
      <c r="AB256" s="192">
        <v>837</v>
      </c>
    </row>
    <row r="257" spans="1:28" ht="12.6" customHeight="1" x14ac:dyDescent="0.2">
      <c r="A257" s="18"/>
      <c r="B257" s="720" t="s">
        <v>955</v>
      </c>
      <c r="C257" s="696"/>
      <c r="D257" s="696"/>
      <c r="E257" s="696"/>
      <c r="F257" s="381">
        <f>7.98*X2</f>
        <v>8498.7000000000007</v>
      </c>
      <c r="G257" s="288">
        <f t="shared" ref="G257" si="617">+F257*$X$1</f>
        <v>8498.7000000000007</v>
      </c>
      <c r="H257" s="460">
        <f t="shared" ref="H257" si="618">F257+500</f>
        <v>8998.7000000000007</v>
      </c>
      <c r="I257" s="288">
        <f t="shared" ref="I257" si="619">+H257*$X$1</f>
        <v>8998.7000000000007</v>
      </c>
      <c r="J257" s="460">
        <f t="shared" ref="J257" si="620">F257+220</f>
        <v>8718.7000000000007</v>
      </c>
      <c r="K257" s="288">
        <f t="shared" ref="K257" si="621">+J257*$X$1</f>
        <v>8718.7000000000007</v>
      </c>
      <c r="L257" s="460">
        <f t="shared" ref="L257" si="622">F257+170</f>
        <v>8668.7000000000007</v>
      </c>
      <c r="M257" s="288">
        <f t="shared" ref="M257" si="623">+L257*$X$1</f>
        <v>8668.7000000000007</v>
      </c>
      <c r="N257" s="460">
        <f t="shared" ref="N257" si="624">F257+145</f>
        <v>8643.7000000000007</v>
      </c>
      <c r="O257" s="288">
        <f t="shared" ref="O257" si="625">+N257*$X$1</f>
        <v>8643.7000000000007</v>
      </c>
      <c r="P257" s="460">
        <f t="shared" ref="P257" si="626">F257+130</f>
        <v>8628.7000000000007</v>
      </c>
      <c r="Q257" s="288">
        <f t="shared" ref="Q257" si="627">+P257*$X$1</f>
        <v>8628.7000000000007</v>
      </c>
      <c r="R257" s="460">
        <f t="shared" ref="R257" si="628">F257+110</f>
        <v>8608.7000000000007</v>
      </c>
      <c r="S257" s="288">
        <f t="shared" ref="S257" si="629">+R257*$X$1</f>
        <v>8608.7000000000007</v>
      </c>
      <c r="T257" s="102">
        <f t="shared" ref="T257" si="630">F257+95</f>
        <v>8593.7000000000007</v>
      </c>
      <c r="U257" s="305">
        <f t="shared" ref="U257" si="631">+T257*$X$1</f>
        <v>8593.7000000000007</v>
      </c>
      <c r="V257" s="102">
        <f t="shared" ref="V257" si="632">F257+80</f>
        <v>8578.7000000000007</v>
      </c>
      <c r="W257" s="288">
        <f t="shared" si="615"/>
        <v>8578.7000000000007</v>
      </c>
      <c r="X257" s="677"/>
      <c r="Y257" s="694"/>
      <c r="Z257" s="694"/>
      <c r="AA257" s="679"/>
      <c r="AB257" s="192">
        <v>838</v>
      </c>
    </row>
    <row r="258" spans="1:28" ht="12.6" customHeight="1" x14ac:dyDescent="0.2">
      <c r="A258" s="18"/>
      <c r="B258" s="808" t="s">
        <v>496</v>
      </c>
      <c r="C258" s="816"/>
      <c r="D258" s="816"/>
      <c r="E258" s="816"/>
      <c r="F258" s="385">
        <f>7.23*X2</f>
        <v>7699.9500000000007</v>
      </c>
      <c r="G258" s="306">
        <f>+F258*$X$1</f>
        <v>7699.9500000000007</v>
      </c>
      <c r="H258" s="647">
        <f t="shared" si="600"/>
        <v>8199.9500000000007</v>
      </c>
      <c r="I258" s="287">
        <f t="shared" si="601"/>
        <v>8199.9500000000007</v>
      </c>
      <c r="J258" s="647">
        <f t="shared" si="602"/>
        <v>7919.9500000000007</v>
      </c>
      <c r="K258" s="287">
        <f t="shared" si="603"/>
        <v>7919.9500000000007</v>
      </c>
      <c r="L258" s="647">
        <f t="shared" si="604"/>
        <v>7869.9500000000007</v>
      </c>
      <c r="M258" s="287">
        <f t="shared" si="605"/>
        <v>7869.9500000000007</v>
      </c>
      <c r="N258" s="647">
        <f t="shared" si="606"/>
        <v>7844.9500000000007</v>
      </c>
      <c r="O258" s="287">
        <f t="shared" si="607"/>
        <v>7844.9500000000007</v>
      </c>
      <c r="P258" s="647">
        <f t="shared" si="608"/>
        <v>7829.9500000000007</v>
      </c>
      <c r="Q258" s="287">
        <f t="shared" si="609"/>
        <v>7829.9500000000007</v>
      </c>
      <c r="R258" s="647">
        <f t="shared" si="610"/>
        <v>7809.9500000000007</v>
      </c>
      <c r="S258" s="287">
        <f t="shared" si="611"/>
        <v>7809.9500000000007</v>
      </c>
      <c r="T258" s="103">
        <f t="shared" si="612"/>
        <v>7794.9500000000007</v>
      </c>
      <c r="U258" s="255">
        <f t="shared" si="613"/>
        <v>7794.9500000000007</v>
      </c>
      <c r="V258" s="103">
        <f t="shared" si="614"/>
        <v>7779.9500000000007</v>
      </c>
      <c r="W258" s="255">
        <f t="shared" si="615"/>
        <v>7779.9500000000007</v>
      </c>
      <c r="X258" s="677"/>
      <c r="Y258" s="694"/>
      <c r="Z258" s="694"/>
      <c r="AA258" s="679"/>
      <c r="AB258" s="405">
        <v>916</v>
      </c>
    </row>
    <row r="259" spans="1:28" ht="12.6" customHeight="1" x14ac:dyDescent="0.2">
      <c r="A259" s="18"/>
      <c r="B259" s="689" t="s">
        <v>800</v>
      </c>
      <c r="C259" s="690"/>
      <c r="D259" s="690"/>
      <c r="E259" s="690"/>
      <c r="F259" s="381">
        <f>6.41*X2</f>
        <v>6826.6500000000005</v>
      </c>
      <c r="G259" s="288">
        <f>+F259*$X$1</f>
        <v>6826.6500000000005</v>
      </c>
      <c r="H259" s="460">
        <f t="shared" si="600"/>
        <v>7326.6500000000005</v>
      </c>
      <c r="I259" s="288">
        <f t="shared" si="601"/>
        <v>7326.6500000000005</v>
      </c>
      <c r="J259" s="460">
        <f t="shared" si="602"/>
        <v>7046.6500000000005</v>
      </c>
      <c r="K259" s="288">
        <f t="shared" si="603"/>
        <v>7046.6500000000005</v>
      </c>
      <c r="L259" s="460">
        <f t="shared" si="604"/>
        <v>6996.6500000000005</v>
      </c>
      <c r="M259" s="288">
        <f t="shared" si="605"/>
        <v>6996.6500000000005</v>
      </c>
      <c r="N259" s="460">
        <f t="shared" si="606"/>
        <v>6971.6500000000005</v>
      </c>
      <c r="O259" s="288">
        <f t="shared" si="607"/>
        <v>6971.6500000000005</v>
      </c>
      <c r="P259" s="460">
        <f t="shared" si="608"/>
        <v>6956.6500000000005</v>
      </c>
      <c r="Q259" s="288">
        <f t="shared" si="609"/>
        <v>6956.6500000000005</v>
      </c>
      <c r="R259" s="460">
        <f t="shared" si="610"/>
        <v>6936.6500000000005</v>
      </c>
      <c r="S259" s="288">
        <f t="shared" si="611"/>
        <v>6936.6500000000005</v>
      </c>
      <c r="T259" s="102">
        <f t="shared" si="612"/>
        <v>6921.6500000000005</v>
      </c>
      <c r="U259" s="305">
        <f t="shared" si="613"/>
        <v>6921.6500000000005</v>
      </c>
      <c r="V259" s="102">
        <f t="shared" si="614"/>
        <v>6906.6500000000005</v>
      </c>
      <c r="W259" s="305">
        <f t="shared" si="615"/>
        <v>6906.6500000000005</v>
      </c>
      <c r="X259" s="677"/>
      <c r="Y259" s="694"/>
      <c r="Z259" s="694"/>
      <c r="AA259" s="679"/>
      <c r="AB259" s="192">
        <v>917</v>
      </c>
    </row>
    <row r="260" spans="1:28" ht="12.6" customHeight="1" x14ac:dyDescent="0.2">
      <c r="A260" s="18"/>
      <c r="B260" s="711" t="s">
        <v>200</v>
      </c>
      <c r="C260" s="712"/>
      <c r="D260" s="712"/>
      <c r="E260" s="712"/>
      <c r="F260" s="380">
        <f>9.93*X2</f>
        <v>10575.449999999999</v>
      </c>
      <c r="G260" s="287">
        <f>+F260*$X$1</f>
        <v>10575.449999999999</v>
      </c>
      <c r="H260" s="647">
        <f t="shared" si="600"/>
        <v>11075.449999999999</v>
      </c>
      <c r="I260" s="287">
        <f t="shared" si="601"/>
        <v>11075.449999999999</v>
      </c>
      <c r="J260" s="647">
        <f t="shared" si="602"/>
        <v>10795.449999999999</v>
      </c>
      <c r="K260" s="287">
        <f t="shared" si="603"/>
        <v>10795.449999999999</v>
      </c>
      <c r="L260" s="647">
        <f t="shared" si="604"/>
        <v>10745.449999999999</v>
      </c>
      <c r="M260" s="287">
        <f t="shared" si="605"/>
        <v>10745.449999999999</v>
      </c>
      <c r="N260" s="647">
        <f t="shared" si="606"/>
        <v>10720.449999999999</v>
      </c>
      <c r="O260" s="287">
        <f t="shared" si="607"/>
        <v>10720.449999999999</v>
      </c>
      <c r="P260" s="647">
        <f t="shared" si="608"/>
        <v>10705.449999999999</v>
      </c>
      <c r="Q260" s="287">
        <f t="shared" si="609"/>
        <v>10705.449999999999</v>
      </c>
      <c r="R260" s="647">
        <f t="shared" si="610"/>
        <v>10685.449999999999</v>
      </c>
      <c r="S260" s="287">
        <f t="shared" si="611"/>
        <v>10685.449999999999</v>
      </c>
      <c r="T260" s="103">
        <f t="shared" si="612"/>
        <v>10670.449999999999</v>
      </c>
      <c r="U260" s="255">
        <f t="shared" si="613"/>
        <v>10670.449999999999</v>
      </c>
      <c r="V260" s="103">
        <f t="shared" si="614"/>
        <v>10655.449999999999</v>
      </c>
      <c r="W260" s="255">
        <f t="shared" si="615"/>
        <v>10655.449999999999</v>
      </c>
      <c r="X260" s="1038"/>
      <c r="Y260" s="1039"/>
      <c r="Z260" s="1039"/>
      <c r="AA260" s="1040"/>
      <c r="AB260" s="416">
        <v>918</v>
      </c>
    </row>
    <row r="261" spans="1:28" ht="12.6" customHeight="1" x14ac:dyDescent="0.2">
      <c r="A261" s="18"/>
      <c r="B261" s="689" t="s">
        <v>444</v>
      </c>
      <c r="C261" s="690"/>
      <c r="D261" s="690"/>
      <c r="E261" s="690"/>
      <c r="F261" s="381">
        <f>8.9*X2</f>
        <v>9478.5</v>
      </c>
      <c r="G261" s="288">
        <f>+F261*$X$1</f>
        <v>9478.5</v>
      </c>
      <c r="H261" s="460">
        <f t="shared" si="600"/>
        <v>9978.5</v>
      </c>
      <c r="I261" s="288">
        <f t="shared" si="601"/>
        <v>9978.5</v>
      </c>
      <c r="J261" s="460">
        <f t="shared" si="602"/>
        <v>9698.5</v>
      </c>
      <c r="K261" s="288">
        <f t="shared" si="603"/>
        <v>9698.5</v>
      </c>
      <c r="L261" s="460">
        <f t="shared" si="604"/>
        <v>9648.5</v>
      </c>
      <c r="M261" s="288">
        <f t="shared" si="605"/>
        <v>9648.5</v>
      </c>
      <c r="N261" s="460">
        <f t="shared" si="606"/>
        <v>9623.5</v>
      </c>
      <c r="O261" s="288">
        <f t="shared" si="607"/>
        <v>9623.5</v>
      </c>
      <c r="P261" s="460">
        <f t="shared" si="608"/>
        <v>9608.5</v>
      </c>
      <c r="Q261" s="288">
        <f t="shared" si="609"/>
        <v>9608.5</v>
      </c>
      <c r="R261" s="460">
        <f t="shared" si="610"/>
        <v>9588.5</v>
      </c>
      <c r="S261" s="288">
        <f t="shared" si="611"/>
        <v>9588.5</v>
      </c>
      <c r="T261" s="102">
        <f t="shared" si="612"/>
        <v>9573.5</v>
      </c>
      <c r="U261" s="305">
        <f t="shared" si="613"/>
        <v>9573.5</v>
      </c>
      <c r="V261" s="102">
        <f t="shared" si="614"/>
        <v>9558.5</v>
      </c>
      <c r="W261" s="305">
        <f t="shared" si="615"/>
        <v>9558.5</v>
      </c>
      <c r="X261" s="677"/>
      <c r="Y261" s="678"/>
      <c r="Z261" s="678"/>
      <c r="AA261" s="679"/>
      <c r="AB261" s="192">
        <v>919</v>
      </c>
    </row>
    <row r="262" spans="1:28" ht="12.6" customHeight="1" x14ac:dyDescent="0.2">
      <c r="A262" s="18"/>
      <c r="B262" s="711" t="s">
        <v>820</v>
      </c>
      <c r="C262" s="712"/>
      <c r="D262" s="712"/>
      <c r="E262" s="712"/>
      <c r="F262" s="380">
        <f>7.5*X2</f>
        <v>7987.5</v>
      </c>
      <c r="G262" s="287">
        <f t="shared" ref="G262:G267" si="633">+F262*$X$1</f>
        <v>7987.5</v>
      </c>
      <c r="H262" s="647">
        <f t="shared" si="600"/>
        <v>8487.5</v>
      </c>
      <c r="I262" s="287">
        <f t="shared" si="601"/>
        <v>8487.5</v>
      </c>
      <c r="J262" s="647">
        <f t="shared" si="602"/>
        <v>8207.5</v>
      </c>
      <c r="K262" s="287">
        <f t="shared" si="603"/>
        <v>8207.5</v>
      </c>
      <c r="L262" s="647">
        <f t="shared" si="604"/>
        <v>8157.5</v>
      </c>
      <c r="M262" s="287">
        <f t="shared" si="605"/>
        <v>8157.5</v>
      </c>
      <c r="N262" s="647">
        <f t="shared" si="606"/>
        <v>8132.5</v>
      </c>
      <c r="O262" s="287">
        <f t="shared" si="607"/>
        <v>8132.5</v>
      </c>
      <c r="P262" s="647">
        <f t="shared" si="608"/>
        <v>8117.5</v>
      </c>
      <c r="Q262" s="287">
        <f t="shared" si="609"/>
        <v>8117.5</v>
      </c>
      <c r="R262" s="647">
        <f t="shared" si="610"/>
        <v>8097.5</v>
      </c>
      <c r="S262" s="287">
        <f t="shared" si="611"/>
        <v>8097.5</v>
      </c>
      <c r="T262" s="103">
        <f t="shared" si="612"/>
        <v>8082.5</v>
      </c>
      <c r="U262" s="255">
        <f t="shared" si="613"/>
        <v>8082.5</v>
      </c>
      <c r="V262" s="103">
        <f t="shared" si="614"/>
        <v>8067.5</v>
      </c>
      <c r="W262" s="255">
        <f t="shared" si="615"/>
        <v>8067.5</v>
      </c>
      <c r="X262" s="677"/>
      <c r="Y262" s="694"/>
      <c r="Z262" s="694"/>
      <c r="AA262" s="679"/>
      <c r="AB262" s="192">
        <v>920</v>
      </c>
    </row>
    <row r="263" spans="1:28" ht="12.6" customHeight="1" x14ac:dyDescent="0.2">
      <c r="A263" s="18"/>
      <c r="B263" s="689" t="s">
        <v>819</v>
      </c>
      <c r="C263" s="690"/>
      <c r="D263" s="690"/>
      <c r="E263" s="690"/>
      <c r="F263" s="381">
        <f>7.5*X2</f>
        <v>7987.5</v>
      </c>
      <c r="G263" s="288">
        <f t="shared" ref="G263" si="634">+F263*$X$1</f>
        <v>7987.5</v>
      </c>
      <c r="H263" s="460">
        <f t="shared" si="600"/>
        <v>8487.5</v>
      </c>
      <c r="I263" s="288">
        <f t="shared" si="601"/>
        <v>8487.5</v>
      </c>
      <c r="J263" s="460">
        <f t="shared" si="602"/>
        <v>8207.5</v>
      </c>
      <c r="K263" s="288">
        <f t="shared" si="603"/>
        <v>8207.5</v>
      </c>
      <c r="L263" s="460">
        <f t="shared" si="604"/>
        <v>8157.5</v>
      </c>
      <c r="M263" s="288">
        <f t="shared" si="605"/>
        <v>8157.5</v>
      </c>
      <c r="N263" s="460">
        <f t="shared" si="606"/>
        <v>8132.5</v>
      </c>
      <c r="O263" s="288">
        <f t="shared" si="607"/>
        <v>8132.5</v>
      </c>
      <c r="P263" s="460">
        <f t="shared" si="608"/>
        <v>8117.5</v>
      </c>
      <c r="Q263" s="288">
        <f t="shared" si="609"/>
        <v>8117.5</v>
      </c>
      <c r="R263" s="460">
        <f t="shared" si="610"/>
        <v>8097.5</v>
      </c>
      <c r="S263" s="288">
        <f t="shared" si="611"/>
        <v>8097.5</v>
      </c>
      <c r="T263" s="102">
        <f t="shared" si="612"/>
        <v>8082.5</v>
      </c>
      <c r="U263" s="305">
        <f t="shared" si="613"/>
        <v>8082.5</v>
      </c>
      <c r="V263" s="102">
        <f t="shared" si="614"/>
        <v>8067.5</v>
      </c>
      <c r="W263" s="305">
        <f t="shared" si="615"/>
        <v>8067.5</v>
      </c>
      <c r="X263" s="677"/>
      <c r="Y263" s="694"/>
      <c r="Z263" s="694"/>
      <c r="AA263" s="679"/>
      <c r="AB263" s="192" t="s">
        <v>821</v>
      </c>
    </row>
    <row r="264" spans="1:28" ht="12.6" customHeight="1" x14ac:dyDescent="0.2">
      <c r="A264" s="18"/>
      <c r="B264" s="711" t="s">
        <v>872</v>
      </c>
      <c r="C264" s="712"/>
      <c r="D264" s="712"/>
      <c r="E264" s="712"/>
      <c r="F264" s="380">
        <f>7.4*X2</f>
        <v>7881</v>
      </c>
      <c r="G264" s="287">
        <f t="shared" ref="G264:G266" si="635">+F264*$X$1</f>
        <v>7881</v>
      </c>
      <c r="H264" s="647">
        <f t="shared" ref="H264:H277" si="636">F264+500</f>
        <v>8381</v>
      </c>
      <c r="I264" s="287">
        <f t="shared" ref="I264:I276" si="637">+H264*$X$1</f>
        <v>8381</v>
      </c>
      <c r="J264" s="647">
        <f t="shared" ref="J264:J276" si="638">F264+220</f>
        <v>8101</v>
      </c>
      <c r="K264" s="287">
        <f t="shared" ref="K264:K276" si="639">+J264*$X$1</f>
        <v>8101</v>
      </c>
      <c r="L264" s="647">
        <f t="shared" ref="L264:L276" si="640">F264+170</f>
        <v>8051</v>
      </c>
      <c r="M264" s="287">
        <f t="shared" ref="M264:M276" si="641">+L264*$X$1</f>
        <v>8051</v>
      </c>
      <c r="N264" s="647">
        <f t="shared" ref="N264:N276" si="642">F264+145</f>
        <v>8026</v>
      </c>
      <c r="O264" s="287">
        <f t="shared" ref="O264:O276" si="643">+N264*$X$1</f>
        <v>8026</v>
      </c>
      <c r="P264" s="647">
        <f t="shared" ref="P264:P276" si="644">F264+130</f>
        <v>8011</v>
      </c>
      <c r="Q264" s="287">
        <f t="shared" ref="Q264:Q276" si="645">+P264*$X$1</f>
        <v>8011</v>
      </c>
      <c r="R264" s="647">
        <f t="shared" ref="R264:R276" si="646">F264+110</f>
        <v>7991</v>
      </c>
      <c r="S264" s="287">
        <f t="shared" ref="S264:S276" si="647">+R264*$X$1</f>
        <v>7991</v>
      </c>
      <c r="T264" s="103">
        <f t="shared" ref="T264:T276" si="648">F264+95</f>
        <v>7976</v>
      </c>
      <c r="U264" s="255">
        <f t="shared" ref="U264:U276" si="649">+T264*$X$1</f>
        <v>7976</v>
      </c>
      <c r="V264" s="103">
        <f t="shared" ref="V264:V276" si="650">F264+80</f>
        <v>7961</v>
      </c>
      <c r="W264" s="255">
        <f t="shared" ref="W264:W276" si="651">+V264*$X$1</f>
        <v>7961</v>
      </c>
      <c r="X264" s="677"/>
      <c r="Y264" s="694"/>
      <c r="Z264" s="694"/>
      <c r="AA264" s="679"/>
      <c r="AB264" s="192" t="s">
        <v>873</v>
      </c>
    </row>
    <row r="265" spans="1:28" ht="12.6" customHeight="1" x14ac:dyDescent="0.2">
      <c r="A265" s="18"/>
      <c r="B265" s="1244" t="s">
        <v>962</v>
      </c>
      <c r="C265" s="722"/>
      <c r="D265" s="722"/>
      <c r="E265" s="722"/>
      <c r="F265" s="551">
        <f>4.7*X2</f>
        <v>5005.5</v>
      </c>
      <c r="G265" s="546">
        <f t="shared" ref="G265" si="652">+F265*$X$1</f>
        <v>5005.5</v>
      </c>
      <c r="H265" s="646">
        <f t="shared" ref="H265" si="653">F265+500</f>
        <v>5505.5</v>
      </c>
      <c r="I265" s="546">
        <f t="shared" ref="I265" si="654">+H265*$X$1</f>
        <v>5505.5</v>
      </c>
      <c r="J265" s="646">
        <f t="shared" ref="J265" si="655">F265+220</f>
        <v>5225.5</v>
      </c>
      <c r="K265" s="546">
        <f t="shared" ref="K265" si="656">+J265*$X$1</f>
        <v>5225.5</v>
      </c>
      <c r="L265" s="646">
        <f t="shared" ref="L265" si="657">F265+170</f>
        <v>5175.5</v>
      </c>
      <c r="M265" s="546">
        <f t="shared" ref="M265" si="658">+L265*$X$1</f>
        <v>5175.5</v>
      </c>
      <c r="N265" s="646">
        <f t="shared" ref="N265" si="659">F265+145</f>
        <v>5150.5</v>
      </c>
      <c r="O265" s="546">
        <f t="shared" ref="O265" si="660">+N265*$X$1</f>
        <v>5150.5</v>
      </c>
      <c r="P265" s="646">
        <f t="shared" ref="P265" si="661">F265+130</f>
        <v>5135.5</v>
      </c>
      <c r="Q265" s="546">
        <f t="shared" ref="Q265" si="662">+P265*$X$1</f>
        <v>5135.5</v>
      </c>
      <c r="R265" s="646">
        <f t="shared" ref="R265" si="663">F265+110</f>
        <v>5115.5</v>
      </c>
      <c r="S265" s="546">
        <f t="shared" ref="S265" si="664">+R265*$X$1</f>
        <v>5115.5</v>
      </c>
      <c r="T265" s="558">
        <f t="shared" ref="T265" si="665">F265+95</f>
        <v>5100.5</v>
      </c>
      <c r="U265" s="557">
        <f t="shared" ref="U265" si="666">+T265*$X$1</f>
        <v>5100.5</v>
      </c>
      <c r="V265" s="558">
        <f t="shared" ref="V265" si="667">F265+80</f>
        <v>5085.5</v>
      </c>
      <c r="W265" s="557">
        <f t="shared" ref="W265" si="668">+V265*$X$1</f>
        <v>5085.5</v>
      </c>
      <c r="X265" s="677"/>
      <c r="Y265" s="694"/>
      <c r="Z265" s="694"/>
      <c r="AA265" s="679"/>
      <c r="AB265" s="192">
        <v>922</v>
      </c>
    </row>
    <row r="266" spans="1:28" ht="12.6" customHeight="1" x14ac:dyDescent="0.2">
      <c r="A266" s="18"/>
      <c r="B266" s="720" t="s">
        <v>920</v>
      </c>
      <c r="C266" s="696"/>
      <c r="D266" s="696"/>
      <c r="E266" s="696"/>
      <c r="F266" s="380">
        <f>6.39*X2</f>
        <v>6805.3499999999995</v>
      </c>
      <c r="G266" s="287">
        <f t="shared" si="635"/>
        <v>6805.3499999999995</v>
      </c>
      <c r="H266" s="594">
        <f t="shared" si="636"/>
        <v>7305.3499999999995</v>
      </c>
      <c r="I266" s="287">
        <f t="shared" si="637"/>
        <v>7305.3499999999995</v>
      </c>
      <c r="J266" s="594">
        <f t="shared" si="638"/>
        <v>7025.3499999999995</v>
      </c>
      <c r="K266" s="287">
        <f t="shared" si="639"/>
        <v>7025.3499999999995</v>
      </c>
      <c r="L266" s="594">
        <f t="shared" si="640"/>
        <v>6975.3499999999995</v>
      </c>
      <c r="M266" s="287">
        <f t="shared" si="641"/>
        <v>6975.3499999999995</v>
      </c>
      <c r="N266" s="594">
        <f t="shared" si="642"/>
        <v>6950.3499999999995</v>
      </c>
      <c r="O266" s="287">
        <f t="shared" si="643"/>
        <v>6950.3499999999995</v>
      </c>
      <c r="P266" s="594">
        <f t="shared" si="644"/>
        <v>6935.3499999999995</v>
      </c>
      <c r="Q266" s="287">
        <f t="shared" si="645"/>
        <v>6935.3499999999995</v>
      </c>
      <c r="R266" s="594">
        <f t="shared" si="646"/>
        <v>6915.3499999999995</v>
      </c>
      <c r="S266" s="287">
        <f t="shared" si="647"/>
        <v>6915.3499999999995</v>
      </c>
      <c r="T266" s="103">
        <f t="shared" si="648"/>
        <v>6900.3499999999995</v>
      </c>
      <c r="U266" s="255">
        <f t="shared" si="649"/>
        <v>6900.3499999999995</v>
      </c>
      <c r="V266" s="103">
        <f t="shared" si="650"/>
        <v>6885.3499999999995</v>
      </c>
      <c r="W266" s="255">
        <f t="shared" si="651"/>
        <v>6885.3499999999995</v>
      </c>
      <c r="X266" s="677"/>
      <c r="Y266" s="694"/>
      <c r="Z266" s="694"/>
      <c r="AA266" s="679"/>
      <c r="AB266" s="192">
        <v>923</v>
      </c>
    </row>
    <row r="267" spans="1:28" ht="12.6" customHeight="1" x14ac:dyDescent="0.2">
      <c r="A267" s="18"/>
      <c r="B267" s="689" t="s">
        <v>801</v>
      </c>
      <c r="C267" s="690"/>
      <c r="D267" s="690"/>
      <c r="E267" s="690"/>
      <c r="F267" s="381">
        <f>5.7*X2</f>
        <v>6070.5</v>
      </c>
      <c r="G267" s="288">
        <f t="shared" si="633"/>
        <v>6070.5</v>
      </c>
      <c r="H267" s="460">
        <f t="shared" si="636"/>
        <v>6570.5</v>
      </c>
      <c r="I267" s="288">
        <f t="shared" si="637"/>
        <v>6570.5</v>
      </c>
      <c r="J267" s="460">
        <f t="shared" si="638"/>
        <v>6290.5</v>
      </c>
      <c r="K267" s="288">
        <f t="shared" si="639"/>
        <v>6290.5</v>
      </c>
      <c r="L267" s="460">
        <f t="shared" si="640"/>
        <v>6240.5</v>
      </c>
      <c r="M267" s="288">
        <f t="shared" si="641"/>
        <v>6240.5</v>
      </c>
      <c r="N267" s="460">
        <f t="shared" si="642"/>
        <v>6215.5</v>
      </c>
      <c r="O267" s="288">
        <f t="shared" si="643"/>
        <v>6215.5</v>
      </c>
      <c r="P267" s="460">
        <f t="shared" si="644"/>
        <v>6200.5</v>
      </c>
      <c r="Q267" s="288">
        <f t="shared" si="645"/>
        <v>6200.5</v>
      </c>
      <c r="R267" s="460">
        <f t="shared" si="646"/>
        <v>6180.5</v>
      </c>
      <c r="S267" s="288">
        <f t="shared" si="647"/>
        <v>6180.5</v>
      </c>
      <c r="T267" s="102">
        <f t="shared" si="648"/>
        <v>6165.5</v>
      </c>
      <c r="U267" s="305">
        <f t="shared" si="649"/>
        <v>6165.5</v>
      </c>
      <c r="V267" s="102">
        <f t="shared" si="650"/>
        <v>6150.5</v>
      </c>
      <c r="W267" s="305">
        <f t="shared" si="651"/>
        <v>6150.5</v>
      </c>
      <c r="X267" s="687"/>
      <c r="Y267" s="717"/>
      <c r="Z267" s="717"/>
      <c r="AA267" s="688"/>
      <c r="AB267" s="192" t="s">
        <v>802</v>
      </c>
    </row>
    <row r="268" spans="1:28" ht="12.6" customHeight="1" x14ac:dyDescent="0.2">
      <c r="A268" s="18"/>
      <c r="B268" s="695" t="s">
        <v>943</v>
      </c>
      <c r="C268" s="696"/>
      <c r="D268" s="696"/>
      <c r="E268" s="696"/>
      <c r="F268" s="380">
        <f>1.07*X2</f>
        <v>1139.55</v>
      </c>
      <c r="G268" s="287">
        <f t="shared" ref="G268" si="669">+F268*$X$1</f>
        <v>1139.55</v>
      </c>
      <c r="H268" s="594"/>
      <c r="I268" s="287"/>
      <c r="J268" s="594">
        <f t="shared" si="638"/>
        <v>1359.55</v>
      </c>
      <c r="K268" s="287">
        <f t="shared" si="639"/>
        <v>1359.55</v>
      </c>
      <c r="L268" s="594">
        <f t="shared" si="640"/>
        <v>1309.55</v>
      </c>
      <c r="M268" s="287">
        <f t="shared" si="641"/>
        <v>1309.55</v>
      </c>
      <c r="N268" s="594">
        <f t="shared" si="642"/>
        <v>1284.55</v>
      </c>
      <c r="O268" s="287">
        <f t="shared" si="643"/>
        <v>1284.55</v>
      </c>
      <c r="P268" s="594">
        <f t="shared" si="644"/>
        <v>1269.55</v>
      </c>
      <c r="Q268" s="287">
        <f t="shared" si="645"/>
        <v>1269.55</v>
      </c>
      <c r="R268" s="594">
        <f t="shared" si="646"/>
        <v>1249.55</v>
      </c>
      <c r="S268" s="287">
        <f t="shared" si="647"/>
        <v>1249.55</v>
      </c>
      <c r="T268" s="103">
        <f t="shared" si="648"/>
        <v>1234.55</v>
      </c>
      <c r="U268" s="255">
        <f t="shared" si="649"/>
        <v>1234.55</v>
      </c>
      <c r="V268" s="103">
        <f t="shared" si="650"/>
        <v>1219.55</v>
      </c>
      <c r="W268" s="255">
        <f t="shared" si="651"/>
        <v>1219.55</v>
      </c>
      <c r="X268" s="677"/>
      <c r="Y268" s="694"/>
      <c r="Z268" s="694"/>
      <c r="AA268" s="679"/>
      <c r="AB268" s="192">
        <v>927</v>
      </c>
    </row>
    <row r="269" spans="1:28" ht="12.6" customHeight="1" x14ac:dyDescent="0.2">
      <c r="A269" s="104"/>
      <c r="B269" s="689" t="s">
        <v>432</v>
      </c>
      <c r="C269" s="690"/>
      <c r="D269" s="690"/>
      <c r="E269" s="690"/>
      <c r="F269" s="381">
        <f>7*X2</f>
        <v>7455</v>
      </c>
      <c r="G269" s="288">
        <f t="shared" ref="G269:G272" si="670">+F269*$X$1</f>
        <v>7455</v>
      </c>
      <c r="H269" s="460">
        <f t="shared" si="636"/>
        <v>7955</v>
      </c>
      <c r="I269" s="288">
        <f t="shared" si="637"/>
        <v>7955</v>
      </c>
      <c r="J269" s="460">
        <f t="shared" si="638"/>
        <v>7675</v>
      </c>
      <c r="K269" s="288">
        <f t="shared" si="639"/>
        <v>7675</v>
      </c>
      <c r="L269" s="460">
        <f t="shared" si="640"/>
        <v>7625</v>
      </c>
      <c r="M269" s="288">
        <f t="shared" si="641"/>
        <v>7625</v>
      </c>
      <c r="N269" s="460">
        <f t="shared" si="642"/>
        <v>7600</v>
      </c>
      <c r="O269" s="288">
        <f t="shared" si="643"/>
        <v>7600</v>
      </c>
      <c r="P269" s="460">
        <f t="shared" si="644"/>
        <v>7585</v>
      </c>
      <c r="Q269" s="288">
        <f t="shared" si="645"/>
        <v>7585</v>
      </c>
      <c r="R269" s="460">
        <f t="shared" si="646"/>
        <v>7565</v>
      </c>
      <c r="S269" s="288">
        <f t="shared" si="647"/>
        <v>7565</v>
      </c>
      <c r="T269" s="102">
        <f t="shared" si="648"/>
        <v>7550</v>
      </c>
      <c r="U269" s="305">
        <f t="shared" si="649"/>
        <v>7550</v>
      </c>
      <c r="V269" s="102">
        <f t="shared" si="650"/>
        <v>7535</v>
      </c>
      <c r="W269" s="305">
        <f t="shared" si="651"/>
        <v>7535</v>
      </c>
      <c r="X269" s="677"/>
      <c r="Y269" s="694"/>
      <c r="Z269" s="694"/>
      <c r="AA269" s="679"/>
      <c r="AB269" s="192">
        <v>928</v>
      </c>
    </row>
    <row r="270" spans="1:28" ht="12.6" customHeight="1" x14ac:dyDescent="0.2">
      <c r="A270" s="18"/>
      <c r="B270" s="711" t="s">
        <v>393</v>
      </c>
      <c r="C270" s="712"/>
      <c r="D270" s="712"/>
      <c r="E270" s="712"/>
      <c r="F270" s="380">
        <f>7.29*X2</f>
        <v>7763.85</v>
      </c>
      <c r="G270" s="287">
        <f t="shared" si="670"/>
        <v>7763.85</v>
      </c>
      <c r="H270" s="542">
        <f t="shared" si="636"/>
        <v>8263.85</v>
      </c>
      <c r="I270" s="287">
        <f t="shared" si="637"/>
        <v>8263.85</v>
      </c>
      <c r="J270" s="542">
        <f t="shared" si="638"/>
        <v>7983.85</v>
      </c>
      <c r="K270" s="287">
        <f t="shared" si="639"/>
        <v>7983.85</v>
      </c>
      <c r="L270" s="542">
        <f t="shared" si="640"/>
        <v>7933.85</v>
      </c>
      <c r="M270" s="287">
        <f t="shared" si="641"/>
        <v>7933.85</v>
      </c>
      <c r="N270" s="542">
        <f t="shared" si="642"/>
        <v>7908.85</v>
      </c>
      <c r="O270" s="287">
        <f t="shared" si="643"/>
        <v>7908.85</v>
      </c>
      <c r="P270" s="542">
        <f t="shared" si="644"/>
        <v>7893.85</v>
      </c>
      <c r="Q270" s="287">
        <f t="shared" si="645"/>
        <v>7893.85</v>
      </c>
      <c r="R270" s="542">
        <f t="shared" si="646"/>
        <v>7873.85</v>
      </c>
      <c r="S270" s="287">
        <f t="shared" si="647"/>
        <v>7873.85</v>
      </c>
      <c r="T270" s="103">
        <f t="shared" si="648"/>
        <v>7858.85</v>
      </c>
      <c r="U270" s="255">
        <f t="shared" si="649"/>
        <v>7858.85</v>
      </c>
      <c r="V270" s="103">
        <f t="shared" si="650"/>
        <v>7843.85</v>
      </c>
      <c r="W270" s="255">
        <f t="shared" si="651"/>
        <v>7843.85</v>
      </c>
      <c r="X270" s="677"/>
      <c r="Y270" s="678"/>
      <c r="Z270" s="678"/>
      <c r="AA270" s="679"/>
      <c r="AB270" s="192">
        <v>931</v>
      </c>
    </row>
    <row r="271" spans="1:28" ht="12.6" customHeight="1" x14ac:dyDescent="0.2">
      <c r="A271" s="18"/>
      <c r="B271" s="689" t="s">
        <v>799</v>
      </c>
      <c r="C271" s="690"/>
      <c r="D271" s="690"/>
      <c r="E271" s="690"/>
      <c r="F271" s="381">
        <f>2.98*X2</f>
        <v>3173.7</v>
      </c>
      <c r="G271" s="288">
        <f t="shared" si="670"/>
        <v>3173.7</v>
      </c>
      <c r="H271" s="460">
        <f t="shared" si="636"/>
        <v>3673.7</v>
      </c>
      <c r="I271" s="288">
        <f t="shared" si="637"/>
        <v>3673.7</v>
      </c>
      <c r="J271" s="460">
        <f t="shared" si="638"/>
        <v>3393.7</v>
      </c>
      <c r="K271" s="288">
        <f t="shared" si="639"/>
        <v>3393.7</v>
      </c>
      <c r="L271" s="460">
        <f t="shared" si="640"/>
        <v>3343.7</v>
      </c>
      <c r="M271" s="288">
        <f t="shared" si="641"/>
        <v>3343.7</v>
      </c>
      <c r="N271" s="460">
        <f t="shared" si="642"/>
        <v>3318.7</v>
      </c>
      <c r="O271" s="288">
        <f t="shared" si="643"/>
        <v>3318.7</v>
      </c>
      <c r="P271" s="460">
        <f t="shared" si="644"/>
        <v>3303.7</v>
      </c>
      <c r="Q271" s="288">
        <f t="shared" si="645"/>
        <v>3303.7</v>
      </c>
      <c r="R271" s="460">
        <f t="shared" si="646"/>
        <v>3283.7</v>
      </c>
      <c r="S271" s="288">
        <f t="shared" si="647"/>
        <v>3283.7</v>
      </c>
      <c r="T271" s="102">
        <f t="shared" si="648"/>
        <v>3268.7</v>
      </c>
      <c r="U271" s="305">
        <f t="shared" si="649"/>
        <v>3268.7</v>
      </c>
      <c r="V271" s="102">
        <f t="shared" si="650"/>
        <v>3253.7</v>
      </c>
      <c r="W271" s="305">
        <f t="shared" si="651"/>
        <v>3253.7</v>
      </c>
      <c r="X271" s="677"/>
      <c r="Y271" s="678"/>
      <c r="Z271" s="678"/>
      <c r="AA271" s="679"/>
      <c r="AB271" s="192">
        <v>933</v>
      </c>
    </row>
    <row r="272" spans="1:28" ht="12.6" customHeight="1" x14ac:dyDescent="0.2">
      <c r="A272" s="18"/>
      <c r="B272" s="711" t="s">
        <v>591</v>
      </c>
      <c r="C272" s="712"/>
      <c r="D272" s="712"/>
      <c r="E272" s="712"/>
      <c r="F272" s="380">
        <f>7.55*X2</f>
        <v>8040.75</v>
      </c>
      <c r="G272" s="287">
        <f t="shared" si="670"/>
        <v>8040.75</v>
      </c>
      <c r="H272" s="542">
        <f t="shared" si="636"/>
        <v>8540.75</v>
      </c>
      <c r="I272" s="287">
        <f t="shared" si="637"/>
        <v>8540.75</v>
      </c>
      <c r="J272" s="542">
        <f t="shared" si="638"/>
        <v>8260.75</v>
      </c>
      <c r="K272" s="287">
        <f t="shared" si="639"/>
        <v>8260.75</v>
      </c>
      <c r="L272" s="542">
        <f t="shared" si="640"/>
        <v>8210.75</v>
      </c>
      <c r="M272" s="287">
        <f t="shared" si="641"/>
        <v>8210.75</v>
      </c>
      <c r="N272" s="542">
        <f t="shared" si="642"/>
        <v>8185.75</v>
      </c>
      <c r="O272" s="287">
        <f t="shared" si="643"/>
        <v>8185.75</v>
      </c>
      <c r="P272" s="542">
        <f t="shared" si="644"/>
        <v>8170.75</v>
      </c>
      <c r="Q272" s="287">
        <f t="shared" si="645"/>
        <v>8170.75</v>
      </c>
      <c r="R272" s="542">
        <f t="shared" si="646"/>
        <v>8150.75</v>
      </c>
      <c r="S272" s="287">
        <f t="shared" si="647"/>
        <v>8150.75</v>
      </c>
      <c r="T272" s="103">
        <f t="shared" si="648"/>
        <v>8135.75</v>
      </c>
      <c r="U272" s="255">
        <f t="shared" si="649"/>
        <v>8135.75</v>
      </c>
      <c r="V272" s="103">
        <f t="shared" si="650"/>
        <v>8120.75</v>
      </c>
      <c r="W272" s="255">
        <f t="shared" si="651"/>
        <v>8120.75</v>
      </c>
      <c r="X272" s="378"/>
      <c r="Y272" s="378"/>
      <c r="Z272" s="378"/>
      <c r="AA272" s="378"/>
      <c r="AB272" s="192">
        <v>935</v>
      </c>
    </row>
    <row r="273" spans="1:38" ht="12.6" customHeight="1" x14ac:dyDescent="0.2">
      <c r="A273" s="18"/>
      <c r="B273" s="689" t="s">
        <v>624</v>
      </c>
      <c r="C273" s="690"/>
      <c r="D273" s="690"/>
      <c r="E273" s="690"/>
      <c r="F273" s="381">
        <f>10*X2</f>
        <v>10650</v>
      </c>
      <c r="G273" s="288">
        <f t="shared" ref="G273" si="671">+F273*$X$1</f>
        <v>10650</v>
      </c>
      <c r="H273" s="460">
        <f t="shared" si="636"/>
        <v>11150</v>
      </c>
      <c r="I273" s="288">
        <f t="shared" si="637"/>
        <v>11150</v>
      </c>
      <c r="J273" s="460">
        <f t="shared" si="638"/>
        <v>10870</v>
      </c>
      <c r="K273" s="288">
        <f t="shared" si="639"/>
        <v>10870</v>
      </c>
      <c r="L273" s="460">
        <f t="shared" si="640"/>
        <v>10820</v>
      </c>
      <c r="M273" s="288">
        <f t="shared" si="641"/>
        <v>10820</v>
      </c>
      <c r="N273" s="460">
        <f t="shared" si="642"/>
        <v>10795</v>
      </c>
      <c r="O273" s="288">
        <f t="shared" si="643"/>
        <v>10795</v>
      </c>
      <c r="P273" s="460">
        <f t="shared" si="644"/>
        <v>10780</v>
      </c>
      <c r="Q273" s="288">
        <f t="shared" si="645"/>
        <v>10780</v>
      </c>
      <c r="R273" s="460">
        <f t="shared" si="646"/>
        <v>10760</v>
      </c>
      <c r="S273" s="288">
        <f t="shared" si="647"/>
        <v>10760</v>
      </c>
      <c r="T273" s="102">
        <f t="shared" si="648"/>
        <v>10745</v>
      </c>
      <c r="U273" s="305">
        <f t="shared" si="649"/>
        <v>10745</v>
      </c>
      <c r="V273" s="102">
        <f t="shared" si="650"/>
        <v>10730</v>
      </c>
      <c r="W273" s="305">
        <f t="shared" si="651"/>
        <v>10730</v>
      </c>
      <c r="X273" s="677"/>
      <c r="Y273" s="694"/>
      <c r="Z273" s="694"/>
      <c r="AA273" s="679"/>
      <c r="AB273" s="192">
        <v>936</v>
      </c>
    </row>
    <row r="274" spans="1:38" ht="12.6" customHeight="1" x14ac:dyDescent="0.2">
      <c r="A274" s="18"/>
      <c r="B274" s="711" t="s">
        <v>865</v>
      </c>
      <c r="C274" s="712"/>
      <c r="D274" s="712"/>
      <c r="E274" s="712"/>
      <c r="F274" s="380">
        <f>4.9*X2</f>
        <v>5218.5</v>
      </c>
      <c r="G274" s="287">
        <f t="shared" ref="G274" si="672">+F274*$X$1</f>
        <v>5218.5</v>
      </c>
      <c r="H274" s="542">
        <f t="shared" si="636"/>
        <v>5718.5</v>
      </c>
      <c r="I274" s="287">
        <f t="shared" si="637"/>
        <v>5718.5</v>
      </c>
      <c r="J274" s="542">
        <f t="shared" si="638"/>
        <v>5438.5</v>
      </c>
      <c r="K274" s="287">
        <f t="shared" si="639"/>
        <v>5438.5</v>
      </c>
      <c r="L274" s="542">
        <f t="shared" si="640"/>
        <v>5388.5</v>
      </c>
      <c r="M274" s="287">
        <f t="shared" si="641"/>
        <v>5388.5</v>
      </c>
      <c r="N274" s="542">
        <f t="shared" si="642"/>
        <v>5363.5</v>
      </c>
      <c r="O274" s="287">
        <f t="shared" si="643"/>
        <v>5363.5</v>
      </c>
      <c r="P274" s="542">
        <f t="shared" si="644"/>
        <v>5348.5</v>
      </c>
      <c r="Q274" s="287">
        <f t="shared" si="645"/>
        <v>5348.5</v>
      </c>
      <c r="R274" s="542">
        <f t="shared" si="646"/>
        <v>5328.5</v>
      </c>
      <c r="S274" s="287">
        <f t="shared" si="647"/>
        <v>5328.5</v>
      </c>
      <c r="T274" s="103">
        <f t="shared" si="648"/>
        <v>5313.5</v>
      </c>
      <c r="U274" s="255">
        <f t="shared" si="649"/>
        <v>5313.5</v>
      </c>
      <c r="V274" s="103">
        <f t="shared" si="650"/>
        <v>5298.5</v>
      </c>
      <c r="W274" s="255">
        <f t="shared" si="651"/>
        <v>5298.5</v>
      </c>
      <c r="X274" s="677"/>
      <c r="Y274" s="694"/>
      <c r="Z274" s="694"/>
      <c r="AA274" s="679"/>
      <c r="AB274" s="192">
        <v>940</v>
      </c>
    </row>
    <row r="275" spans="1:38" ht="12.6" customHeight="1" x14ac:dyDescent="0.2">
      <c r="A275" s="18"/>
      <c r="B275" s="680" t="s">
        <v>201</v>
      </c>
      <c r="C275" s="765"/>
      <c r="D275" s="765"/>
      <c r="E275" s="766"/>
      <c r="F275" s="381">
        <f>5.483*X2</f>
        <v>5839.3949999999995</v>
      </c>
      <c r="G275" s="288">
        <f t="shared" ref="G275:G279" si="673">+F275*$X$1</f>
        <v>5839.3949999999995</v>
      </c>
      <c r="H275" s="460">
        <f t="shared" si="636"/>
        <v>6339.3949999999995</v>
      </c>
      <c r="I275" s="288">
        <f t="shared" si="637"/>
        <v>6339.3949999999995</v>
      </c>
      <c r="J275" s="460">
        <f t="shared" si="638"/>
        <v>6059.3949999999995</v>
      </c>
      <c r="K275" s="288">
        <f t="shared" si="639"/>
        <v>6059.3949999999995</v>
      </c>
      <c r="L275" s="460">
        <f t="shared" si="640"/>
        <v>6009.3949999999995</v>
      </c>
      <c r="M275" s="288">
        <f t="shared" si="641"/>
        <v>6009.3949999999995</v>
      </c>
      <c r="N275" s="460">
        <f t="shared" si="642"/>
        <v>5984.3949999999995</v>
      </c>
      <c r="O275" s="288">
        <f t="shared" si="643"/>
        <v>5984.3949999999995</v>
      </c>
      <c r="P275" s="460">
        <f t="shared" si="644"/>
        <v>5969.3949999999995</v>
      </c>
      <c r="Q275" s="288">
        <f t="shared" si="645"/>
        <v>5969.3949999999995</v>
      </c>
      <c r="R275" s="460">
        <f t="shared" si="646"/>
        <v>5949.3949999999995</v>
      </c>
      <c r="S275" s="288">
        <f t="shared" si="647"/>
        <v>5949.3949999999995</v>
      </c>
      <c r="T275" s="102">
        <f t="shared" si="648"/>
        <v>5934.3949999999995</v>
      </c>
      <c r="U275" s="305">
        <f t="shared" si="649"/>
        <v>5934.3949999999995</v>
      </c>
      <c r="V275" s="102">
        <f t="shared" si="650"/>
        <v>5919.3949999999995</v>
      </c>
      <c r="W275" s="305">
        <f t="shared" si="651"/>
        <v>5919.3949999999995</v>
      </c>
      <c r="X275" s="133"/>
      <c r="Y275" s="135"/>
      <c r="Z275" s="131"/>
      <c r="AA275" s="131"/>
      <c r="AB275" s="192">
        <v>945</v>
      </c>
      <c r="AD275" s="65"/>
      <c r="AE275" s="65"/>
      <c r="AF275" s="65"/>
      <c r="AG275" s="65"/>
    </row>
    <row r="276" spans="1:38" ht="12.6" customHeight="1" x14ac:dyDescent="0.2">
      <c r="A276" s="18"/>
      <c r="B276" s="711" t="s">
        <v>486</v>
      </c>
      <c r="C276" s="712"/>
      <c r="D276" s="712"/>
      <c r="E276" s="712"/>
      <c r="F276" s="380">
        <f>4.52*X2</f>
        <v>4813.7999999999993</v>
      </c>
      <c r="G276" s="287">
        <f t="shared" ref="G276" si="674">+F276*$X$1</f>
        <v>4813.7999999999993</v>
      </c>
      <c r="H276" s="542">
        <f t="shared" si="636"/>
        <v>5313.7999999999993</v>
      </c>
      <c r="I276" s="287">
        <f t="shared" si="637"/>
        <v>5313.7999999999993</v>
      </c>
      <c r="J276" s="542">
        <f t="shared" si="638"/>
        <v>5033.7999999999993</v>
      </c>
      <c r="K276" s="287">
        <f t="shared" si="639"/>
        <v>5033.7999999999993</v>
      </c>
      <c r="L276" s="542">
        <f t="shared" si="640"/>
        <v>4983.7999999999993</v>
      </c>
      <c r="M276" s="287">
        <f t="shared" si="641"/>
        <v>4983.7999999999993</v>
      </c>
      <c r="N276" s="542">
        <f t="shared" si="642"/>
        <v>4958.7999999999993</v>
      </c>
      <c r="O276" s="287">
        <f t="shared" si="643"/>
        <v>4958.7999999999993</v>
      </c>
      <c r="P276" s="542">
        <f t="shared" si="644"/>
        <v>4943.7999999999993</v>
      </c>
      <c r="Q276" s="287">
        <f t="shared" si="645"/>
        <v>4943.7999999999993</v>
      </c>
      <c r="R276" s="542">
        <f t="shared" si="646"/>
        <v>4923.7999999999993</v>
      </c>
      <c r="S276" s="287">
        <f t="shared" si="647"/>
        <v>4923.7999999999993</v>
      </c>
      <c r="T276" s="103">
        <f t="shared" si="648"/>
        <v>4908.7999999999993</v>
      </c>
      <c r="U276" s="255">
        <f t="shared" si="649"/>
        <v>4908.7999999999993</v>
      </c>
      <c r="V276" s="103">
        <f t="shared" si="650"/>
        <v>4893.7999999999993</v>
      </c>
      <c r="W276" s="255">
        <f t="shared" si="651"/>
        <v>4893.7999999999993</v>
      </c>
      <c r="X276" s="151"/>
      <c r="Y276" s="151"/>
      <c r="Z276" s="151"/>
      <c r="AA276" s="151"/>
      <c r="AB276" s="192">
        <v>946</v>
      </c>
    </row>
    <row r="277" spans="1:38" ht="12.6" customHeight="1" x14ac:dyDescent="0.2">
      <c r="A277" s="18"/>
      <c r="B277" s="734" t="s">
        <v>202</v>
      </c>
      <c r="C277" s="735"/>
      <c r="D277" s="735"/>
      <c r="E277" s="736"/>
      <c r="F277" s="381">
        <f>5.1*X2</f>
        <v>5431.5</v>
      </c>
      <c r="G277" s="288">
        <f t="shared" si="673"/>
        <v>5431.5</v>
      </c>
      <c r="H277" s="460">
        <f t="shared" si="636"/>
        <v>5931.5</v>
      </c>
      <c r="I277" s="288">
        <f t="shared" ref="I277" si="675">+H277*$X$1</f>
        <v>5931.5</v>
      </c>
      <c r="J277" s="460"/>
      <c r="K277" s="288"/>
      <c r="L277" s="460"/>
      <c r="M277" s="288"/>
      <c r="N277" s="460"/>
      <c r="O277" s="288"/>
      <c r="P277" s="460"/>
      <c r="Q277" s="288"/>
      <c r="R277" s="460"/>
      <c r="S277" s="288"/>
      <c r="T277" s="102"/>
      <c r="U277" s="305"/>
      <c r="V277" s="102"/>
      <c r="W277" s="305"/>
      <c r="X277" s="677"/>
      <c r="Y277" s="678"/>
      <c r="Z277" s="678"/>
      <c r="AA277" s="679"/>
      <c r="AB277" s="416">
        <v>949</v>
      </c>
    </row>
    <row r="278" spans="1:38" ht="12.6" customHeight="1" x14ac:dyDescent="0.2">
      <c r="A278" s="18"/>
      <c r="B278" s="711" t="s">
        <v>592</v>
      </c>
      <c r="C278" s="712"/>
      <c r="D278" s="712"/>
      <c r="E278" s="712"/>
      <c r="F278" s="380">
        <f>6*X2</f>
        <v>6390</v>
      </c>
      <c r="G278" s="287">
        <f t="shared" si="673"/>
        <v>6390</v>
      </c>
      <c r="H278" s="544">
        <f>F278+500</f>
        <v>6890</v>
      </c>
      <c r="I278" s="287">
        <f t="shared" ref="I278:I279" si="676">+H278*$X$1</f>
        <v>6890</v>
      </c>
      <c r="J278" s="544">
        <f>F278+220</f>
        <v>6610</v>
      </c>
      <c r="K278" s="287">
        <f t="shared" ref="K278:K281" si="677">+J278*$X$1</f>
        <v>6610</v>
      </c>
      <c r="L278" s="544">
        <f>F278+170</f>
        <v>6560</v>
      </c>
      <c r="M278" s="287">
        <f t="shared" ref="M278:M279" si="678">+L278*$X$1</f>
        <v>6560</v>
      </c>
      <c r="N278" s="544">
        <f>F278+145</f>
        <v>6535</v>
      </c>
      <c r="O278" s="287">
        <f t="shared" ref="O278:O279" si="679">+N278*$X$1</f>
        <v>6535</v>
      </c>
      <c r="P278" s="544">
        <f>F278+130</f>
        <v>6520</v>
      </c>
      <c r="Q278" s="287">
        <f t="shared" ref="Q278:Q279" si="680">+P278*$X$1</f>
        <v>6520</v>
      </c>
      <c r="R278" s="544">
        <f>F278+110</f>
        <v>6500</v>
      </c>
      <c r="S278" s="287">
        <f t="shared" ref="S278:S279" si="681">+R278*$X$1</f>
        <v>6500</v>
      </c>
      <c r="T278" s="103">
        <f>F278+95</f>
        <v>6485</v>
      </c>
      <c r="U278" s="255">
        <f t="shared" ref="U278:U279" si="682">+T278*$X$1</f>
        <v>6485</v>
      </c>
      <c r="V278" s="103">
        <f>F278+80</f>
        <v>6470</v>
      </c>
      <c r="W278" s="255">
        <f t="shared" ref="W278:W279" si="683">+V278*$X$1</f>
        <v>6470</v>
      </c>
      <c r="X278" s="674"/>
      <c r="Y278" s="718"/>
      <c r="Z278" s="718"/>
      <c r="AA278" s="719"/>
      <c r="AB278" s="192">
        <v>962</v>
      </c>
    </row>
    <row r="279" spans="1:38" ht="12.6" customHeight="1" x14ac:dyDescent="0.2">
      <c r="A279" s="18"/>
      <c r="B279" s="689" t="s">
        <v>854</v>
      </c>
      <c r="C279" s="690"/>
      <c r="D279" s="690"/>
      <c r="E279" s="690"/>
      <c r="F279" s="381">
        <f>10.94*X2</f>
        <v>11651.1</v>
      </c>
      <c r="G279" s="288">
        <f t="shared" si="673"/>
        <v>11651.1</v>
      </c>
      <c r="H279" s="460">
        <f>F279+500</f>
        <v>12151.1</v>
      </c>
      <c r="I279" s="288">
        <f t="shared" si="676"/>
        <v>12151.1</v>
      </c>
      <c r="J279" s="460">
        <f>F279+220</f>
        <v>11871.1</v>
      </c>
      <c r="K279" s="288">
        <f t="shared" si="677"/>
        <v>11871.1</v>
      </c>
      <c r="L279" s="460">
        <f>F279+170</f>
        <v>11821.1</v>
      </c>
      <c r="M279" s="288">
        <f t="shared" si="678"/>
        <v>11821.1</v>
      </c>
      <c r="N279" s="460">
        <f>F279+145</f>
        <v>11796.1</v>
      </c>
      <c r="O279" s="288">
        <f t="shared" si="679"/>
        <v>11796.1</v>
      </c>
      <c r="P279" s="460">
        <f>F279+130</f>
        <v>11781.1</v>
      </c>
      <c r="Q279" s="288">
        <f t="shared" si="680"/>
        <v>11781.1</v>
      </c>
      <c r="R279" s="460">
        <f>F279+110</f>
        <v>11761.1</v>
      </c>
      <c r="S279" s="288">
        <f t="shared" si="681"/>
        <v>11761.1</v>
      </c>
      <c r="T279" s="102">
        <f>F279+95</f>
        <v>11746.1</v>
      </c>
      <c r="U279" s="305">
        <f t="shared" si="682"/>
        <v>11746.1</v>
      </c>
      <c r="V279" s="102">
        <f>F279+80</f>
        <v>11731.1</v>
      </c>
      <c r="W279" s="305">
        <f t="shared" si="683"/>
        <v>11731.1</v>
      </c>
      <c r="X279" s="458"/>
      <c r="Y279" s="458"/>
      <c r="Z279" s="458"/>
      <c r="AA279" s="458"/>
      <c r="AB279" s="192">
        <v>963</v>
      </c>
    </row>
    <row r="280" spans="1:38" ht="12.6" customHeight="1" x14ac:dyDescent="0.2">
      <c r="A280" s="18"/>
      <c r="B280" s="695" t="s">
        <v>895</v>
      </c>
      <c r="C280" s="696"/>
      <c r="D280" s="696"/>
      <c r="E280" s="696"/>
      <c r="F280" s="380">
        <f>7.1*X2</f>
        <v>7561.5</v>
      </c>
      <c r="G280" s="287">
        <f t="shared" ref="G280" si="684">+F280*$X$1</f>
        <v>7561.5</v>
      </c>
      <c r="H280" s="544">
        <f>F280+500</f>
        <v>8061.5</v>
      </c>
      <c r="I280" s="287">
        <f t="shared" ref="I280" si="685">+H280*$X$1</f>
        <v>8061.5</v>
      </c>
      <c r="J280" s="544">
        <f>F280+220</f>
        <v>7781.5</v>
      </c>
      <c r="K280" s="287">
        <f t="shared" ref="K280" si="686">+J280*$X$1</f>
        <v>7781.5</v>
      </c>
      <c r="L280" s="544">
        <f>F280+170</f>
        <v>7731.5</v>
      </c>
      <c r="M280" s="287">
        <f t="shared" ref="M280" si="687">+L280*$X$1</f>
        <v>7731.5</v>
      </c>
      <c r="N280" s="544">
        <f>F280+145</f>
        <v>7706.5</v>
      </c>
      <c r="O280" s="287">
        <f t="shared" ref="O280" si="688">+N280*$X$1</f>
        <v>7706.5</v>
      </c>
      <c r="P280" s="544">
        <f>F280+130</f>
        <v>7691.5</v>
      </c>
      <c r="Q280" s="287">
        <f t="shared" ref="Q280" si="689">+P280*$X$1</f>
        <v>7691.5</v>
      </c>
      <c r="R280" s="544">
        <f>F280+110</f>
        <v>7671.5</v>
      </c>
      <c r="S280" s="287">
        <f t="shared" ref="S280" si="690">+R280*$X$1</f>
        <v>7671.5</v>
      </c>
      <c r="T280" s="103">
        <f>F280+95</f>
        <v>7656.5</v>
      </c>
      <c r="U280" s="255">
        <f t="shared" ref="U280" si="691">+T280*$X$1</f>
        <v>7656.5</v>
      </c>
      <c r="V280" s="103">
        <f>F280+80</f>
        <v>7641.5</v>
      </c>
      <c r="W280" s="255">
        <f t="shared" ref="W280" si="692">+V280*$X$1</f>
        <v>7641.5</v>
      </c>
      <c r="X280" s="458"/>
      <c r="Y280" s="458"/>
      <c r="Z280" s="458"/>
      <c r="AA280" s="458"/>
      <c r="AB280" s="192">
        <v>966</v>
      </c>
    </row>
    <row r="281" spans="1:38" s="1" customFormat="1" ht="12.6" customHeight="1" x14ac:dyDescent="0.2">
      <c r="A281" s="19"/>
      <c r="B281" s="689" t="s">
        <v>377</v>
      </c>
      <c r="C281" s="690"/>
      <c r="D281" s="690"/>
      <c r="E281" s="690"/>
      <c r="F281" s="288">
        <v>430</v>
      </c>
      <c r="G281" s="288">
        <f>+F281*$X$1</f>
        <v>430</v>
      </c>
      <c r="H281" s="280"/>
      <c r="I281" s="280"/>
      <c r="J281" s="460">
        <f>F281+180</f>
        <v>610</v>
      </c>
      <c r="K281" s="288">
        <f t="shared" si="677"/>
        <v>610</v>
      </c>
      <c r="L281" s="460">
        <f>F281+140</f>
        <v>570</v>
      </c>
      <c r="M281" s="288">
        <f>+L281*$X$1</f>
        <v>570</v>
      </c>
      <c r="N281" s="460">
        <f>F281+80</f>
        <v>510</v>
      </c>
      <c r="O281" s="288">
        <f>+N281*$X$1</f>
        <v>510</v>
      </c>
      <c r="P281" s="460">
        <f>F281+65</f>
        <v>495</v>
      </c>
      <c r="Q281" s="288">
        <f>+P281*$X$1</f>
        <v>495</v>
      </c>
      <c r="R281" s="460">
        <f>F281+52</f>
        <v>482</v>
      </c>
      <c r="S281" s="288">
        <f>+R281*$X$1</f>
        <v>482</v>
      </c>
      <c r="T281" s="102">
        <f>F281+45</f>
        <v>475</v>
      </c>
      <c r="U281" s="305">
        <f>+T281*$X$1</f>
        <v>475</v>
      </c>
      <c r="V281" s="102">
        <f>F281+39</f>
        <v>469</v>
      </c>
      <c r="W281" s="305">
        <f>+V281*$X$1</f>
        <v>469</v>
      </c>
      <c r="X281" s="148"/>
      <c r="Y281" s="148"/>
      <c r="Z281" s="148"/>
      <c r="AA281" s="148"/>
      <c r="AB281" s="192">
        <v>998</v>
      </c>
      <c r="AC281" s="75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s="1" customFormat="1" ht="12.6" customHeight="1" x14ac:dyDescent="0.2">
      <c r="A282" s="19"/>
      <c r="B282" s="683" t="s">
        <v>212</v>
      </c>
      <c r="C282" s="715"/>
      <c r="D282" s="715"/>
      <c r="E282" s="716"/>
      <c r="F282" s="287">
        <v>1400</v>
      </c>
      <c r="G282" s="306">
        <f t="shared" ref="G282" si="693">+F282*$X$1</f>
        <v>1400</v>
      </c>
      <c r="H282" s="1030" t="s">
        <v>398</v>
      </c>
      <c r="I282" s="1031"/>
      <c r="J282" s="1031"/>
      <c r="K282" s="1031"/>
      <c r="L282" s="1031"/>
      <c r="M282" s="1032"/>
      <c r="N282" s="497">
        <f>F282+100</f>
        <v>1500</v>
      </c>
      <c r="O282" s="287">
        <f t="shared" ref="O282" si="694">+N282*$X$1</f>
        <v>1500</v>
      </c>
      <c r="P282" s="497">
        <f>F282+80</f>
        <v>1480</v>
      </c>
      <c r="Q282" s="287">
        <f t="shared" ref="Q282" si="695">+P282*$X$1</f>
        <v>1480</v>
      </c>
      <c r="R282" s="497">
        <f>F282+63</f>
        <v>1463</v>
      </c>
      <c r="S282" s="287">
        <f t="shared" ref="S282" si="696">+R282*$X$1</f>
        <v>1463</v>
      </c>
      <c r="T282" s="497">
        <f>F282+55</f>
        <v>1455</v>
      </c>
      <c r="U282" s="287">
        <f t="shared" ref="U282" si="697">+T282*$X$1</f>
        <v>1455</v>
      </c>
      <c r="V282" s="497">
        <f>F282+50</f>
        <v>1450</v>
      </c>
      <c r="W282" s="287">
        <f t="shared" ref="W282" si="698">+V282*$X$1</f>
        <v>1450</v>
      </c>
      <c r="X282" s="686"/>
      <c r="Y282" s="687"/>
      <c r="Z282" s="687"/>
      <c r="AA282" s="688"/>
      <c r="AB282" s="192">
        <v>1001</v>
      </c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s="1" customFormat="1" ht="12.6" customHeight="1" x14ac:dyDescent="0.2">
      <c r="A283" s="19"/>
      <c r="B283" s="680" t="s">
        <v>213</v>
      </c>
      <c r="C283" s="681"/>
      <c r="D283" s="681"/>
      <c r="E283" s="682"/>
      <c r="F283" s="319">
        <v>1400</v>
      </c>
      <c r="G283" s="288">
        <f t="shared" ref="G283:G292" si="699">+F283*$X$1</f>
        <v>1400</v>
      </c>
      <c r="H283" s="1033"/>
      <c r="I283" s="1034"/>
      <c r="J283" s="1034"/>
      <c r="K283" s="1031"/>
      <c r="L283" s="1034"/>
      <c r="M283" s="1032"/>
      <c r="N283" s="497">
        <f>F283+100</f>
        <v>1500</v>
      </c>
      <c r="O283" s="288">
        <f t="shared" ref="O283:O286" si="700">+N283*$X$1</f>
        <v>1500</v>
      </c>
      <c r="P283" s="460">
        <f>F283+80</f>
        <v>1480</v>
      </c>
      <c r="Q283" s="288">
        <f t="shared" ref="Q283:Q286" si="701">+P283*$X$1</f>
        <v>1480</v>
      </c>
      <c r="R283" s="460">
        <f>F283+63</f>
        <v>1463</v>
      </c>
      <c r="S283" s="288">
        <f t="shared" ref="S283:S286" si="702">+R283*$X$1</f>
        <v>1463</v>
      </c>
      <c r="T283" s="460">
        <f>F283+55</f>
        <v>1455</v>
      </c>
      <c r="U283" s="288">
        <f t="shared" ref="U283:U286" si="703">+T283*$X$1</f>
        <v>1455</v>
      </c>
      <c r="V283" s="460">
        <f>F283+50</f>
        <v>1450</v>
      </c>
      <c r="W283" s="288">
        <f t="shared" ref="W283:W286" si="704">+V283*$X$1</f>
        <v>1450</v>
      </c>
      <c r="X283" s="686"/>
      <c r="Y283" s="687"/>
      <c r="Z283" s="687"/>
      <c r="AA283" s="688"/>
      <c r="AB283" s="192">
        <v>1002</v>
      </c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s="1" customFormat="1" ht="12.6" customHeight="1" x14ac:dyDescent="0.2">
      <c r="A284" s="19"/>
      <c r="B284" s="683" t="s">
        <v>639</v>
      </c>
      <c r="C284" s="715"/>
      <c r="D284" s="715"/>
      <c r="E284" s="716"/>
      <c r="F284" s="287">
        <v>1400</v>
      </c>
      <c r="G284" s="287">
        <f t="shared" si="699"/>
        <v>1400</v>
      </c>
      <c r="H284" s="1033"/>
      <c r="I284" s="1034"/>
      <c r="J284" s="1034"/>
      <c r="K284" s="1031"/>
      <c r="L284" s="1034"/>
      <c r="M284" s="1032"/>
      <c r="N284" s="497">
        <f>F284+100</f>
        <v>1500</v>
      </c>
      <c r="O284" s="287">
        <f t="shared" si="700"/>
        <v>1500</v>
      </c>
      <c r="P284" s="497">
        <f>F284+80</f>
        <v>1480</v>
      </c>
      <c r="Q284" s="287">
        <f t="shared" si="701"/>
        <v>1480</v>
      </c>
      <c r="R284" s="497">
        <f>F284+63</f>
        <v>1463</v>
      </c>
      <c r="S284" s="287">
        <f t="shared" si="702"/>
        <v>1463</v>
      </c>
      <c r="T284" s="497">
        <f>F284+55</f>
        <v>1455</v>
      </c>
      <c r="U284" s="287">
        <f t="shared" si="703"/>
        <v>1455</v>
      </c>
      <c r="V284" s="497">
        <f>F284+50</f>
        <v>1450</v>
      </c>
      <c r="W284" s="287">
        <f t="shared" si="704"/>
        <v>1450</v>
      </c>
      <c r="X284" s="686"/>
      <c r="Y284" s="687"/>
      <c r="Z284" s="687"/>
      <c r="AA284" s="688"/>
      <c r="AB284" s="192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s="1" customFormat="1" ht="12.6" customHeight="1" x14ac:dyDescent="0.2">
      <c r="A285" s="19"/>
      <c r="B285" s="689" t="s">
        <v>693</v>
      </c>
      <c r="C285" s="690"/>
      <c r="D285" s="690"/>
      <c r="E285" s="690"/>
      <c r="F285" s="288">
        <v>1650</v>
      </c>
      <c r="G285" s="288">
        <f t="shared" si="699"/>
        <v>1650</v>
      </c>
      <c r="H285" s="1033"/>
      <c r="I285" s="1034"/>
      <c r="J285" s="1034"/>
      <c r="K285" s="1031"/>
      <c r="L285" s="1034"/>
      <c r="M285" s="1032"/>
      <c r="N285" s="497">
        <f>F285+100</f>
        <v>1750</v>
      </c>
      <c r="O285" s="288">
        <f t="shared" si="700"/>
        <v>1750</v>
      </c>
      <c r="P285" s="460">
        <f>F285+80</f>
        <v>1730</v>
      </c>
      <c r="Q285" s="288">
        <f t="shared" si="701"/>
        <v>1730</v>
      </c>
      <c r="R285" s="460">
        <f>F285+63</f>
        <v>1713</v>
      </c>
      <c r="S285" s="288">
        <f t="shared" si="702"/>
        <v>1713</v>
      </c>
      <c r="T285" s="460">
        <f>F285+55</f>
        <v>1705</v>
      </c>
      <c r="U285" s="288">
        <f t="shared" si="703"/>
        <v>1705</v>
      </c>
      <c r="V285" s="460">
        <f>F285+50</f>
        <v>1700</v>
      </c>
      <c r="W285" s="288">
        <f t="shared" si="704"/>
        <v>1700</v>
      </c>
      <c r="X285" s="686"/>
      <c r="Y285" s="717"/>
      <c r="Z285" s="717"/>
      <c r="AA285" s="688"/>
      <c r="AB285" s="192">
        <v>1004</v>
      </c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s="1" customFormat="1" ht="12.6" customHeight="1" x14ac:dyDescent="0.2">
      <c r="A286" s="19"/>
      <c r="B286" s="683" t="s">
        <v>692</v>
      </c>
      <c r="C286" s="715"/>
      <c r="D286" s="715"/>
      <c r="E286" s="716"/>
      <c r="F286" s="287">
        <v>1650</v>
      </c>
      <c r="G286" s="287">
        <f t="shared" si="699"/>
        <v>1650</v>
      </c>
      <c r="H286" s="1033"/>
      <c r="I286" s="1034"/>
      <c r="J286" s="1034"/>
      <c r="K286" s="1031"/>
      <c r="L286" s="1034"/>
      <c r="M286" s="1032"/>
      <c r="N286" s="497">
        <f>F286+100</f>
        <v>1750</v>
      </c>
      <c r="O286" s="287">
        <f t="shared" si="700"/>
        <v>1750</v>
      </c>
      <c r="P286" s="497">
        <f>F286+80</f>
        <v>1730</v>
      </c>
      <c r="Q286" s="287">
        <f t="shared" si="701"/>
        <v>1730</v>
      </c>
      <c r="R286" s="497">
        <f>F286+63</f>
        <v>1713</v>
      </c>
      <c r="S286" s="287">
        <f t="shared" si="702"/>
        <v>1713</v>
      </c>
      <c r="T286" s="497">
        <f>F286+55</f>
        <v>1705</v>
      </c>
      <c r="U286" s="287">
        <f t="shared" si="703"/>
        <v>1705</v>
      </c>
      <c r="V286" s="497">
        <f>F286+50</f>
        <v>1700</v>
      </c>
      <c r="W286" s="287">
        <f t="shared" si="704"/>
        <v>1700</v>
      </c>
      <c r="X286" s="686"/>
      <c r="Y286" s="687"/>
      <c r="Z286" s="687"/>
      <c r="AA286" s="688"/>
      <c r="AB286" s="192">
        <v>1005</v>
      </c>
      <c r="AC286" s="4"/>
      <c r="AD286" s="4"/>
      <c r="AE286" s="4"/>
      <c r="AF286" s="4"/>
      <c r="AG286" s="4"/>
      <c r="AH286" s="128"/>
      <c r="AI286" s="4"/>
      <c r="AJ286" s="4"/>
      <c r="AK286" s="4"/>
      <c r="AL286" s="4"/>
    </row>
    <row r="287" spans="1:38" s="1" customFormat="1" ht="12.6" customHeight="1" x14ac:dyDescent="0.2">
      <c r="A287" s="19"/>
      <c r="B287" s="680" t="s">
        <v>214</v>
      </c>
      <c r="C287" s="691"/>
      <c r="D287" s="691"/>
      <c r="E287" s="692"/>
      <c r="F287" s="288"/>
      <c r="G287" s="288"/>
      <c r="H287" s="1035"/>
      <c r="I287" s="1036"/>
      <c r="J287" s="1036"/>
      <c r="K287" s="1036"/>
      <c r="L287" s="1036"/>
      <c r="M287" s="1037"/>
      <c r="N287" s="460"/>
      <c r="O287" s="288"/>
      <c r="P287" s="460"/>
      <c r="Q287" s="288"/>
      <c r="R287" s="460"/>
      <c r="S287" s="288"/>
      <c r="T287" s="460"/>
      <c r="U287" s="288"/>
      <c r="V287" s="460"/>
      <c r="W287" s="288"/>
      <c r="X287" s="686"/>
      <c r="Y287" s="687"/>
      <c r="Z287" s="687"/>
      <c r="AA287" s="688"/>
      <c r="AB287" s="192">
        <v>1006</v>
      </c>
      <c r="AC287" s="4"/>
      <c r="AD287" s="4"/>
      <c r="AE287" s="4"/>
      <c r="AF287" s="4"/>
      <c r="AG287" s="4"/>
      <c r="AH287" s="128"/>
      <c r="AI287" s="4"/>
      <c r="AJ287" s="4"/>
      <c r="AK287" s="4"/>
      <c r="AL287" s="4"/>
    </row>
    <row r="288" spans="1:38" s="1" customFormat="1" ht="12.6" customHeight="1" x14ac:dyDescent="0.2">
      <c r="A288" s="19"/>
      <c r="B288" s="671" t="s">
        <v>921</v>
      </c>
      <c r="C288" s="672"/>
      <c r="D288" s="672"/>
      <c r="E288" s="673"/>
      <c r="F288" s="380">
        <f>2.8*X2</f>
        <v>2982</v>
      </c>
      <c r="G288" s="287">
        <f>+F288*$X$1</f>
        <v>2982</v>
      </c>
      <c r="H288" s="71">
        <f>F288+500</f>
        <v>3482</v>
      </c>
      <c r="I288" s="287">
        <f t="shared" ref="I288" si="705">+H288*$X$1</f>
        <v>3482</v>
      </c>
      <c r="J288" s="579">
        <f>F288+210</f>
        <v>3192</v>
      </c>
      <c r="K288" s="287">
        <f>+J288*$X$1</f>
        <v>3192</v>
      </c>
      <c r="L288" s="579">
        <f>F288+170</f>
        <v>3152</v>
      </c>
      <c r="M288" s="287">
        <f>+L288*$X$1</f>
        <v>3152</v>
      </c>
      <c r="N288" s="71">
        <f>F288+130</f>
        <v>3112</v>
      </c>
      <c r="O288" s="287">
        <f t="shared" ref="O288" si="706">+N288*$X$1</f>
        <v>3112</v>
      </c>
      <c r="P288" s="71">
        <f>F288+110</f>
        <v>3092</v>
      </c>
      <c r="Q288" s="287">
        <f t="shared" ref="Q288" si="707">+P288*$X$1</f>
        <v>3092</v>
      </c>
      <c r="R288" s="579">
        <f>F288+100</f>
        <v>3082</v>
      </c>
      <c r="S288" s="287">
        <f t="shared" ref="S288" si="708">+R288*$X$1</f>
        <v>3082</v>
      </c>
      <c r="T288" s="579">
        <f>F288+93</f>
        <v>3075</v>
      </c>
      <c r="U288" s="287">
        <f t="shared" ref="U288" si="709">+T288*$X$1</f>
        <v>3075</v>
      </c>
      <c r="V288" s="579">
        <f>F288+84</f>
        <v>3066</v>
      </c>
      <c r="W288" s="287">
        <f t="shared" ref="W288" si="710">+V288*$X$1</f>
        <v>3066</v>
      </c>
      <c r="X288" s="576"/>
      <c r="Y288" s="578"/>
      <c r="Z288" s="578"/>
      <c r="AA288" s="577"/>
      <c r="AB288" s="192">
        <v>1024</v>
      </c>
      <c r="AC288" s="4"/>
      <c r="AD288" s="4"/>
      <c r="AE288" s="4"/>
      <c r="AF288" s="4"/>
      <c r="AG288" s="4"/>
      <c r="AH288" s="495"/>
      <c r="AI288" s="4"/>
      <c r="AJ288" s="4"/>
      <c r="AK288" s="4"/>
      <c r="AL288" s="4"/>
    </row>
    <row r="289" spans="1:38" s="1" customFormat="1" ht="12.6" customHeight="1" x14ac:dyDescent="0.2">
      <c r="A289" s="19"/>
      <c r="B289" s="680" t="s">
        <v>843</v>
      </c>
      <c r="C289" s="691"/>
      <c r="D289" s="691"/>
      <c r="E289" s="692"/>
      <c r="F289" s="381">
        <f>3*X2</f>
        <v>3195</v>
      </c>
      <c r="G289" s="288">
        <f>+F289*$X$1</f>
        <v>3195</v>
      </c>
      <c r="H289" s="89">
        <f>F289+500</f>
        <v>3695</v>
      </c>
      <c r="I289" s="288">
        <f t="shared" ref="I289:I290" si="711">+H289*$X$1</f>
        <v>3695</v>
      </c>
      <c r="J289" s="460">
        <f>F289+210</f>
        <v>3405</v>
      </c>
      <c r="K289" s="288">
        <f>+J289*$X$1</f>
        <v>3405</v>
      </c>
      <c r="L289" s="460">
        <f>F289+170</f>
        <v>3365</v>
      </c>
      <c r="M289" s="288">
        <f>+L289*$X$1</f>
        <v>3365</v>
      </c>
      <c r="N289" s="89">
        <f>F289+130</f>
        <v>3325</v>
      </c>
      <c r="O289" s="288">
        <f t="shared" ref="O289:O290" si="712">+N289*$X$1</f>
        <v>3325</v>
      </c>
      <c r="P289" s="89">
        <f>F289+110</f>
        <v>3305</v>
      </c>
      <c r="Q289" s="288">
        <f t="shared" ref="Q289:Q290" si="713">+P289*$X$1</f>
        <v>3305</v>
      </c>
      <c r="R289" s="460">
        <f>F289+100</f>
        <v>3295</v>
      </c>
      <c r="S289" s="288">
        <f t="shared" ref="S289:S290" si="714">+R289*$X$1</f>
        <v>3295</v>
      </c>
      <c r="T289" s="460">
        <f>F289+93</f>
        <v>3288</v>
      </c>
      <c r="U289" s="288">
        <f t="shared" ref="U289:U290" si="715">+T289*$X$1</f>
        <v>3288</v>
      </c>
      <c r="V289" s="460">
        <f>F289+84</f>
        <v>3279</v>
      </c>
      <c r="W289" s="288">
        <f t="shared" ref="W289:W290" si="716">+V289*$X$1</f>
        <v>3279</v>
      </c>
      <c r="X289" s="494"/>
      <c r="Y289" s="492"/>
      <c r="Z289" s="492"/>
      <c r="AA289" s="493"/>
      <c r="AB289" s="192">
        <v>1026</v>
      </c>
      <c r="AC289" s="4"/>
      <c r="AD289" s="4"/>
      <c r="AE289" s="4"/>
      <c r="AF289" s="4"/>
      <c r="AG289" s="4"/>
      <c r="AH289" s="495"/>
      <c r="AI289" s="4"/>
      <c r="AJ289" s="4"/>
      <c r="AK289" s="4"/>
      <c r="AL289" s="4"/>
    </row>
    <row r="290" spans="1:38" s="1" customFormat="1" ht="12.6" customHeight="1" x14ac:dyDescent="0.2">
      <c r="A290" s="19"/>
      <c r="B290" s="683" t="s">
        <v>596</v>
      </c>
      <c r="C290" s="684"/>
      <c r="D290" s="684"/>
      <c r="E290" s="685"/>
      <c r="F290" s="535">
        <f>14.4*X2</f>
        <v>15336</v>
      </c>
      <c r="G290" s="289">
        <f t="shared" si="699"/>
        <v>15336</v>
      </c>
      <c r="H290" s="71">
        <f>F290+500</f>
        <v>15836</v>
      </c>
      <c r="I290" s="287">
        <f t="shared" si="711"/>
        <v>15836</v>
      </c>
      <c r="J290" s="579">
        <f>F290+210</f>
        <v>15546</v>
      </c>
      <c r="K290" s="287">
        <f t="shared" ref="K290" si="717">+J290*$X$1</f>
        <v>15546</v>
      </c>
      <c r="L290" s="579">
        <f>F290+150</f>
        <v>15486</v>
      </c>
      <c r="M290" s="287">
        <f t="shared" ref="M290" si="718">+L290*$X$1</f>
        <v>15486</v>
      </c>
      <c r="N290" s="579">
        <f>F290+120</f>
        <v>15456</v>
      </c>
      <c r="O290" s="287">
        <f t="shared" si="712"/>
        <v>15456</v>
      </c>
      <c r="P290" s="579">
        <f>F290+95</f>
        <v>15431</v>
      </c>
      <c r="Q290" s="287">
        <f t="shared" si="713"/>
        <v>15431</v>
      </c>
      <c r="R290" s="579">
        <f>F290+85</f>
        <v>15421</v>
      </c>
      <c r="S290" s="287">
        <f t="shared" si="714"/>
        <v>15421</v>
      </c>
      <c r="T290" s="579">
        <f>F290+77</f>
        <v>15413</v>
      </c>
      <c r="U290" s="287">
        <f t="shared" si="715"/>
        <v>15413</v>
      </c>
      <c r="V290" s="579">
        <f>F290+68</f>
        <v>15404</v>
      </c>
      <c r="W290" s="287">
        <f t="shared" si="716"/>
        <v>15404</v>
      </c>
      <c r="X290" s="336"/>
      <c r="Y290" s="337"/>
      <c r="Z290" s="337"/>
      <c r="AA290" s="338"/>
      <c r="AB290" s="192">
        <v>1028</v>
      </c>
      <c r="AC290" s="4"/>
      <c r="AD290" s="4"/>
      <c r="AE290" s="4"/>
      <c r="AF290" s="4"/>
      <c r="AG290" s="4"/>
      <c r="AH290" s="128"/>
      <c r="AI290" s="4"/>
      <c r="AJ290" s="4"/>
      <c r="AK290" s="4"/>
      <c r="AL290" s="4"/>
    </row>
    <row r="291" spans="1:38" s="1" customFormat="1" ht="12.6" customHeight="1" x14ac:dyDescent="0.2">
      <c r="A291" s="19"/>
      <c r="B291" s="680" t="s">
        <v>856</v>
      </c>
      <c r="C291" s="691"/>
      <c r="D291" s="691"/>
      <c r="E291" s="692"/>
      <c r="F291" s="329">
        <v>3300</v>
      </c>
      <c r="G291" s="288">
        <f t="shared" ref="G291" si="719">+F291*$X$1</f>
        <v>3300</v>
      </c>
      <c r="H291" s="89"/>
      <c r="I291" s="288"/>
      <c r="J291" s="460"/>
      <c r="K291" s="288"/>
      <c r="L291" s="460">
        <f>F291+170</f>
        <v>3470</v>
      </c>
      <c r="M291" s="288">
        <f>+L291*$X$1</f>
        <v>3470</v>
      </c>
      <c r="N291" s="89">
        <f>F291+130</f>
        <v>3430</v>
      </c>
      <c r="O291" s="288">
        <f t="shared" ref="O291:O294" si="720">+N291*$X$1</f>
        <v>3430</v>
      </c>
      <c r="P291" s="89">
        <f>F291+110</f>
        <v>3410</v>
      </c>
      <c r="Q291" s="288">
        <f t="shared" ref="Q291:Q294" si="721">+P291*$X$1</f>
        <v>3410</v>
      </c>
      <c r="R291" s="460">
        <f>F291+100</f>
        <v>3400</v>
      </c>
      <c r="S291" s="288">
        <f t="shared" ref="S291:S294" si="722">+R291*$X$1</f>
        <v>3400</v>
      </c>
      <c r="T291" s="460">
        <f>F291+93</f>
        <v>3393</v>
      </c>
      <c r="U291" s="288">
        <f t="shared" ref="U291:U294" si="723">+T291*$X$1</f>
        <v>3393</v>
      </c>
      <c r="V291" s="460">
        <f>F291+84</f>
        <v>3384</v>
      </c>
      <c r="W291" s="288">
        <f t="shared" ref="W291:W294" si="724">+V291*$X$1</f>
        <v>3384</v>
      </c>
      <c r="X291" s="501"/>
      <c r="Y291" s="502"/>
      <c r="Z291" s="502"/>
      <c r="AA291" s="503"/>
      <c r="AB291" s="192">
        <v>1029</v>
      </c>
      <c r="AC291" s="4"/>
      <c r="AD291" s="4"/>
      <c r="AE291" s="4"/>
      <c r="AF291" s="4"/>
      <c r="AG291" s="4"/>
      <c r="AH291" s="128"/>
      <c r="AI291" s="4"/>
      <c r="AJ291" s="4"/>
      <c r="AK291" s="4"/>
      <c r="AL291" s="4"/>
    </row>
    <row r="292" spans="1:38" s="1" customFormat="1" ht="12.6" customHeight="1" x14ac:dyDescent="0.2">
      <c r="A292" s="19"/>
      <c r="B292" s="683" t="s">
        <v>594</v>
      </c>
      <c r="C292" s="684"/>
      <c r="D292" s="684"/>
      <c r="E292" s="685"/>
      <c r="F292" s="330">
        <v>3300</v>
      </c>
      <c r="G292" s="287">
        <f t="shared" si="699"/>
        <v>3300</v>
      </c>
      <c r="H292" s="71"/>
      <c r="I292" s="287"/>
      <c r="J292" s="579"/>
      <c r="K292" s="287"/>
      <c r="L292" s="579">
        <f>F292+170</f>
        <v>3470</v>
      </c>
      <c r="M292" s="287">
        <f>+L292*$X$1</f>
        <v>3470</v>
      </c>
      <c r="N292" s="71">
        <f>F292+130</f>
        <v>3430</v>
      </c>
      <c r="O292" s="287">
        <f t="shared" si="720"/>
        <v>3430</v>
      </c>
      <c r="P292" s="71">
        <f>F292+110</f>
        <v>3410</v>
      </c>
      <c r="Q292" s="287">
        <f t="shared" si="721"/>
        <v>3410</v>
      </c>
      <c r="R292" s="579">
        <f>F292+100</f>
        <v>3400</v>
      </c>
      <c r="S292" s="287">
        <f t="shared" si="722"/>
        <v>3400</v>
      </c>
      <c r="T292" s="579">
        <f>F292+93</f>
        <v>3393</v>
      </c>
      <c r="U292" s="287">
        <f t="shared" si="723"/>
        <v>3393</v>
      </c>
      <c r="V292" s="579">
        <f>F292+84</f>
        <v>3384</v>
      </c>
      <c r="W292" s="287">
        <f t="shared" si="724"/>
        <v>3384</v>
      </c>
      <c r="X292" s="325"/>
      <c r="Y292" s="323"/>
      <c r="Z292" s="323"/>
      <c r="AA292" s="324"/>
      <c r="AB292" s="192">
        <v>1030</v>
      </c>
      <c r="AC292" s="4"/>
      <c r="AD292" s="4"/>
      <c r="AE292" s="4"/>
      <c r="AF292" s="4"/>
      <c r="AG292" s="4"/>
      <c r="AH292" s="128"/>
      <c r="AI292" s="4"/>
      <c r="AJ292" s="4"/>
      <c r="AK292" s="4"/>
      <c r="AL292" s="4"/>
    </row>
    <row r="293" spans="1:38" s="1" customFormat="1" ht="12.6" customHeight="1" x14ac:dyDescent="0.2">
      <c r="A293" s="19"/>
      <c r="B293" s="680" t="s">
        <v>595</v>
      </c>
      <c r="C293" s="691"/>
      <c r="D293" s="691"/>
      <c r="E293" s="692"/>
      <c r="F293" s="329">
        <v>3300</v>
      </c>
      <c r="G293" s="288">
        <f t="shared" ref="G293:G294" si="725">+F293*$X$1</f>
        <v>3300</v>
      </c>
      <c r="H293" s="89"/>
      <c r="I293" s="288"/>
      <c r="J293" s="460"/>
      <c r="K293" s="288"/>
      <c r="L293" s="460">
        <f>F293+170</f>
        <v>3470</v>
      </c>
      <c r="M293" s="288">
        <f>+L293*$X$1</f>
        <v>3470</v>
      </c>
      <c r="N293" s="89">
        <f>F293+130</f>
        <v>3430</v>
      </c>
      <c r="O293" s="288">
        <f t="shared" si="720"/>
        <v>3430</v>
      </c>
      <c r="P293" s="89">
        <f>F293+110</f>
        <v>3410</v>
      </c>
      <c r="Q293" s="288">
        <f t="shared" si="721"/>
        <v>3410</v>
      </c>
      <c r="R293" s="460">
        <f>F293+100</f>
        <v>3400</v>
      </c>
      <c r="S293" s="288">
        <f t="shared" si="722"/>
        <v>3400</v>
      </c>
      <c r="T293" s="460">
        <f>F293+93</f>
        <v>3393</v>
      </c>
      <c r="U293" s="288">
        <f t="shared" si="723"/>
        <v>3393</v>
      </c>
      <c r="V293" s="460">
        <f>F293+84</f>
        <v>3384</v>
      </c>
      <c r="W293" s="288">
        <f t="shared" si="724"/>
        <v>3384</v>
      </c>
      <c r="X293" s="331"/>
      <c r="Y293" s="332"/>
      <c r="Z293" s="332"/>
      <c r="AA293" s="333"/>
      <c r="AB293" s="192">
        <v>1031</v>
      </c>
      <c r="AC293" s="4"/>
      <c r="AD293" s="4"/>
      <c r="AE293" s="4"/>
      <c r="AF293" s="4"/>
      <c r="AG293" s="4"/>
      <c r="AH293" s="128"/>
      <c r="AI293" s="4"/>
      <c r="AJ293" s="4"/>
      <c r="AK293" s="4"/>
      <c r="AL293" s="4"/>
    </row>
    <row r="294" spans="1:38" s="1" customFormat="1" ht="12.6" customHeight="1" x14ac:dyDescent="0.2">
      <c r="A294" s="19"/>
      <c r="B294" s="683" t="s">
        <v>868</v>
      </c>
      <c r="C294" s="684"/>
      <c r="D294" s="684"/>
      <c r="E294" s="685"/>
      <c r="F294" s="380">
        <f>14.82*X2</f>
        <v>15783.300000000001</v>
      </c>
      <c r="G294" s="287">
        <f t="shared" si="725"/>
        <v>15783.300000000001</v>
      </c>
      <c r="H294" s="71">
        <f>F294+500</f>
        <v>16283.300000000001</v>
      </c>
      <c r="I294" s="287">
        <f t="shared" ref="I294" si="726">+H294*$X$1</f>
        <v>16283.300000000001</v>
      </c>
      <c r="J294" s="579">
        <f t="shared" ref="J294:J315" si="727">F294+210</f>
        <v>15993.300000000001</v>
      </c>
      <c r="K294" s="287">
        <f t="shared" ref="K294" si="728">+J294*$X$1</f>
        <v>15993.300000000001</v>
      </c>
      <c r="L294" s="579">
        <f t="shared" ref="L294:L311" si="729">F294+150</f>
        <v>15933.300000000001</v>
      </c>
      <c r="M294" s="287">
        <f t="shared" ref="M294" si="730">+L294*$X$1</f>
        <v>15933.300000000001</v>
      </c>
      <c r="N294" s="579">
        <f t="shared" ref="N294:N311" si="731">F294+120</f>
        <v>15903.300000000001</v>
      </c>
      <c r="O294" s="287">
        <f t="shared" si="720"/>
        <v>15903.300000000001</v>
      </c>
      <c r="P294" s="579">
        <f t="shared" ref="P294:P311" si="732">F294+95</f>
        <v>15878.300000000001</v>
      </c>
      <c r="Q294" s="287">
        <f t="shared" si="721"/>
        <v>15878.300000000001</v>
      </c>
      <c r="R294" s="579">
        <f t="shared" ref="R294:R311" si="733">F294+85</f>
        <v>15868.300000000001</v>
      </c>
      <c r="S294" s="287">
        <f t="shared" si="722"/>
        <v>15868.300000000001</v>
      </c>
      <c r="T294" s="579">
        <f t="shared" ref="T294:T311" si="734">F294+77</f>
        <v>15860.300000000001</v>
      </c>
      <c r="U294" s="287">
        <f t="shared" si="723"/>
        <v>15860.300000000001</v>
      </c>
      <c r="V294" s="579">
        <f t="shared" ref="V294:V311" si="735">F294+68</f>
        <v>15851.300000000001</v>
      </c>
      <c r="W294" s="287">
        <f t="shared" si="724"/>
        <v>15851.300000000001</v>
      </c>
      <c r="X294" s="249"/>
      <c r="Y294" s="250"/>
      <c r="Z294" s="250"/>
      <c r="AA294" s="251"/>
      <c r="AB294" s="192">
        <v>1032</v>
      </c>
      <c r="AC294" s="4"/>
      <c r="AD294" s="4"/>
      <c r="AE294" s="4"/>
      <c r="AF294" s="4"/>
      <c r="AG294" s="4"/>
      <c r="AH294" s="128"/>
      <c r="AI294" s="4"/>
      <c r="AJ294" s="4"/>
      <c r="AK294" s="4"/>
      <c r="AL294" s="4"/>
    </row>
    <row r="295" spans="1:38" s="1" customFormat="1" ht="12.6" customHeight="1" x14ac:dyDescent="0.2">
      <c r="A295" s="19"/>
      <c r="B295" s="680" t="s">
        <v>474</v>
      </c>
      <c r="C295" s="691"/>
      <c r="D295" s="691"/>
      <c r="E295" s="692"/>
      <c r="F295" s="381">
        <f>20.46*X2</f>
        <v>21789.9</v>
      </c>
      <c r="G295" s="288">
        <f t="shared" ref="G295" si="736">+F295*$X$1</f>
        <v>21789.9</v>
      </c>
      <c r="H295" s="89">
        <f>F295+500</f>
        <v>22289.9</v>
      </c>
      <c r="I295" s="288">
        <f t="shared" ref="I295:I312" si="737">+H295*$X$1</f>
        <v>22289.9</v>
      </c>
      <c r="J295" s="460">
        <f t="shared" si="727"/>
        <v>21999.9</v>
      </c>
      <c r="K295" s="288">
        <f t="shared" ref="K295:K311" si="738">+J295*$X$1</f>
        <v>21999.9</v>
      </c>
      <c r="L295" s="460">
        <f t="shared" si="729"/>
        <v>21939.9</v>
      </c>
      <c r="M295" s="288">
        <f t="shared" ref="M295:M311" si="739">+L295*$X$1</f>
        <v>21939.9</v>
      </c>
      <c r="N295" s="460">
        <f t="shared" si="731"/>
        <v>21909.9</v>
      </c>
      <c r="O295" s="288">
        <f t="shared" ref="O295:O312" si="740">+N295*$X$1</f>
        <v>21909.9</v>
      </c>
      <c r="P295" s="460">
        <f t="shared" si="732"/>
        <v>21884.9</v>
      </c>
      <c r="Q295" s="288">
        <f t="shared" ref="Q295:Q312" si="741">+P295*$X$1</f>
        <v>21884.9</v>
      </c>
      <c r="R295" s="460">
        <f t="shared" si="733"/>
        <v>21874.9</v>
      </c>
      <c r="S295" s="288">
        <f t="shared" ref="S295:S312" si="742">+R295*$X$1</f>
        <v>21874.9</v>
      </c>
      <c r="T295" s="460">
        <f t="shared" si="734"/>
        <v>21866.9</v>
      </c>
      <c r="U295" s="288">
        <f t="shared" ref="U295:U312" si="743">+T295*$X$1</f>
        <v>21866.9</v>
      </c>
      <c r="V295" s="460">
        <f t="shared" si="735"/>
        <v>21857.9</v>
      </c>
      <c r="W295" s="288">
        <f t="shared" ref="W295:W312" si="744">+V295*$X$1</f>
        <v>21857.9</v>
      </c>
      <c r="X295" s="242"/>
      <c r="Y295" s="244"/>
      <c r="Z295" s="244"/>
      <c r="AA295" s="243"/>
      <c r="AB295" s="192">
        <v>1034</v>
      </c>
      <c r="AC295" s="4"/>
      <c r="AD295" s="4"/>
      <c r="AE295" s="4"/>
      <c r="AF295" s="4"/>
      <c r="AG295" s="4"/>
      <c r="AH295" s="128"/>
      <c r="AI295" s="4"/>
      <c r="AJ295" s="4"/>
      <c r="AK295" s="4"/>
      <c r="AL295" s="4"/>
    </row>
    <row r="296" spans="1:38" ht="12.6" customHeight="1" x14ac:dyDescent="0.2">
      <c r="A296" s="18"/>
      <c r="B296" s="711" t="s">
        <v>436</v>
      </c>
      <c r="C296" s="712"/>
      <c r="D296" s="712"/>
      <c r="E296" s="712"/>
      <c r="F296" s="330">
        <v>13615</v>
      </c>
      <c r="G296" s="287">
        <f>+F296*$X$1</f>
        <v>13615</v>
      </c>
      <c r="H296" s="71">
        <f>F296+500</f>
        <v>14115</v>
      </c>
      <c r="I296" s="287">
        <f t="shared" si="737"/>
        <v>14115</v>
      </c>
      <c r="J296" s="584">
        <f t="shared" si="727"/>
        <v>13825</v>
      </c>
      <c r="K296" s="287">
        <f t="shared" si="738"/>
        <v>13825</v>
      </c>
      <c r="L296" s="584">
        <f t="shared" si="729"/>
        <v>13765</v>
      </c>
      <c r="M296" s="287">
        <f t="shared" si="739"/>
        <v>13765</v>
      </c>
      <c r="N296" s="584">
        <f t="shared" si="731"/>
        <v>13735</v>
      </c>
      <c r="O296" s="287">
        <f t="shared" si="740"/>
        <v>13735</v>
      </c>
      <c r="P296" s="584">
        <f t="shared" si="732"/>
        <v>13710</v>
      </c>
      <c r="Q296" s="287">
        <f t="shared" si="741"/>
        <v>13710</v>
      </c>
      <c r="R296" s="584">
        <f t="shared" si="733"/>
        <v>13700</v>
      </c>
      <c r="S296" s="287">
        <f t="shared" si="742"/>
        <v>13700</v>
      </c>
      <c r="T296" s="584">
        <f t="shared" si="734"/>
        <v>13692</v>
      </c>
      <c r="U296" s="287">
        <f t="shared" si="743"/>
        <v>13692</v>
      </c>
      <c r="V296" s="584">
        <f t="shared" si="735"/>
        <v>13683</v>
      </c>
      <c r="W296" s="287">
        <f t="shared" si="744"/>
        <v>13683</v>
      </c>
      <c r="X296" s="686"/>
      <c r="Y296" s="687"/>
      <c r="Z296" s="687"/>
      <c r="AA296" s="688"/>
      <c r="AB296" s="192">
        <v>1040</v>
      </c>
      <c r="AC296" s="64"/>
    </row>
    <row r="297" spans="1:38" ht="12.6" customHeight="1" x14ac:dyDescent="0.2">
      <c r="A297" s="18"/>
      <c r="B297" s="689" t="s">
        <v>775</v>
      </c>
      <c r="C297" s="690"/>
      <c r="D297" s="690"/>
      <c r="E297" s="690"/>
      <c r="F297" s="381">
        <f>21.3*X2</f>
        <v>22684.5</v>
      </c>
      <c r="G297" s="288">
        <f>+F297*$X$1</f>
        <v>22684.5</v>
      </c>
      <c r="H297" s="89">
        <f>F297+500</f>
        <v>23184.5</v>
      </c>
      <c r="I297" s="288">
        <f t="shared" si="737"/>
        <v>23184.5</v>
      </c>
      <c r="J297" s="460">
        <f t="shared" si="727"/>
        <v>22894.5</v>
      </c>
      <c r="K297" s="288">
        <f t="shared" si="738"/>
        <v>22894.5</v>
      </c>
      <c r="L297" s="460">
        <f t="shared" si="729"/>
        <v>22834.5</v>
      </c>
      <c r="M297" s="288">
        <f t="shared" si="739"/>
        <v>22834.5</v>
      </c>
      <c r="N297" s="460">
        <f t="shared" si="731"/>
        <v>22804.5</v>
      </c>
      <c r="O297" s="288">
        <f t="shared" si="740"/>
        <v>22804.5</v>
      </c>
      <c r="P297" s="460">
        <f t="shared" si="732"/>
        <v>22779.5</v>
      </c>
      <c r="Q297" s="288">
        <f t="shared" si="741"/>
        <v>22779.5</v>
      </c>
      <c r="R297" s="460">
        <f t="shared" si="733"/>
        <v>22769.5</v>
      </c>
      <c r="S297" s="288">
        <f t="shared" si="742"/>
        <v>22769.5</v>
      </c>
      <c r="T297" s="460">
        <f t="shared" si="734"/>
        <v>22761.5</v>
      </c>
      <c r="U297" s="288">
        <f t="shared" si="743"/>
        <v>22761.5</v>
      </c>
      <c r="V297" s="460">
        <f t="shared" si="735"/>
        <v>22752.5</v>
      </c>
      <c r="W297" s="288">
        <f t="shared" si="744"/>
        <v>22752.5</v>
      </c>
      <c r="X297" s="686"/>
      <c r="Y297" s="687"/>
      <c r="Z297" s="687"/>
      <c r="AA297" s="688"/>
      <c r="AB297" s="192">
        <v>1041</v>
      </c>
      <c r="AC297" s="64"/>
    </row>
    <row r="298" spans="1:38" ht="12.6" customHeight="1" x14ac:dyDescent="0.2">
      <c r="A298" s="18"/>
      <c r="B298" s="711" t="s">
        <v>774</v>
      </c>
      <c r="C298" s="712"/>
      <c r="D298" s="712"/>
      <c r="E298" s="712"/>
      <c r="F298" s="380">
        <f>14.8*X2</f>
        <v>15762</v>
      </c>
      <c r="G298" s="287">
        <f t="shared" ref="G298" si="745">+F298*$X$1</f>
        <v>15762</v>
      </c>
      <c r="H298" s="71">
        <f>F298+500</f>
        <v>16262</v>
      </c>
      <c r="I298" s="287">
        <f t="shared" si="737"/>
        <v>16262</v>
      </c>
      <c r="J298" s="579">
        <f t="shared" si="727"/>
        <v>15972</v>
      </c>
      <c r="K298" s="287">
        <f t="shared" si="738"/>
        <v>15972</v>
      </c>
      <c r="L298" s="579">
        <f t="shared" si="729"/>
        <v>15912</v>
      </c>
      <c r="M298" s="287">
        <f t="shared" si="739"/>
        <v>15912</v>
      </c>
      <c r="N298" s="579">
        <f t="shared" si="731"/>
        <v>15882</v>
      </c>
      <c r="O298" s="287">
        <f t="shared" si="740"/>
        <v>15882</v>
      </c>
      <c r="P298" s="579">
        <f t="shared" si="732"/>
        <v>15857</v>
      </c>
      <c r="Q298" s="287">
        <f t="shared" si="741"/>
        <v>15857</v>
      </c>
      <c r="R298" s="579">
        <f t="shared" si="733"/>
        <v>15847</v>
      </c>
      <c r="S298" s="287">
        <f t="shared" si="742"/>
        <v>15847</v>
      </c>
      <c r="T298" s="579">
        <f t="shared" si="734"/>
        <v>15839</v>
      </c>
      <c r="U298" s="287">
        <f t="shared" si="743"/>
        <v>15839</v>
      </c>
      <c r="V298" s="579">
        <f t="shared" si="735"/>
        <v>15830</v>
      </c>
      <c r="W298" s="287">
        <f t="shared" si="744"/>
        <v>15830</v>
      </c>
      <c r="X298" s="686"/>
      <c r="Y298" s="687"/>
      <c r="Z298" s="687"/>
      <c r="AA298" s="688"/>
      <c r="AB298" s="192">
        <v>1042</v>
      </c>
    </row>
    <row r="299" spans="1:38" ht="12.6" customHeight="1" x14ac:dyDescent="0.2">
      <c r="A299" s="18"/>
      <c r="B299" s="689" t="s">
        <v>523</v>
      </c>
      <c r="C299" s="690"/>
      <c r="D299" s="690"/>
      <c r="E299" s="690"/>
      <c r="F299" s="329">
        <v>19627</v>
      </c>
      <c r="G299" s="288">
        <f t="shared" ref="G299:G307" si="746">+F299*$X$1</f>
        <v>19627</v>
      </c>
      <c r="H299" s="89">
        <f t="shared" ref="H299:H311" si="747">F299+500</f>
        <v>20127</v>
      </c>
      <c r="I299" s="288">
        <f t="shared" si="737"/>
        <v>20127</v>
      </c>
      <c r="J299" s="460">
        <f t="shared" si="727"/>
        <v>19837</v>
      </c>
      <c r="K299" s="288">
        <f t="shared" si="738"/>
        <v>19837</v>
      </c>
      <c r="L299" s="460">
        <f t="shared" si="729"/>
        <v>19777</v>
      </c>
      <c r="M299" s="288">
        <f t="shared" si="739"/>
        <v>19777</v>
      </c>
      <c r="N299" s="460">
        <f t="shared" si="731"/>
        <v>19747</v>
      </c>
      <c r="O299" s="288">
        <f t="shared" si="740"/>
        <v>19747</v>
      </c>
      <c r="P299" s="460">
        <f t="shared" si="732"/>
        <v>19722</v>
      </c>
      <c r="Q299" s="288">
        <f t="shared" si="741"/>
        <v>19722</v>
      </c>
      <c r="R299" s="460">
        <f t="shared" si="733"/>
        <v>19712</v>
      </c>
      <c r="S299" s="288">
        <f t="shared" si="742"/>
        <v>19712</v>
      </c>
      <c r="T299" s="460">
        <f t="shared" si="734"/>
        <v>19704</v>
      </c>
      <c r="U299" s="288">
        <f t="shared" si="743"/>
        <v>19704</v>
      </c>
      <c r="V299" s="460">
        <f t="shared" si="735"/>
        <v>19695</v>
      </c>
      <c r="W299" s="288">
        <f t="shared" si="744"/>
        <v>19695</v>
      </c>
      <c r="X299" s="686"/>
      <c r="Y299" s="687"/>
      <c r="Z299" s="687"/>
      <c r="AA299" s="688"/>
      <c r="AB299" s="192">
        <v>1043</v>
      </c>
      <c r="AC299" s="64"/>
    </row>
    <row r="300" spans="1:38" ht="12.6" customHeight="1" x14ac:dyDescent="0.2">
      <c r="A300" s="18"/>
      <c r="B300" s="711" t="s">
        <v>524</v>
      </c>
      <c r="C300" s="712"/>
      <c r="D300" s="712"/>
      <c r="E300" s="712"/>
      <c r="F300" s="330">
        <v>22947</v>
      </c>
      <c r="G300" s="287">
        <f t="shared" si="746"/>
        <v>22947</v>
      </c>
      <c r="H300" s="71">
        <f t="shared" si="747"/>
        <v>23447</v>
      </c>
      <c r="I300" s="287">
        <f t="shared" si="737"/>
        <v>23447</v>
      </c>
      <c r="J300" s="579">
        <f t="shared" si="727"/>
        <v>23157</v>
      </c>
      <c r="K300" s="287">
        <f t="shared" si="738"/>
        <v>23157</v>
      </c>
      <c r="L300" s="579">
        <f t="shared" si="729"/>
        <v>23097</v>
      </c>
      <c r="M300" s="287">
        <f t="shared" si="739"/>
        <v>23097</v>
      </c>
      <c r="N300" s="579">
        <f t="shared" si="731"/>
        <v>23067</v>
      </c>
      <c r="O300" s="287">
        <f t="shared" si="740"/>
        <v>23067</v>
      </c>
      <c r="P300" s="579">
        <f t="shared" si="732"/>
        <v>23042</v>
      </c>
      <c r="Q300" s="287">
        <f t="shared" si="741"/>
        <v>23042</v>
      </c>
      <c r="R300" s="579">
        <f t="shared" si="733"/>
        <v>23032</v>
      </c>
      <c r="S300" s="287">
        <f t="shared" si="742"/>
        <v>23032</v>
      </c>
      <c r="T300" s="579">
        <f t="shared" si="734"/>
        <v>23024</v>
      </c>
      <c r="U300" s="287">
        <f t="shared" si="743"/>
        <v>23024</v>
      </c>
      <c r="V300" s="579">
        <f t="shared" si="735"/>
        <v>23015</v>
      </c>
      <c r="W300" s="287">
        <f t="shared" si="744"/>
        <v>23015</v>
      </c>
      <c r="X300" s="686"/>
      <c r="Y300" s="687"/>
      <c r="Z300" s="687"/>
      <c r="AA300" s="688"/>
      <c r="AB300" s="192">
        <v>1044</v>
      </c>
      <c r="AC300" s="64"/>
    </row>
    <row r="301" spans="1:38" ht="12.6" customHeight="1" x14ac:dyDescent="0.2">
      <c r="A301" s="18"/>
      <c r="B301" s="689" t="s">
        <v>812</v>
      </c>
      <c r="C301" s="690"/>
      <c r="D301" s="690"/>
      <c r="E301" s="690"/>
      <c r="F301" s="329">
        <v>24164</v>
      </c>
      <c r="G301" s="288">
        <f>+F301*$X$1</f>
        <v>24164</v>
      </c>
      <c r="H301" s="89">
        <f t="shared" si="747"/>
        <v>24664</v>
      </c>
      <c r="I301" s="288">
        <f t="shared" si="737"/>
        <v>24664</v>
      </c>
      <c r="J301" s="460">
        <f t="shared" si="727"/>
        <v>24374</v>
      </c>
      <c r="K301" s="288">
        <f t="shared" si="738"/>
        <v>24374</v>
      </c>
      <c r="L301" s="460">
        <f t="shared" si="729"/>
        <v>24314</v>
      </c>
      <c r="M301" s="288">
        <f t="shared" si="739"/>
        <v>24314</v>
      </c>
      <c r="N301" s="460">
        <f t="shared" si="731"/>
        <v>24284</v>
      </c>
      <c r="O301" s="288">
        <f t="shared" si="740"/>
        <v>24284</v>
      </c>
      <c r="P301" s="460">
        <f t="shared" si="732"/>
        <v>24259</v>
      </c>
      <c r="Q301" s="288">
        <f t="shared" si="741"/>
        <v>24259</v>
      </c>
      <c r="R301" s="460">
        <f t="shared" si="733"/>
        <v>24249</v>
      </c>
      <c r="S301" s="288">
        <f t="shared" si="742"/>
        <v>24249</v>
      </c>
      <c r="T301" s="460">
        <f t="shared" si="734"/>
        <v>24241</v>
      </c>
      <c r="U301" s="288">
        <f t="shared" si="743"/>
        <v>24241</v>
      </c>
      <c r="V301" s="460">
        <f t="shared" si="735"/>
        <v>24232</v>
      </c>
      <c r="W301" s="288">
        <f t="shared" si="744"/>
        <v>24232</v>
      </c>
      <c r="X301" s="687"/>
      <c r="Y301" s="687"/>
      <c r="Z301" s="687"/>
      <c r="AA301" s="688"/>
      <c r="AB301" s="192">
        <v>1045</v>
      </c>
      <c r="AC301" s="64"/>
    </row>
    <row r="302" spans="1:38" ht="12.6" customHeight="1" x14ac:dyDescent="0.2">
      <c r="A302" s="18"/>
      <c r="B302" s="711" t="s">
        <v>972</v>
      </c>
      <c r="C302" s="712"/>
      <c r="D302" s="712"/>
      <c r="E302" s="712"/>
      <c r="F302" s="330">
        <v>21495</v>
      </c>
      <c r="G302" s="287">
        <f>+F302*$X$1</f>
        <v>21495</v>
      </c>
      <c r="H302" s="71">
        <f t="shared" ref="H302" si="748">F302+500</f>
        <v>21995</v>
      </c>
      <c r="I302" s="287">
        <f t="shared" ref="I302" si="749">+H302*$X$1</f>
        <v>21995</v>
      </c>
      <c r="J302" s="656">
        <f t="shared" ref="J302" si="750">F302+210</f>
        <v>21705</v>
      </c>
      <c r="K302" s="287">
        <f t="shared" ref="K302" si="751">+J302*$X$1</f>
        <v>21705</v>
      </c>
      <c r="L302" s="656">
        <f t="shared" ref="L302" si="752">F302+150</f>
        <v>21645</v>
      </c>
      <c r="M302" s="287">
        <f t="shared" ref="M302" si="753">+L302*$X$1</f>
        <v>21645</v>
      </c>
      <c r="N302" s="656">
        <f t="shared" ref="N302" si="754">F302+120</f>
        <v>21615</v>
      </c>
      <c r="O302" s="287">
        <f t="shared" ref="O302" si="755">+N302*$X$1</f>
        <v>21615</v>
      </c>
      <c r="P302" s="656">
        <f t="shared" ref="P302" si="756">F302+95</f>
        <v>21590</v>
      </c>
      <c r="Q302" s="287">
        <f t="shared" ref="Q302" si="757">+P302*$X$1</f>
        <v>21590</v>
      </c>
      <c r="R302" s="656">
        <f t="shared" ref="R302" si="758">F302+85</f>
        <v>21580</v>
      </c>
      <c r="S302" s="287">
        <f t="shared" ref="S302" si="759">+R302*$X$1</f>
        <v>21580</v>
      </c>
      <c r="T302" s="656">
        <f t="shared" ref="T302" si="760">F302+77</f>
        <v>21572</v>
      </c>
      <c r="U302" s="287">
        <f t="shared" ref="U302" si="761">+T302*$X$1</f>
        <v>21572</v>
      </c>
      <c r="V302" s="656">
        <f t="shared" ref="V302" si="762">F302+68</f>
        <v>21563</v>
      </c>
      <c r="W302" s="287">
        <f t="shared" ref="W302" si="763">+V302*$X$1</f>
        <v>21563</v>
      </c>
      <c r="X302" s="687"/>
      <c r="Y302" s="687"/>
      <c r="Z302" s="687"/>
      <c r="AA302" s="688"/>
      <c r="AB302" s="192">
        <v>1046</v>
      </c>
      <c r="AC302" s="64"/>
    </row>
    <row r="303" spans="1:38" ht="12.6" customHeight="1" x14ac:dyDescent="0.2">
      <c r="A303" s="18"/>
      <c r="B303" s="689" t="s">
        <v>556</v>
      </c>
      <c r="C303" s="690"/>
      <c r="D303" s="690"/>
      <c r="E303" s="690"/>
      <c r="F303" s="329">
        <v>12490</v>
      </c>
      <c r="G303" s="288">
        <f t="shared" si="746"/>
        <v>12490</v>
      </c>
      <c r="H303" s="89">
        <f t="shared" si="747"/>
        <v>12990</v>
      </c>
      <c r="I303" s="288">
        <f t="shared" si="737"/>
        <v>12990</v>
      </c>
      <c r="J303" s="460">
        <f t="shared" si="727"/>
        <v>12700</v>
      </c>
      <c r="K303" s="288">
        <f t="shared" si="738"/>
        <v>12700</v>
      </c>
      <c r="L303" s="460">
        <f t="shared" si="729"/>
        <v>12640</v>
      </c>
      <c r="M303" s="288">
        <f t="shared" si="739"/>
        <v>12640</v>
      </c>
      <c r="N303" s="460">
        <f t="shared" si="731"/>
        <v>12610</v>
      </c>
      <c r="O303" s="288">
        <f t="shared" si="740"/>
        <v>12610</v>
      </c>
      <c r="P303" s="460">
        <f t="shared" si="732"/>
        <v>12585</v>
      </c>
      <c r="Q303" s="288">
        <f t="shared" si="741"/>
        <v>12585</v>
      </c>
      <c r="R303" s="460">
        <f t="shared" si="733"/>
        <v>12575</v>
      </c>
      <c r="S303" s="288">
        <f t="shared" si="742"/>
        <v>12575</v>
      </c>
      <c r="T303" s="460">
        <f t="shared" si="734"/>
        <v>12567</v>
      </c>
      <c r="U303" s="288">
        <f t="shared" si="743"/>
        <v>12567</v>
      </c>
      <c r="V303" s="460">
        <f t="shared" si="735"/>
        <v>12558</v>
      </c>
      <c r="W303" s="288">
        <f t="shared" si="744"/>
        <v>12558</v>
      </c>
      <c r="X303" s="686"/>
      <c r="Y303" s="687"/>
      <c r="Z303" s="687"/>
      <c r="AA303" s="688"/>
      <c r="AB303" s="192">
        <v>1048</v>
      </c>
      <c r="AC303" s="64"/>
    </row>
    <row r="304" spans="1:38" ht="12.6" customHeight="1" x14ac:dyDescent="0.2">
      <c r="A304" s="18"/>
      <c r="B304" s="711" t="s">
        <v>555</v>
      </c>
      <c r="C304" s="712"/>
      <c r="D304" s="712"/>
      <c r="E304" s="712"/>
      <c r="F304" s="330">
        <v>9780</v>
      </c>
      <c r="G304" s="287">
        <f t="shared" si="746"/>
        <v>9780</v>
      </c>
      <c r="H304" s="71">
        <f t="shared" si="747"/>
        <v>10280</v>
      </c>
      <c r="I304" s="287">
        <f t="shared" si="737"/>
        <v>10280</v>
      </c>
      <c r="J304" s="656">
        <f t="shared" si="727"/>
        <v>9990</v>
      </c>
      <c r="K304" s="287">
        <f t="shared" si="738"/>
        <v>9990</v>
      </c>
      <c r="L304" s="656">
        <f t="shared" si="729"/>
        <v>9930</v>
      </c>
      <c r="M304" s="287">
        <f t="shared" si="739"/>
        <v>9930</v>
      </c>
      <c r="N304" s="656">
        <f t="shared" si="731"/>
        <v>9900</v>
      </c>
      <c r="O304" s="287">
        <f t="shared" si="740"/>
        <v>9900</v>
      </c>
      <c r="P304" s="656">
        <f t="shared" si="732"/>
        <v>9875</v>
      </c>
      <c r="Q304" s="287">
        <f t="shared" si="741"/>
        <v>9875</v>
      </c>
      <c r="R304" s="656">
        <f t="shared" si="733"/>
        <v>9865</v>
      </c>
      <c r="S304" s="287">
        <f t="shared" si="742"/>
        <v>9865</v>
      </c>
      <c r="T304" s="656">
        <f t="shared" si="734"/>
        <v>9857</v>
      </c>
      <c r="U304" s="287">
        <f t="shared" si="743"/>
        <v>9857</v>
      </c>
      <c r="V304" s="656">
        <f t="shared" si="735"/>
        <v>9848</v>
      </c>
      <c r="W304" s="287">
        <f t="shared" si="744"/>
        <v>9848</v>
      </c>
      <c r="X304" s="686"/>
      <c r="Y304" s="687"/>
      <c r="Z304" s="687"/>
      <c r="AA304" s="688"/>
      <c r="AB304" s="192">
        <v>1049</v>
      </c>
      <c r="AC304" s="64"/>
    </row>
    <row r="305" spans="1:34" ht="12.6" customHeight="1" x14ac:dyDescent="0.2">
      <c r="A305" s="18"/>
      <c r="B305" s="689" t="s">
        <v>557</v>
      </c>
      <c r="C305" s="690"/>
      <c r="D305" s="690"/>
      <c r="E305" s="690"/>
      <c r="F305" s="329">
        <v>11225</v>
      </c>
      <c r="G305" s="288">
        <f t="shared" si="746"/>
        <v>11225</v>
      </c>
      <c r="H305" s="89">
        <f t="shared" si="747"/>
        <v>11725</v>
      </c>
      <c r="I305" s="288">
        <f t="shared" si="737"/>
        <v>11725</v>
      </c>
      <c r="J305" s="460">
        <f t="shared" si="727"/>
        <v>11435</v>
      </c>
      <c r="K305" s="288">
        <f t="shared" si="738"/>
        <v>11435</v>
      </c>
      <c r="L305" s="460">
        <f t="shared" si="729"/>
        <v>11375</v>
      </c>
      <c r="M305" s="288">
        <f t="shared" si="739"/>
        <v>11375</v>
      </c>
      <c r="N305" s="460">
        <f t="shared" si="731"/>
        <v>11345</v>
      </c>
      <c r="O305" s="288">
        <f t="shared" si="740"/>
        <v>11345</v>
      </c>
      <c r="P305" s="460">
        <f t="shared" si="732"/>
        <v>11320</v>
      </c>
      <c r="Q305" s="288">
        <f t="shared" si="741"/>
        <v>11320</v>
      </c>
      <c r="R305" s="460">
        <f t="shared" si="733"/>
        <v>11310</v>
      </c>
      <c r="S305" s="288">
        <f t="shared" si="742"/>
        <v>11310</v>
      </c>
      <c r="T305" s="460">
        <f t="shared" si="734"/>
        <v>11302</v>
      </c>
      <c r="U305" s="288">
        <f t="shared" si="743"/>
        <v>11302</v>
      </c>
      <c r="V305" s="460">
        <f t="shared" si="735"/>
        <v>11293</v>
      </c>
      <c r="W305" s="288">
        <f t="shared" si="744"/>
        <v>11293</v>
      </c>
      <c r="X305" s="686"/>
      <c r="Y305" s="687"/>
      <c r="Z305" s="687"/>
      <c r="AA305" s="688"/>
      <c r="AB305" s="192">
        <v>1050</v>
      </c>
      <c r="AC305" s="64"/>
    </row>
    <row r="306" spans="1:34" ht="12.6" customHeight="1" x14ac:dyDescent="0.2">
      <c r="A306" s="18"/>
      <c r="B306" s="683" t="s">
        <v>813</v>
      </c>
      <c r="C306" s="715"/>
      <c r="D306" s="715"/>
      <c r="E306" s="716"/>
      <c r="F306" s="380">
        <f>12.3*X2</f>
        <v>13099.5</v>
      </c>
      <c r="G306" s="287">
        <f t="shared" ref="G306" si="764">+F306*$X$1</f>
        <v>13099.5</v>
      </c>
      <c r="H306" s="71">
        <f t="shared" si="747"/>
        <v>13599.5</v>
      </c>
      <c r="I306" s="287">
        <f t="shared" si="737"/>
        <v>13599.5</v>
      </c>
      <c r="J306" s="656">
        <f t="shared" si="727"/>
        <v>13309.5</v>
      </c>
      <c r="K306" s="287">
        <f t="shared" si="738"/>
        <v>13309.5</v>
      </c>
      <c r="L306" s="656">
        <f t="shared" si="729"/>
        <v>13249.5</v>
      </c>
      <c r="M306" s="287">
        <f t="shared" si="739"/>
        <v>13249.5</v>
      </c>
      <c r="N306" s="656">
        <f t="shared" si="731"/>
        <v>13219.5</v>
      </c>
      <c r="O306" s="287">
        <f t="shared" si="740"/>
        <v>13219.5</v>
      </c>
      <c r="P306" s="656">
        <f t="shared" si="732"/>
        <v>13194.5</v>
      </c>
      <c r="Q306" s="287">
        <f t="shared" si="741"/>
        <v>13194.5</v>
      </c>
      <c r="R306" s="656">
        <f t="shared" si="733"/>
        <v>13184.5</v>
      </c>
      <c r="S306" s="287">
        <f t="shared" si="742"/>
        <v>13184.5</v>
      </c>
      <c r="T306" s="656">
        <f t="shared" si="734"/>
        <v>13176.5</v>
      </c>
      <c r="U306" s="287">
        <f t="shared" si="743"/>
        <v>13176.5</v>
      </c>
      <c r="V306" s="656">
        <f t="shared" si="735"/>
        <v>13167.5</v>
      </c>
      <c r="W306" s="287">
        <f t="shared" si="744"/>
        <v>13167.5</v>
      </c>
      <c r="X306" s="686"/>
      <c r="Y306" s="687"/>
      <c r="Z306" s="687"/>
      <c r="AA306" s="688"/>
      <c r="AB306" s="192">
        <v>1052</v>
      </c>
      <c r="AC306" s="64"/>
    </row>
    <row r="307" spans="1:34" ht="12.6" customHeight="1" x14ac:dyDescent="0.2">
      <c r="A307" s="18"/>
      <c r="B307" s="680" t="s">
        <v>466</v>
      </c>
      <c r="C307" s="681"/>
      <c r="D307" s="681"/>
      <c r="E307" s="682"/>
      <c r="F307" s="381">
        <f>31.583*X2</f>
        <v>33635.894999999997</v>
      </c>
      <c r="G307" s="288">
        <f t="shared" si="746"/>
        <v>33635.894999999997</v>
      </c>
      <c r="H307" s="89">
        <f t="shared" si="747"/>
        <v>34135.894999999997</v>
      </c>
      <c r="I307" s="288">
        <f t="shared" si="737"/>
        <v>34135.894999999997</v>
      </c>
      <c r="J307" s="460">
        <f t="shared" si="727"/>
        <v>33845.894999999997</v>
      </c>
      <c r="K307" s="288">
        <f t="shared" si="738"/>
        <v>33845.894999999997</v>
      </c>
      <c r="L307" s="460">
        <f t="shared" si="729"/>
        <v>33785.894999999997</v>
      </c>
      <c r="M307" s="288">
        <f t="shared" si="739"/>
        <v>33785.894999999997</v>
      </c>
      <c r="N307" s="460">
        <f t="shared" si="731"/>
        <v>33755.894999999997</v>
      </c>
      <c r="O307" s="288">
        <f t="shared" si="740"/>
        <v>33755.894999999997</v>
      </c>
      <c r="P307" s="460">
        <f t="shared" si="732"/>
        <v>33730.894999999997</v>
      </c>
      <c r="Q307" s="288">
        <f t="shared" si="741"/>
        <v>33730.894999999997</v>
      </c>
      <c r="R307" s="460">
        <f t="shared" si="733"/>
        <v>33720.894999999997</v>
      </c>
      <c r="S307" s="288">
        <f t="shared" si="742"/>
        <v>33720.894999999997</v>
      </c>
      <c r="T307" s="460">
        <f t="shared" si="734"/>
        <v>33712.894999999997</v>
      </c>
      <c r="U307" s="288">
        <f t="shared" si="743"/>
        <v>33712.894999999997</v>
      </c>
      <c r="V307" s="460">
        <f t="shared" si="735"/>
        <v>33703.894999999997</v>
      </c>
      <c r="W307" s="288">
        <f t="shared" si="744"/>
        <v>33703.894999999997</v>
      </c>
      <c r="X307" s="686"/>
      <c r="Y307" s="687"/>
      <c r="Z307" s="687"/>
      <c r="AA307" s="688"/>
      <c r="AB307" s="192">
        <v>1053</v>
      </c>
      <c r="AC307" s="64"/>
    </row>
    <row r="308" spans="1:34" ht="12.6" customHeight="1" x14ac:dyDescent="0.2">
      <c r="A308" s="18"/>
      <c r="B308" s="683" t="s">
        <v>874</v>
      </c>
      <c r="C308" s="715"/>
      <c r="D308" s="715"/>
      <c r="E308" s="716"/>
      <c r="F308" s="380">
        <f>10.57*X2</f>
        <v>11257.050000000001</v>
      </c>
      <c r="G308" s="287">
        <f t="shared" ref="G308" si="765">+F308*$X$1</f>
        <v>11257.050000000001</v>
      </c>
      <c r="H308" s="71">
        <f t="shared" si="747"/>
        <v>11757.050000000001</v>
      </c>
      <c r="I308" s="287">
        <f t="shared" si="737"/>
        <v>11757.050000000001</v>
      </c>
      <c r="J308" s="656">
        <f t="shared" si="727"/>
        <v>11467.050000000001</v>
      </c>
      <c r="K308" s="287">
        <f t="shared" si="738"/>
        <v>11467.050000000001</v>
      </c>
      <c r="L308" s="656">
        <f t="shared" si="729"/>
        <v>11407.050000000001</v>
      </c>
      <c r="M308" s="287">
        <f t="shared" si="739"/>
        <v>11407.050000000001</v>
      </c>
      <c r="N308" s="656">
        <f t="shared" si="731"/>
        <v>11377.050000000001</v>
      </c>
      <c r="O308" s="287">
        <f t="shared" si="740"/>
        <v>11377.050000000001</v>
      </c>
      <c r="P308" s="656">
        <f t="shared" si="732"/>
        <v>11352.050000000001</v>
      </c>
      <c r="Q308" s="287">
        <f t="shared" si="741"/>
        <v>11352.050000000001</v>
      </c>
      <c r="R308" s="656">
        <f t="shared" si="733"/>
        <v>11342.050000000001</v>
      </c>
      <c r="S308" s="287">
        <f t="shared" si="742"/>
        <v>11342.050000000001</v>
      </c>
      <c r="T308" s="656">
        <f t="shared" si="734"/>
        <v>11334.050000000001</v>
      </c>
      <c r="U308" s="287">
        <f t="shared" si="743"/>
        <v>11334.050000000001</v>
      </c>
      <c r="V308" s="656">
        <f t="shared" si="735"/>
        <v>11325.050000000001</v>
      </c>
      <c r="W308" s="287">
        <f t="shared" si="744"/>
        <v>11325.050000000001</v>
      </c>
      <c r="X308" s="686"/>
      <c r="Y308" s="687"/>
      <c r="Z308" s="687"/>
      <c r="AA308" s="688"/>
      <c r="AB308" s="192">
        <v>1054</v>
      </c>
      <c r="AC308" s="64"/>
    </row>
    <row r="309" spans="1:34" ht="12.6" customHeight="1" x14ac:dyDescent="0.2">
      <c r="A309" s="18"/>
      <c r="B309" s="671" t="s">
        <v>944</v>
      </c>
      <c r="C309" s="742"/>
      <c r="D309" s="742"/>
      <c r="E309" s="743"/>
      <c r="F309" s="381">
        <f>26.9*X2</f>
        <v>28648.5</v>
      </c>
      <c r="G309" s="288">
        <f t="shared" ref="G309" si="766">+F309*$X$1</f>
        <v>28648.5</v>
      </c>
      <c r="H309" s="89">
        <f t="shared" si="747"/>
        <v>29148.5</v>
      </c>
      <c r="I309" s="288">
        <f t="shared" ref="I309" si="767">+H309*$X$1</f>
        <v>29148.5</v>
      </c>
      <c r="J309" s="460">
        <f t="shared" ref="J309" si="768">F309+210</f>
        <v>28858.5</v>
      </c>
      <c r="K309" s="288">
        <f t="shared" ref="K309" si="769">+J309*$X$1</f>
        <v>28858.5</v>
      </c>
      <c r="L309" s="460">
        <f t="shared" ref="L309" si="770">F309+150</f>
        <v>28798.5</v>
      </c>
      <c r="M309" s="288">
        <f t="shared" ref="M309" si="771">+L309*$X$1</f>
        <v>28798.5</v>
      </c>
      <c r="N309" s="460">
        <f t="shared" ref="N309" si="772">F309+120</f>
        <v>28768.5</v>
      </c>
      <c r="O309" s="288">
        <f t="shared" ref="O309" si="773">+N309*$X$1</f>
        <v>28768.5</v>
      </c>
      <c r="P309" s="460">
        <f t="shared" ref="P309" si="774">F309+95</f>
        <v>28743.5</v>
      </c>
      <c r="Q309" s="288">
        <f t="shared" ref="Q309" si="775">+P309*$X$1</f>
        <v>28743.5</v>
      </c>
      <c r="R309" s="460">
        <f t="shared" ref="R309" si="776">F309+85</f>
        <v>28733.5</v>
      </c>
      <c r="S309" s="288">
        <f t="shared" ref="S309" si="777">+R309*$X$1</f>
        <v>28733.5</v>
      </c>
      <c r="T309" s="460">
        <f t="shared" ref="T309" si="778">F309+77</f>
        <v>28725.5</v>
      </c>
      <c r="U309" s="288">
        <f t="shared" ref="U309" si="779">+T309*$X$1</f>
        <v>28725.5</v>
      </c>
      <c r="V309" s="460">
        <f t="shared" ref="V309" si="780">F309+68</f>
        <v>28716.5</v>
      </c>
      <c r="W309" s="288">
        <f t="shared" ref="W309" si="781">+V309*$X$1</f>
        <v>28716.5</v>
      </c>
      <c r="X309" s="686"/>
      <c r="Y309" s="687"/>
      <c r="Z309" s="687"/>
      <c r="AA309" s="688"/>
      <c r="AB309" s="192">
        <v>1056</v>
      </c>
      <c r="AC309" s="64"/>
    </row>
    <row r="310" spans="1:34" ht="12.6" customHeight="1" x14ac:dyDescent="0.2">
      <c r="A310" s="18"/>
      <c r="B310" s="711" t="s">
        <v>607</v>
      </c>
      <c r="C310" s="712"/>
      <c r="D310" s="712"/>
      <c r="E310" s="712"/>
      <c r="F310" s="330">
        <v>19235</v>
      </c>
      <c r="G310" s="287">
        <f>+F310*$X$1</f>
        <v>19235</v>
      </c>
      <c r="H310" s="71">
        <f t="shared" si="747"/>
        <v>19735</v>
      </c>
      <c r="I310" s="287">
        <f t="shared" si="737"/>
        <v>19735</v>
      </c>
      <c r="J310" s="656">
        <f t="shared" si="727"/>
        <v>19445</v>
      </c>
      <c r="K310" s="287">
        <f t="shared" si="738"/>
        <v>19445</v>
      </c>
      <c r="L310" s="656">
        <f t="shared" si="729"/>
        <v>19385</v>
      </c>
      <c r="M310" s="287">
        <f t="shared" si="739"/>
        <v>19385</v>
      </c>
      <c r="N310" s="656">
        <f t="shared" si="731"/>
        <v>19355</v>
      </c>
      <c r="O310" s="287">
        <f t="shared" si="740"/>
        <v>19355</v>
      </c>
      <c r="P310" s="656">
        <f t="shared" si="732"/>
        <v>19330</v>
      </c>
      <c r="Q310" s="287">
        <f t="shared" si="741"/>
        <v>19330</v>
      </c>
      <c r="R310" s="656">
        <f t="shared" si="733"/>
        <v>19320</v>
      </c>
      <c r="S310" s="287">
        <f t="shared" si="742"/>
        <v>19320</v>
      </c>
      <c r="T310" s="656">
        <f t="shared" si="734"/>
        <v>19312</v>
      </c>
      <c r="U310" s="287">
        <f t="shared" si="743"/>
        <v>19312</v>
      </c>
      <c r="V310" s="656">
        <f t="shared" si="735"/>
        <v>19303</v>
      </c>
      <c r="W310" s="287">
        <f t="shared" si="744"/>
        <v>19303</v>
      </c>
      <c r="X310" s="686"/>
      <c r="Y310" s="687"/>
      <c r="Z310" s="687"/>
      <c r="AA310" s="688"/>
      <c r="AB310" s="192">
        <v>1057</v>
      </c>
    </row>
    <row r="311" spans="1:34" ht="12.6" customHeight="1" x14ac:dyDescent="0.2">
      <c r="A311" s="18"/>
      <c r="B311" s="689" t="s">
        <v>434</v>
      </c>
      <c r="C311" s="690"/>
      <c r="D311" s="690"/>
      <c r="E311" s="690"/>
      <c r="F311" s="384">
        <f>13.79*X2</f>
        <v>14686.349999999999</v>
      </c>
      <c r="G311" s="319">
        <f t="shared" ref="G311" si="782">+F311*$X$1</f>
        <v>14686.349999999999</v>
      </c>
      <c r="H311" s="89">
        <f t="shared" si="747"/>
        <v>15186.349999999999</v>
      </c>
      <c r="I311" s="288">
        <f t="shared" si="737"/>
        <v>15186.349999999999</v>
      </c>
      <c r="J311" s="460">
        <f t="shared" si="727"/>
        <v>14896.349999999999</v>
      </c>
      <c r="K311" s="288">
        <f t="shared" si="738"/>
        <v>14896.349999999999</v>
      </c>
      <c r="L311" s="460">
        <f t="shared" si="729"/>
        <v>14836.349999999999</v>
      </c>
      <c r="M311" s="288">
        <f t="shared" si="739"/>
        <v>14836.349999999999</v>
      </c>
      <c r="N311" s="460">
        <f t="shared" si="731"/>
        <v>14806.349999999999</v>
      </c>
      <c r="O311" s="288">
        <f t="shared" si="740"/>
        <v>14806.349999999999</v>
      </c>
      <c r="P311" s="460">
        <f t="shared" si="732"/>
        <v>14781.349999999999</v>
      </c>
      <c r="Q311" s="288">
        <f t="shared" si="741"/>
        <v>14781.349999999999</v>
      </c>
      <c r="R311" s="460">
        <f t="shared" si="733"/>
        <v>14771.349999999999</v>
      </c>
      <c r="S311" s="288">
        <f t="shared" si="742"/>
        <v>14771.349999999999</v>
      </c>
      <c r="T311" s="460">
        <f t="shared" si="734"/>
        <v>14763.349999999999</v>
      </c>
      <c r="U311" s="288">
        <f t="shared" si="743"/>
        <v>14763.349999999999</v>
      </c>
      <c r="V311" s="460">
        <f t="shared" si="735"/>
        <v>14754.349999999999</v>
      </c>
      <c r="W311" s="288">
        <f t="shared" si="744"/>
        <v>14754.349999999999</v>
      </c>
      <c r="X311" s="686"/>
      <c r="Y311" s="687"/>
      <c r="Z311" s="687"/>
      <c r="AA311" s="688"/>
      <c r="AB311" s="192">
        <v>1064</v>
      </c>
      <c r="AC311" s="64"/>
    </row>
    <row r="312" spans="1:34" ht="12.6" customHeight="1" x14ac:dyDescent="0.2">
      <c r="A312" s="18"/>
      <c r="B312" s="671" t="s">
        <v>945</v>
      </c>
      <c r="C312" s="672"/>
      <c r="D312" s="672"/>
      <c r="E312" s="673"/>
      <c r="F312" s="380">
        <f>8.95*X2</f>
        <v>9531.75</v>
      </c>
      <c r="G312" s="287">
        <f>+F312*$X$1</f>
        <v>9531.75</v>
      </c>
      <c r="H312" s="71">
        <f>F312+600</f>
        <v>10131.75</v>
      </c>
      <c r="I312" s="287">
        <f t="shared" si="737"/>
        <v>10131.75</v>
      </c>
      <c r="J312" s="656">
        <f>F312+270</f>
        <v>9801.75</v>
      </c>
      <c r="K312" s="287">
        <f>+J312*$X$1</f>
        <v>9801.75</v>
      </c>
      <c r="L312" s="656">
        <f>F312+230</f>
        <v>9761.75</v>
      </c>
      <c r="M312" s="287">
        <f>+L312*$X$1</f>
        <v>9761.75</v>
      </c>
      <c r="N312" s="71">
        <f>F312+200</f>
        <v>9731.75</v>
      </c>
      <c r="O312" s="287">
        <f t="shared" si="740"/>
        <v>9731.75</v>
      </c>
      <c r="P312" s="71">
        <f>F312+180</f>
        <v>9711.75</v>
      </c>
      <c r="Q312" s="287">
        <f t="shared" si="741"/>
        <v>9711.75</v>
      </c>
      <c r="R312" s="656">
        <f>F312+150</f>
        <v>9681.75</v>
      </c>
      <c r="S312" s="287">
        <f t="shared" si="742"/>
        <v>9681.75</v>
      </c>
      <c r="T312" s="656">
        <f>F312+120</f>
        <v>9651.75</v>
      </c>
      <c r="U312" s="287">
        <f t="shared" si="743"/>
        <v>9651.75</v>
      </c>
      <c r="V312" s="656">
        <f>F312+100</f>
        <v>9631.75</v>
      </c>
      <c r="W312" s="287">
        <f t="shared" si="744"/>
        <v>9631.75</v>
      </c>
      <c r="X312" s="587"/>
      <c r="Y312" s="593"/>
      <c r="Z312" s="593"/>
      <c r="AA312" s="588"/>
      <c r="AB312" s="192">
        <v>1066</v>
      </c>
    </row>
    <row r="313" spans="1:34" ht="12.6" customHeight="1" x14ac:dyDescent="0.2">
      <c r="A313" s="18"/>
      <c r="B313" s="680" t="s">
        <v>215</v>
      </c>
      <c r="C313" s="691"/>
      <c r="D313" s="691"/>
      <c r="E313" s="692"/>
      <c r="F313" s="381">
        <f>12.16*X2</f>
        <v>12950.4</v>
      </c>
      <c r="G313" s="288">
        <f>+F313*$X$1</f>
        <v>12950.4</v>
      </c>
      <c r="H313" s="89">
        <f>F313+500</f>
        <v>13450.4</v>
      </c>
      <c r="I313" s="288">
        <f t="shared" ref="I313:I314" si="783">+H313*$X$1</f>
        <v>13450.4</v>
      </c>
      <c r="J313" s="460">
        <f t="shared" si="727"/>
        <v>13160.4</v>
      </c>
      <c r="K313" s="288">
        <f>+J313*$X$1</f>
        <v>13160.4</v>
      </c>
      <c r="L313" s="460">
        <f>F313+170</f>
        <v>13120.4</v>
      </c>
      <c r="M313" s="288">
        <f>+L313*$X$1</f>
        <v>13120.4</v>
      </c>
      <c r="N313" s="89">
        <f>F313+130</f>
        <v>13080.4</v>
      </c>
      <c r="O313" s="288">
        <f t="shared" ref="O313:O314" si="784">+N313*$X$1</f>
        <v>13080.4</v>
      </c>
      <c r="P313" s="89">
        <f>F313+110</f>
        <v>13060.4</v>
      </c>
      <c r="Q313" s="288">
        <f t="shared" ref="Q313:Q314" si="785">+P313*$X$1</f>
        <v>13060.4</v>
      </c>
      <c r="R313" s="460">
        <f>F313+100</f>
        <v>13050.4</v>
      </c>
      <c r="S313" s="288">
        <f t="shared" ref="S313:S314" si="786">+R313*$X$1</f>
        <v>13050.4</v>
      </c>
      <c r="T313" s="460">
        <f>F313+93</f>
        <v>13043.4</v>
      </c>
      <c r="U313" s="288">
        <f t="shared" ref="U313:U314" si="787">+T313*$X$1</f>
        <v>13043.4</v>
      </c>
      <c r="V313" s="460">
        <f>F313+84</f>
        <v>13034.4</v>
      </c>
      <c r="W313" s="288">
        <f t="shared" ref="W313:W314" si="788">+V313*$X$1</f>
        <v>13034.4</v>
      </c>
      <c r="X313" s="177"/>
      <c r="Y313" s="180"/>
      <c r="Z313" s="180"/>
      <c r="AA313" s="179"/>
      <c r="AB313" s="192">
        <v>1075</v>
      </c>
    </row>
    <row r="314" spans="1:34" ht="12.6" customHeight="1" x14ac:dyDescent="0.2">
      <c r="A314" s="18"/>
      <c r="B314" s="711" t="s">
        <v>385</v>
      </c>
      <c r="C314" s="795"/>
      <c r="D314" s="795"/>
      <c r="E314" s="795"/>
      <c r="F314" s="385">
        <f>8.85*X2</f>
        <v>9425.25</v>
      </c>
      <c r="G314" s="306">
        <f t="shared" ref="G314" si="789">+F314*$X$1</f>
        <v>9425.25</v>
      </c>
      <c r="H314" s="71">
        <f t="shared" ref="H314:H315" si="790">F314+500</f>
        <v>9925.25</v>
      </c>
      <c r="I314" s="287">
        <f t="shared" si="783"/>
        <v>9925.25</v>
      </c>
      <c r="J314" s="656">
        <f t="shared" si="727"/>
        <v>9635.25</v>
      </c>
      <c r="K314" s="287">
        <f t="shared" ref="K314" si="791">+J314*$X$1</f>
        <v>9635.25</v>
      </c>
      <c r="L314" s="656">
        <f t="shared" ref="L314:L315" si="792">F314+150</f>
        <v>9575.25</v>
      </c>
      <c r="M314" s="287">
        <f t="shared" ref="M314" si="793">+L314*$X$1</f>
        <v>9575.25</v>
      </c>
      <c r="N314" s="656">
        <f t="shared" ref="N314:N315" si="794">F314+120</f>
        <v>9545.25</v>
      </c>
      <c r="O314" s="287">
        <f t="shared" si="784"/>
        <v>9545.25</v>
      </c>
      <c r="P314" s="656">
        <f t="shared" ref="P314:P315" si="795">F314+95</f>
        <v>9520.25</v>
      </c>
      <c r="Q314" s="287">
        <f t="shared" si="785"/>
        <v>9520.25</v>
      </c>
      <c r="R314" s="656">
        <f t="shared" ref="R314:R315" si="796">F314+85</f>
        <v>9510.25</v>
      </c>
      <c r="S314" s="287">
        <f t="shared" si="786"/>
        <v>9510.25</v>
      </c>
      <c r="T314" s="656">
        <f t="shared" ref="T314:T315" si="797">F314+77</f>
        <v>9502.25</v>
      </c>
      <c r="U314" s="287">
        <f t="shared" si="787"/>
        <v>9502.25</v>
      </c>
      <c r="V314" s="656">
        <f t="shared" ref="V314:V315" si="798">F314+68</f>
        <v>9493.25</v>
      </c>
      <c r="W314" s="287">
        <f t="shared" si="788"/>
        <v>9493.25</v>
      </c>
      <c r="X314" s="686"/>
      <c r="Y314" s="687"/>
      <c r="Z314" s="687"/>
      <c r="AA314" s="688"/>
      <c r="AB314" s="192">
        <v>1078</v>
      </c>
    </row>
    <row r="315" spans="1:34" ht="12.6" customHeight="1" x14ac:dyDescent="0.2">
      <c r="A315" s="18"/>
      <c r="B315" s="702" t="s">
        <v>387</v>
      </c>
      <c r="C315" s="703"/>
      <c r="D315" s="703"/>
      <c r="E315" s="703"/>
      <c r="F315" s="384">
        <f>6.87*X2</f>
        <v>7316.55</v>
      </c>
      <c r="G315" s="319">
        <f t="shared" ref="G315" si="799">+F315*$X$1</f>
        <v>7316.55</v>
      </c>
      <c r="H315" s="89">
        <f t="shared" si="790"/>
        <v>7816.55</v>
      </c>
      <c r="I315" s="288">
        <f t="shared" ref="I315" si="800">+H315*$X$1</f>
        <v>7816.55</v>
      </c>
      <c r="J315" s="460">
        <f t="shared" si="727"/>
        <v>7526.55</v>
      </c>
      <c r="K315" s="288">
        <f t="shared" ref="K315" si="801">+J315*$X$1</f>
        <v>7526.55</v>
      </c>
      <c r="L315" s="460">
        <f t="shared" si="792"/>
        <v>7466.55</v>
      </c>
      <c r="M315" s="288">
        <f t="shared" ref="M315" si="802">+L315*$X$1</f>
        <v>7466.55</v>
      </c>
      <c r="N315" s="460">
        <f t="shared" si="794"/>
        <v>7436.55</v>
      </c>
      <c r="O315" s="288">
        <f t="shared" ref="O315" si="803">+N315*$X$1</f>
        <v>7436.55</v>
      </c>
      <c r="P315" s="460">
        <f t="shared" si="795"/>
        <v>7411.55</v>
      </c>
      <c r="Q315" s="288">
        <f t="shared" ref="Q315" si="804">+P315*$X$1</f>
        <v>7411.55</v>
      </c>
      <c r="R315" s="460">
        <f t="shared" si="796"/>
        <v>7401.55</v>
      </c>
      <c r="S315" s="288">
        <f t="shared" ref="S315" si="805">+R315*$X$1</f>
        <v>7401.55</v>
      </c>
      <c r="T315" s="460">
        <f t="shared" si="797"/>
        <v>7393.55</v>
      </c>
      <c r="U315" s="288">
        <f t="shared" ref="U315" si="806">+T315*$X$1</f>
        <v>7393.55</v>
      </c>
      <c r="V315" s="460">
        <f t="shared" si="798"/>
        <v>7384.55</v>
      </c>
      <c r="W315" s="288">
        <f t="shared" ref="W315" si="807">+V315*$X$1</f>
        <v>7384.55</v>
      </c>
      <c r="X315" s="687"/>
      <c r="Y315" s="687"/>
      <c r="Z315" s="687"/>
      <c r="AA315" s="688"/>
      <c r="AB315" s="192">
        <v>1079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5"/>
      <c r="C318" s="65"/>
      <c r="D318" s="65"/>
      <c r="E318" s="65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726" t="s">
        <v>11</v>
      </c>
      <c r="C319" s="732" t="s">
        <v>12</v>
      </c>
      <c r="D319" s="733"/>
      <c r="E319" s="733"/>
      <c r="F319" s="709" t="s">
        <v>13</v>
      </c>
      <c r="G319" s="709" t="s">
        <v>13</v>
      </c>
      <c r="H319" s="730" t="s">
        <v>815</v>
      </c>
      <c r="I319" s="730"/>
      <c r="J319" s="731"/>
      <c r="K319" s="731"/>
      <c r="L319" s="731"/>
      <c r="M319" s="731"/>
      <c r="N319" s="731"/>
      <c r="O319" s="731"/>
      <c r="P319" s="731"/>
      <c r="Q319" s="731"/>
      <c r="R319" s="731"/>
      <c r="S319" s="731"/>
      <c r="T319" s="731"/>
      <c r="U319" s="731"/>
      <c r="V319" s="731"/>
      <c r="W319" s="731"/>
      <c r="X319" s="753" t="s">
        <v>14</v>
      </c>
      <c r="Y319" s="754"/>
      <c r="Z319" s="754"/>
      <c r="AA319" s="755"/>
      <c r="AB319" s="791" t="s">
        <v>15</v>
      </c>
      <c r="AF319" s="789" t="s">
        <v>3</v>
      </c>
      <c r="AG319" s="790"/>
      <c r="AH319" s="790"/>
    </row>
    <row r="320" spans="1:34" ht="11.25" customHeight="1" x14ac:dyDescent="0.2">
      <c r="A320" s="18"/>
      <c r="B320" s="726"/>
      <c r="C320" s="733"/>
      <c r="D320" s="733"/>
      <c r="E320" s="733"/>
      <c r="F320" s="710"/>
      <c r="G320" s="710"/>
      <c r="H320" s="482"/>
      <c r="I320" s="474" t="s">
        <v>289</v>
      </c>
      <c r="J320" s="476"/>
      <c r="K320" s="474" t="s">
        <v>17</v>
      </c>
      <c r="L320" s="477"/>
      <c r="M320" s="477" t="s">
        <v>18</v>
      </c>
      <c r="N320" s="477"/>
      <c r="O320" s="474" t="s">
        <v>19</v>
      </c>
      <c r="P320" s="477"/>
      <c r="Q320" s="477" t="s">
        <v>291</v>
      </c>
      <c r="R320" s="477"/>
      <c r="S320" s="477" t="s">
        <v>20</v>
      </c>
      <c r="T320" s="477"/>
      <c r="U320" s="477" t="s">
        <v>21</v>
      </c>
      <c r="V320" s="477"/>
      <c r="W320" s="477" t="s">
        <v>22</v>
      </c>
      <c r="X320" s="756"/>
      <c r="Y320" s="757"/>
      <c r="Z320" s="757"/>
      <c r="AA320" s="758"/>
      <c r="AB320" s="792"/>
    </row>
    <row r="321" spans="1:34" ht="12.6" customHeight="1" x14ac:dyDescent="0.2">
      <c r="A321" s="18"/>
      <c r="B321" s="711" t="s">
        <v>521</v>
      </c>
      <c r="C321" s="712"/>
      <c r="D321" s="712"/>
      <c r="E321" s="712"/>
      <c r="F321" s="330">
        <v>16826</v>
      </c>
      <c r="G321" s="287">
        <f>+F321*$X$1</f>
        <v>16826</v>
      </c>
      <c r="H321" s="71">
        <f>F321+500</f>
        <v>17326</v>
      </c>
      <c r="I321" s="287">
        <f>+H321*$X$1</f>
        <v>17326</v>
      </c>
      <c r="J321" s="656">
        <f>F321+210</f>
        <v>17036</v>
      </c>
      <c r="K321" s="287">
        <f>+J321*$X$1</f>
        <v>17036</v>
      </c>
      <c r="L321" s="656">
        <f>F321+150</f>
        <v>16976</v>
      </c>
      <c r="M321" s="287">
        <f t="shared" ref="M321:M327" si="808">+L321*$X$1</f>
        <v>16976</v>
      </c>
      <c r="N321" s="656">
        <f>F321+120</f>
        <v>16946</v>
      </c>
      <c r="O321" s="287">
        <f t="shared" ref="O321:O327" si="809">+N321*$X$1</f>
        <v>16946</v>
      </c>
      <c r="P321" s="656">
        <f>F321+95</f>
        <v>16921</v>
      </c>
      <c r="Q321" s="287">
        <f t="shared" ref="Q321:Q327" si="810">+P321*$X$1</f>
        <v>16921</v>
      </c>
      <c r="R321" s="656">
        <f>F321+85</f>
        <v>16911</v>
      </c>
      <c r="S321" s="287">
        <f t="shared" ref="S321:S327" si="811">+R321*$X$1</f>
        <v>16911</v>
      </c>
      <c r="T321" s="656">
        <f>F321+77</f>
        <v>16903</v>
      </c>
      <c r="U321" s="287">
        <f t="shared" ref="U321:U327" si="812">+T321*$X$1</f>
        <v>16903</v>
      </c>
      <c r="V321" s="656">
        <f>F321+68</f>
        <v>16894</v>
      </c>
      <c r="W321" s="287">
        <f t="shared" ref="W321:W327" si="813">+V321*$X$1</f>
        <v>16894</v>
      </c>
      <c r="X321" s="687"/>
      <c r="Y321" s="687"/>
      <c r="Z321" s="687"/>
      <c r="AA321" s="688"/>
      <c r="AB321" s="192">
        <v>1080</v>
      </c>
      <c r="AC321" s="64"/>
    </row>
    <row r="322" spans="1:34" ht="12.6" customHeight="1" x14ac:dyDescent="0.2">
      <c r="A322" s="18"/>
      <c r="B322" s="689" t="s">
        <v>522</v>
      </c>
      <c r="C322" s="690"/>
      <c r="D322" s="690"/>
      <c r="E322" s="690"/>
      <c r="F322" s="329">
        <v>18164</v>
      </c>
      <c r="G322" s="288">
        <f>+F322*$X$1</f>
        <v>18164</v>
      </c>
      <c r="H322" s="89">
        <f>F322+500</f>
        <v>18664</v>
      </c>
      <c r="I322" s="288">
        <f>+H322*$X$1</f>
        <v>18664</v>
      </c>
      <c r="J322" s="460">
        <f>F322+210</f>
        <v>18374</v>
      </c>
      <c r="K322" s="288">
        <f>+J322*$X$1</f>
        <v>18374</v>
      </c>
      <c r="L322" s="460">
        <f>F322+150</f>
        <v>18314</v>
      </c>
      <c r="M322" s="288">
        <f t="shared" si="808"/>
        <v>18314</v>
      </c>
      <c r="N322" s="460">
        <f>F322+120</f>
        <v>18284</v>
      </c>
      <c r="O322" s="288">
        <f t="shared" si="809"/>
        <v>18284</v>
      </c>
      <c r="P322" s="460">
        <f>F322+95</f>
        <v>18259</v>
      </c>
      <c r="Q322" s="288">
        <f t="shared" si="810"/>
        <v>18259</v>
      </c>
      <c r="R322" s="460">
        <f>F322+85</f>
        <v>18249</v>
      </c>
      <c r="S322" s="288">
        <f t="shared" si="811"/>
        <v>18249</v>
      </c>
      <c r="T322" s="460">
        <f>F322+77</f>
        <v>18241</v>
      </c>
      <c r="U322" s="288">
        <f t="shared" si="812"/>
        <v>18241</v>
      </c>
      <c r="V322" s="460">
        <f>F322+68</f>
        <v>18232</v>
      </c>
      <c r="W322" s="288">
        <f t="shared" si="813"/>
        <v>18232</v>
      </c>
      <c r="X322" s="687"/>
      <c r="Y322" s="687"/>
      <c r="Z322" s="687"/>
      <c r="AA322" s="688"/>
      <c r="AB322" s="192">
        <v>1081</v>
      </c>
      <c r="AC322" s="64"/>
    </row>
    <row r="323" spans="1:34" ht="12.6" customHeight="1" x14ac:dyDescent="0.2">
      <c r="A323" s="18"/>
      <c r="B323" s="711" t="s">
        <v>438</v>
      </c>
      <c r="C323" s="712"/>
      <c r="D323" s="712"/>
      <c r="E323" s="712"/>
      <c r="F323" s="330">
        <v>14847</v>
      </c>
      <c r="G323" s="287">
        <f>+F323*$X$1</f>
        <v>14847</v>
      </c>
      <c r="H323" s="71">
        <f>F323+500</f>
        <v>15347</v>
      </c>
      <c r="I323" s="287">
        <f>+H323*$X$1</f>
        <v>15347</v>
      </c>
      <c r="J323" s="656">
        <f>F323+210</f>
        <v>15057</v>
      </c>
      <c r="K323" s="287">
        <f>+J323*$X$1</f>
        <v>15057</v>
      </c>
      <c r="L323" s="656">
        <f>F323+150</f>
        <v>14997</v>
      </c>
      <c r="M323" s="287">
        <f t="shared" si="808"/>
        <v>14997</v>
      </c>
      <c r="N323" s="656">
        <f>F323+120</f>
        <v>14967</v>
      </c>
      <c r="O323" s="287">
        <f t="shared" si="809"/>
        <v>14967</v>
      </c>
      <c r="P323" s="656">
        <f>F323+95</f>
        <v>14942</v>
      </c>
      <c r="Q323" s="287">
        <f t="shared" si="810"/>
        <v>14942</v>
      </c>
      <c r="R323" s="656">
        <f>F323+85</f>
        <v>14932</v>
      </c>
      <c r="S323" s="287">
        <f t="shared" si="811"/>
        <v>14932</v>
      </c>
      <c r="T323" s="656">
        <f>F323+77</f>
        <v>14924</v>
      </c>
      <c r="U323" s="287">
        <f t="shared" si="812"/>
        <v>14924</v>
      </c>
      <c r="V323" s="656">
        <f>F323+68</f>
        <v>14915</v>
      </c>
      <c r="W323" s="287">
        <f t="shared" si="813"/>
        <v>14915</v>
      </c>
      <c r="X323" s="687"/>
      <c r="Y323" s="687"/>
      <c r="Z323" s="687"/>
      <c r="AA323" s="688"/>
      <c r="AB323" s="192">
        <v>1083</v>
      </c>
      <c r="AC323" s="64"/>
    </row>
    <row r="324" spans="1:34" ht="12.6" customHeight="1" x14ac:dyDescent="0.2">
      <c r="A324" s="18"/>
      <c r="B324" s="702" t="s">
        <v>826</v>
      </c>
      <c r="C324" s="703"/>
      <c r="D324" s="703"/>
      <c r="E324" s="703"/>
      <c r="F324" s="381">
        <f>2.32*X2</f>
        <v>2470.7999999999997</v>
      </c>
      <c r="G324" s="288">
        <f t="shared" ref="G324" si="814">+F324*$X$1</f>
        <v>2470.7999999999997</v>
      </c>
      <c r="H324" s="460">
        <f>F324+500</f>
        <v>2970.7999999999997</v>
      </c>
      <c r="I324" s="288">
        <f t="shared" ref="I324:I325" si="815">+H324*$X$1</f>
        <v>2970.7999999999997</v>
      </c>
      <c r="J324" s="460">
        <f>F324+200</f>
        <v>2670.7999999999997</v>
      </c>
      <c r="K324" s="288">
        <f>+J324*$X$1</f>
        <v>2670.7999999999997</v>
      </c>
      <c r="L324" s="460">
        <f>F324+140</f>
        <v>2610.7999999999997</v>
      </c>
      <c r="M324" s="288">
        <f t="shared" si="808"/>
        <v>2610.7999999999997</v>
      </c>
      <c r="N324" s="460">
        <f>F324+70</f>
        <v>2540.7999999999997</v>
      </c>
      <c r="O324" s="288">
        <f t="shared" si="809"/>
        <v>2540.7999999999997</v>
      </c>
      <c r="P324" s="460">
        <f>F324+60</f>
        <v>2530.7999999999997</v>
      </c>
      <c r="Q324" s="288">
        <f t="shared" si="810"/>
        <v>2530.7999999999997</v>
      </c>
      <c r="R324" s="460">
        <f>F324+50</f>
        <v>2520.7999999999997</v>
      </c>
      <c r="S324" s="288">
        <f t="shared" si="811"/>
        <v>2520.7999999999997</v>
      </c>
      <c r="T324" s="102">
        <f>F324+44</f>
        <v>2514.7999999999997</v>
      </c>
      <c r="U324" s="305">
        <f t="shared" si="812"/>
        <v>2514.7999999999997</v>
      </c>
      <c r="V324" s="102">
        <f>F324+38</f>
        <v>2508.7999999999997</v>
      </c>
      <c r="W324" s="305">
        <f t="shared" si="813"/>
        <v>2508.7999999999997</v>
      </c>
      <c r="X324" s="1026"/>
      <c r="Y324" s="1027"/>
      <c r="Z324" s="1027"/>
      <c r="AA324" s="1028"/>
      <c r="AB324" s="404">
        <v>2130</v>
      </c>
      <c r="AC324" s="65"/>
    </row>
    <row r="325" spans="1:34" ht="12.6" customHeight="1" x14ac:dyDescent="0.2">
      <c r="A325" s="18"/>
      <c r="B325" s="808" t="s">
        <v>827</v>
      </c>
      <c r="C325" s="816"/>
      <c r="D325" s="816"/>
      <c r="E325" s="816"/>
      <c r="F325" s="380">
        <f>2.3*X2</f>
        <v>2449.5</v>
      </c>
      <c r="G325" s="287">
        <f t="shared" ref="G325" si="816">+F325*$X$1</f>
        <v>2449.5</v>
      </c>
      <c r="H325" s="656">
        <f>F325+500</f>
        <v>2949.5</v>
      </c>
      <c r="I325" s="287">
        <f t="shared" si="815"/>
        <v>2949.5</v>
      </c>
      <c r="J325" s="656">
        <f>F325+200</f>
        <v>2649.5</v>
      </c>
      <c r="K325" s="287">
        <f>+J325*$X$1</f>
        <v>2649.5</v>
      </c>
      <c r="L325" s="656">
        <f>F325+140</f>
        <v>2589.5</v>
      </c>
      <c r="M325" s="287">
        <f t="shared" si="808"/>
        <v>2589.5</v>
      </c>
      <c r="N325" s="656">
        <f>F325+70</f>
        <v>2519.5</v>
      </c>
      <c r="O325" s="287">
        <f t="shared" si="809"/>
        <v>2519.5</v>
      </c>
      <c r="P325" s="656">
        <f>F325+60</f>
        <v>2509.5</v>
      </c>
      <c r="Q325" s="287">
        <f t="shared" si="810"/>
        <v>2509.5</v>
      </c>
      <c r="R325" s="656">
        <f>F325+50</f>
        <v>2499.5</v>
      </c>
      <c r="S325" s="287">
        <f t="shared" si="811"/>
        <v>2499.5</v>
      </c>
      <c r="T325" s="103">
        <f>F325+44</f>
        <v>2493.5</v>
      </c>
      <c r="U325" s="255">
        <f t="shared" si="812"/>
        <v>2493.5</v>
      </c>
      <c r="V325" s="103">
        <f>F325+38</f>
        <v>2487.5</v>
      </c>
      <c r="W325" s="255">
        <f t="shared" si="813"/>
        <v>2487.5</v>
      </c>
      <c r="X325" s="1026"/>
      <c r="Y325" s="1027"/>
      <c r="Z325" s="1027"/>
      <c r="AA325" s="1028"/>
      <c r="AB325" s="404">
        <v>2131</v>
      </c>
      <c r="AC325" s="65"/>
    </row>
    <row r="326" spans="1:34" ht="12.6" customHeight="1" x14ac:dyDescent="0.2">
      <c r="A326" s="104"/>
      <c r="B326" s="689" t="s">
        <v>216</v>
      </c>
      <c r="C326" s="690"/>
      <c r="D326" s="690"/>
      <c r="E326" s="690"/>
      <c r="F326" s="381">
        <f>0.445*X2</f>
        <v>473.92500000000001</v>
      </c>
      <c r="G326" s="288">
        <f t="shared" ref="G326" si="817">+F326*$X$1</f>
        <v>473.92500000000001</v>
      </c>
      <c r="H326" s="280"/>
      <c r="I326" s="344"/>
      <c r="J326" s="460"/>
      <c r="K326" s="288"/>
      <c r="L326" s="460">
        <f>F326+120</f>
        <v>593.92499999999995</v>
      </c>
      <c r="M326" s="288">
        <f t="shared" si="808"/>
        <v>593.92499999999995</v>
      </c>
      <c r="N326" s="460">
        <f>F326+60</f>
        <v>533.92499999999995</v>
      </c>
      <c r="O326" s="288">
        <f t="shared" si="809"/>
        <v>533.92499999999995</v>
      </c>
      <c r="P326" s="460">
        <f>F326+50</f>
        <v>523.92499999999995</v>
      </c>
      <c r="Q326" s="288">
        <f t="shared" si="810"/>
        <v>523.92499999999995</v>
      </c>
      <c r="R326" s="460">
        <f>F326+42</f>
        <v>515.92499999999995</v>
      </c>
      <c r="S326" s="288">
        <f t="shared" si="811"/>
        <v>515.92499999999995</v>
      </c>
      <c r="T326" s="102">
        <f>F326+34</f>
        <v>507.92500000000001</v>
      </c>
      <c r="U326" s="305">
        <f t="shared" si="812"/>
        <v>507.92500000000001</v>
      </c>
      <c r="V326" s="102">
        <f>F326+29</f>
        <v>502.92500000000001</v>
      </c>
      <c r="W326" s="305">
        <f t="shared" si="813"/>
        <v>502.92500000000001</v>
      </c>
      <c r="X326" s="133"/>
      <c r="Y326" s="131"/>
      <c r="Z326" s="131"/>
      <c r="AA326" s="131"/>
      <c r="AB326" s="404">
        <v>2145</v>
      </c>
      <c r="AC326" s="65"/>
    </row>
    <row r="327" spans="1:34" ht="12.6" customHeight="1" x14ac:dyDescent="0.2">
      <c r="A327" s="18"/>
      <c r="B327" s="711" t="s">
        <v>217</v>
      </c>
      <c r="C327" s="712"/>
      <c r="D327" s="712"/>
      <c r="E327" s="712"/>
      <c r="F327" s="380">
        <v>48</v>
      </c>
      <c r="G327" s="287">
        <f t="shared" ref="G327:G332" si="818">+F327*$X$1</f>
        <v>48</v>
      </c>
      <c r="H327" s="281"/>
      <c r="I327" s="343"/>
      <c r="J327" s="656">
        <f>F327+180</f>
        <v>228</v>
      </c>
      <c r="K327" s="287">
        <f t="shared" ref="K327" si="819">+J327*$X$1</f>
        <v>228</v>
      </c>
      <c r="L327" s="656">
        <f>F327+120</f>
        <v>168</v>
      </c>
      <c r="M327" s="287">
        <f t="shared" si="808"/>
        <v>168</v>
      </c>
      <c r="N327" s="656">
        <f>F327+60</f>
        <v>108</v>
      </c>
      <c r="O327" s="287">
        <f t="shared" si="809"/>
        <v>108</v>
      </c>
      <c r="P327" s="656">
        <f>F327+50</f>
        <v>98</v>
      </c>
      <c r="Q327" s="287">
        <f t="shared" si="810"/>
        <v>98</v>
      </c>
      <c r="R327" s="656">
        <f>F327+42</f>
        <v>90</v>
      </c>
      <c r="S327" s="287">
        <f t="shared" si="811"/>
        <v>90</v>
      </c>
      <c r="T327" s="103">
        <f>F327+34</f>
        <v>82</v>
      </c>
      <c r="U327" s="255">
        <f t="shared" si="812"/>
        <v>82</v>
      </c>
      <c r="V327" s="103">
        <f>F327+29</f>
        <v>77</v>
      </c>
      <c r="W327" s="255">
        <f t="shared" si="813"/>
        <v>77</v>
      </c>
      <c r="X327" s="131"/>
      <c r="Y327" s="131"/>
      <c r="Z327" s="131"/>
      <c r="AA327" s="131"/>
      <c r="AB327" s="404">
        <v>2149</v>
      </c>
    </row>
    <row r="328" spans="1:34" ht="12.6" customHeight="1" x14ac:dyDescent="0.25">
      <c r="A328" s="126"/>
      <c r="B328" s="695" t="s">
        <v>924</v>
      </c>
      <c r="C328" s="696"/>
      <c r="D328" s="696"/>
      <c r="E328" s="696"/>
      <c r="F328" s="381">
        <f>1.41*X2</f>
        <v>1501.6499999999999</v>
      </c>
      <c r="G328" s="288">
        <f t="shared" si="818"/>
        <v>1501.6499999999999</v>
      </c>
      <c r="H328" s="280"/>
      <c r="I328" s="344"/>
      <c r="J328" s="571"/>
      <c r="K328" s="288"/>
      <c r="L328" s="572"/>
      <c r="M328" s="288"/>
      <c r="N328" s="572"/>
      <c r="O328" s="573"/>
      <c r="P328" s="280"/>
      <c r="Q328" s="344"/>
      <c r="R328" s="572"/>
      <c r="S328" s="573"/>
      <c r="T328" s="572"/>
      <c r="U328" s="573"/>
      <c r="V328" s="572"/>
      <c r="W328" s="573"/>
      <c r="X328" s="131"/>
      <c r="Y328" s="131"/>
      <c r="Z328" s="131"/>
      <c r="AA328" s="131"/>
      <c r="AB328" s="192">
        <v>2150</v>
      </c>
    </row>
    <row r="329" spans="1:34" ht="12.6" customHeight="1" x14ac:dyDescent="0.25">
      <c r="A329" s="126"/>
      <c r="B329" s="711" t="s">
        <v>218</v>
      </c>
      <c r="C329" s="712"/>
      <c r="D329" s="712"/>
      <c r="E329" s="712"/>
      <c r="F329" s="380">
        <f>0.86*X2</f>
        <v>915.9</v>
      </c>
      <c r="G329" s="287">
        <f t="shared" si="818"/>
        <v>915.9</v>
      </c>
      <c r="H329" s="281"/>
      <c r="I329" s="343"/>
      <c r="J329" s="661"/>
      <c r="K329" s="287"/>
      <c r="L329" s="662"/>
      <c r="M329" s="287"/>
      <c r="N329" s="662"/>
      <c r="O329" s="663"/>
      <c r="P329" s="281"/>
      <c r="Q329" s="343"/>
      <c r="R329" s="662"/>
      <c r="S329" s="663"/>
      <c r="T329" s="662"/>
      <c r="U329" s="663"/>
      <c r="V329" s="662"/>
      <c r="W329" s="663"/>
      <c r="X329" s="131"/>
      <c r="Y329" s="131"/>
      <c r="Z329" s="131"/>
      <c r="AA329" s="131"/>
      <c r="AB329" s="192">
        <v>2151</v>
      </c>
    </row>
    <row r="330" spans="1:34" ht="12.6" customHeight="1" x14ac:dyDescent="0.2">
      <c r="A330" s="18"/>
      <c r="B330" s="702" t="s">
        <v>219</v>
      </c>
      <c r="C330" s="708"/>
      <c r="D330" s="708"/>
      <c r="E330" s="708"/>
      <c r="F330" s="384">
        <f>0.67*X2</f>
        <v>713.55000000000007</v>
      </c>
      <c r="G330" s="319">
        <f t="shared" si="818"/>
        <v>713.55000000000007</v>
      </c>
      <c r="H330" s="608"/>
      <c r="I330" s="609"/>
      <c r="J330" s="102"/>
      <c r="K330" s="319"/>
      <c r="L330" s="460">
        <f t="shared" ref="L330:L333" si="820">F330+120</f>
        <v>833.55000000000007</v>
      </c>
      <c r="M330" s="288">
        <f t="shared" ref="M330:M333" si="821">+L330*$X$1</f>
        <v>833.55000000000007</v>
      </c>
      <c r="N330" s="460">
        <f t="shared" ref="N330:N333" si="822">F330+60</f>
        <v>773.55000000000007</v>
      </c>
      <c r="O330" s="288">
        <f t="shared" ref="O330:O333" si="823">+N330*$X$1</f>
        <v>773.55000000000007</v>
      </c>
      <c r="P330" s="460">
        <f t="shared" ref="P330:P333" si="824">F330+50</f>
        <v>763.55000000000007</v>
      </c>
      <c r="Q330" s="288">
        <f t="shared" ref="Q330:Q333" si="825">+P330*$X$1</f>
        <v>763.55000000000007</v>
      </c>
      <c r="R330" s="460">
        <f t="shared" ref="R330:R333" si="826">F330+42</f>
        <v>755.55000000000007</v>
      </c>
      <c r="S330" s="288">
        <f t="shared" ref="S330:S333" si="827">+R330*$X$1</f>
        <v>755.55000000000007</v>
      </c>
      <c r="T330" s="102">
        <f t="shared" ref="T330:T333" si="828">F330+34</f>
        <v>747.55000000000007</v>
      </c>
      <c r="U330" s="305">
        <f t="shared" ref="U330:U333" si="829">+T330*$X$1</f>
        <v>747.55000000000007</v>
      </c>
      <c r="V330" s="102">
        <f t="shared" ref="V330:V333" si="830">F330+29</f>
        <v>742.55000000000007</v>
      </c>
      <c r="W330" s="305">
        <f t="shared" ref="W330:W333" si="831">+V330*$X$1</f>
        <v>742.55000000000007</v>
      </c>
      <c r="X330" s="131"/>
      <c r="Y330" s="131"/>
      <c r="Z330" s="131"/>
      <c r="AA330" s="131"/>
      <c r="AB330" s="418">
        <v>2153</v>
      </c>
      <c r="AC330" s="65"/>
    </row>
    <row r="331" spans="1:34" ht="12.6" customHeight="1" x14ac:dyDescent="0.2">
      <c r="A331" s="18"/>
      <c r="B331" s="711" t="s">
        <v>379</v>
      </c>
      <c r="C331" s="712"/>
      <c r="D331" s="712"/>
      <c r="E331" s="712"/>
      <c r="F331" s="380">
        <f>0.485*X2</f>
        <v>516.52499999999998</v>
      </c>
      <c r="G331" s="287">
        <f t="shared" si="818"/>
        <v>516.52499999999998</v>
      </c>
      <c r="H331" s="281"/>
      <c r="I331" s="343"/>
      <c r="J331" s="656"/>
      <c r="K331" s="287"/>
      <c r="L331" s="656">
        <f t="shared" si="820"/>
        <v>636.52499999999998</v>
      </c>
      <c r="M331" s="287">
        <f t="shared" si="821"/>
        <v>636.52499999999998</v>
      </c>
      <c r="N331" s="656">
        <f t="shared" si="822"/>
        <v>576.52499999999998</v>
      </c>
      <c r="O331" s="287">
        <f t="shared" si="823"/>
        <v>576.52499999999998</v>
      </c>
      <c r="P331" s="656">
        <f t="shared" si="824"/>
        <v>566.52499999999998</v>
      </c>
      <c r="Q331" s="287">
        <f t="shared" si="825"/>
        <v>566.52499999999998</v>
      </c>
      <c r="R331" s="656">
        <f t="shared" si="826"/>
        <v>558.52499999999998</v>
      </c>
      <c r="S331" s="287">
        <f t="shared" si="827"/>
        <v>558.52499999999998</v>
      </c>
      <c r="T331" s="103">
        <f t="shared" si="828"/>
        <v>550.52499999999998</v>
      </c>
      <c r="U331" s="255">
        <f t="shared" si="829"/>
        <v>550.52499999999998</v>
      </c>
      <c r="V331" s="103">
        <f t="shared" si="830"/>
        <v>545.52499999999998</v>
      </c>
      <c r="W331" s="255">
        <f t="shared" si="831"/>
        <v>545.52499999999998</v>
      </c>
      <c r="X331" s="131"/>
      <c r="Y331" s="138"/>
      <c r="Z331" s="138"/>
      <c r="AA331" s="138"/>
      <c r="AB331" s="417">
        <v>2154</v>
      </c>
      <c r="AC331" s="22"/>
      <c r="AD331" s="22"/>
    </row>
    <row r="332" spans="1:34" ht="12.6" customHeight="1" x14ac:dyDescent="0.2">
      <c r="A332" s="18"/>
      <c r="B332" s="689" t="s">
        <v>380</v>
      </c>
      <c r="C332" s="690"/>
      <c r="D332" s="690"/>
      <c r="E332" s="690"/>
      <c r="F332" s="381">
        <f>0.56*X2</f>
        <v>596.40000000000009</v>
      </c>
      <c r="G332" s="288">
        <f t="shared" si="818"/>
        <v>596.40000000000009</v>
      </c>
      <c r="H332" s="280"/>
      <c r="I332" s="344"/>
      <c r="J332" s="460"/>
      <c r="K332" s="288"/>
      <c r="L332" s="460">
        <f t="shared" si="820"/>
        <v>716.40000000000009</v>
      </c>
      <c r="M332" s="288">
        <f t="shared" si="821"/>
        <v>716.40000000000009</v>
      </c>
      <c r="N332" s="460">
        <f t="shared" si="822"/>
        <v>656.40000000000009</v>
      </c>
      <c r="O332" s="288">
        <f t="shared" si="823"/>
        <v>656.40000000000009</v>
      </c>
      <c r="P332" s="460">
        <f t="shared" si="824"/>
        <v>646.40000000000009</v>
      </c>
      <c r="Q332" s="288">
        <f t="shared" si="825"/>
        <v>646.40000000000009</v>
      </c>
      <c r="R332" s="460">
        <f t="shared" si="826"/>
        <v>638.40000000000009</v>
      </c>
      <c r="S332" s="288">
        <f t="shared" si="827"/>
        <v>638.40000000000009</v>
      </c>
      <c r="T332" s="102">
        <f t="shared" si="828"/>
        <v>630.40000000000009</v>
      </c>
      <c r="U332" s="305">
        <f t="shared" si="829"/>
        <v>630.40000000000009</v>
      </c>
      <c r="V332" s="102">
        <f t="shared" si="830"/>
        <v>625.40000000000009</v>
      </c>
      <c r="W332" s="305">
        <f t="shared" si="831"/>
        <v>625.40000000000009</v>
      </c>
      <c r="X332" s="150"/>
      <c r="Y332" s="131"/>
      <c r="Z332" s="138"/>
      <c r="AA332" s="138"/>
      <c r="AB332" s="417">
        <v>2156</v>
      </c>
      <c r="AC332" s="22"/>
      <c r="AD332" s="22"/>
    </row>
    <row r="333" spans="1:34" ht="12.6" customHeight="1" x14ac:dyDescent="0.2">
      <c r="A333" s="18"/>
      <c r="B333" s="683" t="s">
        <v>220</v>
      </c>
      <c r="C333" s="684"/>
      <c r="D333" s="684"/>
      <c r="E333" s="685"/>
      <c r="F333" s="380">
        <f>0.484*X2</f>
        <v>515.46</v>
      </c>
      <c r="G333" s="287">
        <f t="shared" ref="G333" si="832">+F333*$X$1</f>
        <v>515.46</v>
      </c>
      <c r="H333" s="281"/>
      <c r="I333" s="343"/>
      <c r="J333" s="656"/>
      <c r="K333" s="287"/>
      <c r="L333" s="656">
        <f t="shared" si="820"/>
        <v>635.46</v>
      </c>
      <c r="M333" s="287">
        <f t="shared" si="821"/>
        <v>635.46</v>
      </c>
      <c r="N333" s="656">
        <f t="shared" si="822"/>
        <v>575.46</v>
      </c>
      <c r="O333" s="287">
        <f t="shared" si="823"/>
        <v>575.46</v>
      </c>
      <c r="P333" s="656">
        <f t="shared" si="824"/>
        <v>565.46</v>
      </c>
      <c r="Q333" s="287">
        <f t="shared" si="825"/>
        <v>565.46</v>
      </c>
      <c r="R333" s="656">
        <f t="shared" si="826"/>
        <v>557.46</v>
      </c>
      <c r="S333" s="287">
        <f t="shared" si="827"/>
        <v>557.46</v>
      </c>
      <c r="T333" s="103">
        <f t="shared" si="828"/>
        <v>549.46</v>
      </c>
      <c r="U333" s="255">
        <f t="shared" si="829"/>
        <v>549.46</v>
      </c>
      <c r="V333" s="103">
        <f t="shared" si="830"/>
        <v>544.46</v>
      </c>
      <c r="W333" s="255">
        <f t="shared" si="831"/>
        <v>544.46</v>
      </c>
      <c r="X333" s="131"/>
      <c r="Y333" s="138"/>
      <c r="Z333" s="138"/>
      <c r="AA333" s="138"/>
      <c r="AB333" s="417">
        <v>2160</v>
      </c>
      <c r="AC333" s="22"/>
      <c r="AD333" s="22"/>
      <c r="AH333" s="64"/>
    </row>
    <row r="334" spans="1:34" ht="12.6" customHeight="1" x14ac:dyDescent="0.2">
      <c r="A334" s="97"/>
      <c r="B334" s="734" t="s">
        <v>221</v>
      </c>
      <c r="C334" s="735"/>
      <c r="D334" s="735"/>
      <c r="E334" s="736"/>
      <c r="F334" s="381">
        <f>0.57*X2</f>
        <v>607.04999999999995</v>
      </c>
      <c r="G334" s="305">
        <f t="shared" ref="G334" si="833">+F334*$X$1</f>
        <v>607.04999999999995</v>
      </c>
      <c r="H334" s="460"/>
      <c r="I334" s="460"/>
      <c r="J334" s="120"/>
      <c r="K334" s="288"/>
      <c r="L334" s="460">
        <f>F334+120</f>
        <v>727.05</v>
      </c>
      <c r="M334" s="288">
        <f>+L334*$X$1</f>
        <v>727.05</v>
      </c>
      <c r="N334" s="460">
        <f>F334+60</f>
        <v>667.05</v>
      </c>
      <c r="O334" s="288">
        <f>+N334*$X$1</f>
        <v>667.05</v>
      </c>
      <c r="P334" s="460">
        <f>F334+50</f>
        <v>657.05</v>
      </c>
      <c r="Q334" s="288">
        <f>+P334*$X$1</f>
        <v>657.05</v>
      </c>
      <c r="R334" s="460">
        <f>F334+42</f>
        <v>649.04999999999995</v>
      </c>
      <c r="S334" s="288">
        <f>+R334*$X$1</f>
        <v>649.04999999999995</v>
      </c>
      <c r="T334" s="102">
        <f>F334+34</f>
        <v>641.04999999999995</v>
      </c>
      <c r="U334" s="305">
        <f>+T334*$X$1</f>
        <v>641.04999999999995</v>
      </c>
      <c r="V334" s="102">
        <f>F334+29</f>
        <v>636.04999999999995</v>
      </c>
      <c r="W334" s="305">
        <f>+V334*$X$1</f>
        <v>636.04999999999995</v>
      </c>
      <c r="X334" s="131"/>
      <c r="Y334" s="138"/>
      <c r="Z334" s="138"/>
      <c r="AA334" s="138"/>
      <c r="AB334" s="404">
        <v>2174</v>
      </c>
      <c r="AC334" s="66"/>
      <c r="AD334" s="22"/>
    </row>
    <row r="335" spans="1:34" ht="12.6" customHeight="1" x14ac:dyDescent="0.2">
      <c r="A335" s="97"/>
      <c r="B335" s="697" t="s">
        <v>222</v>
      </c>
      <c r="C335" s="698"/>
      <c r="D335" s="698"/>
      <c r="E335" s="699"/>
      <c r="F335" s="380">
        <f>0.57*X2</f>
        <v>607.04999999999995</v>
      </c>
      <c r="G335" s="255">
        <f>+F335*$X$1</f>
        <v>607.04999999999995</v>
      </c>
      <c r="H335" s="605"/>
      <c r="I335" s="605"/>
      <c r="J335" s="121"/>
      <c r="K335" s="287"/>
      <c r="L335" s="605">
        <f>F335+120</f>
        <v>727.05</v>
      </c>
      <c r="M335" s="287">
        <f>+L335*$X$1</f>
        <v>727.05</v>
      </c>
      <c r="N335" s="605">
        <f>F335+60</f>
        <v>667.05</v>
      </c>
      <c r="O335" s="287">
        <f>+N335*$X$1</f>
        <v>667.05</v>
      </c>
      <c r="P335" s="605">
        <f>F335+50</f>
        <v>657.05</v>
      </c>
      <c r="Q335" s="287">
        <f>+P335*$X$1</f>
        <v>657.05</v>
      </c>
      <c r="R335" s="605">
        <f>F335+42</f>
        <v>649.04999999999995</v>
      </c>
      <c r="S335" s="287">
        <f>+R335*$X$1</f>
        <v>649.04999999999995</v>
      </c>
      <c r="T335" s="103">
        <f>F335+34</f>
        <v>641.04999999999995</v>
      </c>
      <c r="U335" s="255">
        <f>+T335*$X$1</f>
        <v>641.04999999999995</v>
      </c>
      <c r="V335" s="103">
        <f>F335+29</f>
        <v>636.04999999999995</v>
      </c>
      <c r="W335" s="255">
        <f>+V335*$X$1</f>
        <v>636.04999999999995</v>
      </c>
      <c r="X335" s="131"/>
      <c r="Y335" s="138"/>
      <c r="Z335" s="138"/>
      <c r="AA335" s="138"/>
      <c r="AB335" s="404" t="s">
        <v>340</v>
      </c>
      <c r="AC335" s="66"/>
      <c r="AD335" s="22"/>
    </row>
    <row r="336" spans="1:34" ht="12.6" customHeight="1" x14ac:dyDescent="0.2">
      <c r="A336" s="97"/>
      <c r="B336" s="689" t="s">
        <v>691</v>
      </c>
      <c r="C336" s="690"/>
      <c r="D336" s="690"/>
      <c r="E336" s="690"/>
      <c r="F336" s="381">
        <f>0.58*X2</f>
        <v>617.69999999999993</v>
      </c>
      <c r="G336" s="305">
        <f>+F336*$X$1</f>
        <v>617.69999999999993</v>
      </c>
      <c r="H336" s="460"/>
      <c r="I336" s="460"/>
      <c r="J336" s="120"/>
      <c r="K336" s="288"/>
      <c r="L336" s="460">
        <f t="shared" ref="L336:L340" si="834">F336+120</f>
        <v>737.69999999999993</v>
      </c>
      <c r="M336" s="288">
        <f>+L336*$X$1</f>
        <v>737.69999999999993</v>
      </c>
      <c r="N336" s="460">
        <f t="shared" ref="N336:N340" si="835">F336+60</f>
        <v>677.69999999999993</v>
      </c>
      <c r="O336" s="288">
        <f>+N336*$X$1</f>
        <v>677.69999999999993</v>
      </c>
      <c r="P336" s="460">
        <f>F336+50</f>
        <v>667.69999999999993</v>
      </c>
      <c r="Q336" s="288">
        <f>+P336*$X$1</f>
        <v>667.69999999999993</v>
      </c>
      <c r="R336" s="460">
        <f>F336+42</f>
        <v>659.69999999999993</v>
      </c>
      <c r="S336" s="288">
        <f>+R336*$X$1</f>
        <v>659.69999999999993</v>
      </c>
      <c r="T336" s="102">
        <f>F336+34</f>
        <v>651.69999999999993</v>
      </c>
      <c r="U336" s="305">
        <f>+T336*$X$1</f>
        <v>651.69999999999993</v>
      </c>
      <c r="V336" s="102">
        <f>F336+29</f>
        <v>646.69999999999993</v>
      </c>
      <c r="W336" s="305">
        <f>+V336*$X$1</f>
        <v>646.69999999999993</v>
      </c>
      <c r="X336" s="131"/>
      <c r="Y336" s="138"/>
      <c r="Z336" s="138"/>
      <c r="AA336" s="138"/>
      <c r="AB336" s="404">
        <v>2180</v>
      </c>
      <c r="AC336" s="22"/>
      <c r="AD336" s="22"/>
    </row>
    <row r="337" spans="1:31" ht="12" customHeight="1" x14ac:dyDescent="0.2">
      <c r="A337" s="184"/>
      <c r="B337" s="683" t="s">
        <v>223</v>
      </c>
      <c r="C337" s="737"/>
      <c r="D337" s="737"/>
      <c r="E337" s="738"/>
      <c r="F337" s="380">
        <f>0.8*X2</f>
        <v>852</v>
      </c>
      <c r="G337" s="255">
        <f>+F337*$X$1</f>
        <v>852</v>
      </c>
      <c r="H337" s="584"/>
      <c r="I337" s="584"/>
      <c r="J337" s="121"/>
      <c r="K337" s="287"/>
      <c r="L337" s="584">
        <f t="shared" si="834"/>
        <v>972</v>
      </c>
      <c r="M337" s="287">
        <f t="shared" ref="M337" si="836">+L337*$X$1</f>
        <v>972</v>
      </c>
      <c r="N337" s="584">
        <f t="shared" si="835"/>
        <v>912</v>
      </c>
      <c r="O337" s="287">
        <f t="shared" ref="O337" si="837">+N337*$X$1</f>
        <v>912</v>
      </c>
      <c r="P337" s="584"/>
      <c r="Q337" s="287"/>
      <c r="R337" s="584"/>
      <c r="S337" s="287"/>
      <c r="T337" s="103"/>
      <c r="U337" s="255"/>
      <c r="V337" s="103"/>
      <c r="W337" s="255"/>
      <c r="X337" s="131"/>
      <c r="Y337" s="131"/>
      <c r="Z337" s="131"/>
      <c r="AA337" s="131"/>
      <c r="AB337" s="404">
        <v>2184</v>
      </c>
    </row>
    <row r="338" spans="1:31" ht="12" customHeight="1" x14ac:dyDescent="0.2">
      <c r="A338" s="184"/>
      <c r="B338" s="680" t="s">
        <v>224</v>
      </c>
      <c r="C338" s="691"/>
      <c r="D338" s="691"/>
      <c r="E338" s="692"/>
      <c r="F338" s="381">
        <f>0.71*X2</f>
        <v>756.15</v>
      </c>
      <c r="G338" s="305">
        <f>+F338*$X$1</f>
        <v>756.15</v>
      </c>
      <c r="H338" s="460"/>
      <c r="I338" s="460"/>
      <c r="J338" s="120"/>
      <c r="K338" s="288"/>
      <c r="L338" s="460">
        <f t="shared" si="834"/>
        <v>876.15</v>
      </c>
      <c r="M338" s="288">
        <f>+L338*$X$1</f>
        <v>876.15</v>
      </c>
      <c r="N338" s="460">
        <f t="shared" si="835"/>
        <v>816.15</v>
      </c>
      <c r="O338" s="288">
        <f>+N338*$X$1</f>
        <v>816.15</v>
      </c>
      <c r="P338" s="460">
        <f>F338+50</f>
        <v>806.15</v>
      </c>
      <c r="Q338" s="288">
        <f>+P338*$X$1</f>
        <v>806.15</v>
      </c>
      <c r="R338" s="460">
        <f t="shared" ref="R338:R343" si="838">F338+42</f>
        <v>798.15</v>
      </c>
      <c r="S338" s="288">
        <f t="shared" ref="S338:S343" si="839">+R338*$X$1</f>
        <v>798.15</v>
      </c>
      <c r="T338" s="102">
        <f t="shared" ref="T338:T343" si="840">F338+34</f>
        <v>790.15</v>
      </c>
      <c r="U338" s="305">
        <f t="shared" ref="U338:U343" si="841">+T338*$X$1</f>
        <v>790.15</v>
      </c>
      <c r="V338" s="102">
        <f t="shared" ref="V338:V343" si="842">F338+29</f>
        <v>785.15</v>
      </c>
      <c r="W338" s="305">
        <f t="shared" ref="W338:W343" si="843">+V338*$X$1</f>
        <v>785.15</v>
      </c>
      <c r="X338" s="131"/>
      <c r="Y338" s="131"/>
      <c r="Z338" s="131"/>
      <c r="AA338" s="131"/>
      <c r="AB338" s="404" t="s">
        <v>225</v>
      </c>
    </row>
    <row r="339" spans="1:31" ht="12" customHeight="1" x14ac:dyDescent="0.2">
      <c r="A339" s="97"/>
      <c r="B339" s="683" t="s">
        <v>226</v>
      </c>
      <c r="C339" s="684"/>
      <c r="D339" s="684"/>
      <c r="E339" s="685"/>
      <c r="F339" s="380">
        <f>0.372*X2</f>
        <v>396.18</v>
      </c>
      <c r="G339" s="255">
        <f>+F339*$X$1</f>
        <v>396.18</v>
      </c>
      <c r="H339" s="575"/>
      <c r="I339" s="575"/>
      <c r="J339" s="121"/>
      <c r="K339" s="287"/>
      <c r="L339" s="575">
        <f t="shared" si="834"/>
        <v>516.18000000000006</v>
      </c>
      <c r="M339" s="287">
        <f>+L339*$X$1</f>
        <v>516.18000000000006</v>
      </c>
      <c r="N339" s="575">
        <f t="shared" si="835"/>
        <v>456.18</v>
      </c>
      <c r="O339" s="287">
        <f>+N339*$X$1</f>
        <v>456.18</v>
      </c>
      <c r="P339" s="575">
        <f>F339+50</f>
        <v>446.18</v>
      </c>
      <c r="Q339" s="287">
        <f>+P339*$X$1</f>
        <v>446.18</v>
      </c>
      <c r="R339" s="575">
        <f t="shared" si="838"/>
        <v>438.18</v>
      </c>
      <c r="S339" s="287">
        <f t="shared" si="839"/>
        <v>438.18</v>
      </c>
      <c r="T339" s="103">
        <f t="shared" si="840"/>
        <v>430.18</v>
      </c>
      <c r="U339" s="255">
        <f t="shared" si="841"/>
        <v>430.18</v>
      </c>
      <c r="V339" s="103">
        <f t="shared" si="842"/>
        <v>425.18</v>
      </c>
      <c r="W339" s="255">
        <f t="shared" si="843"/>
        <v>425.18</v>
      </c>
      <c r="X339" s="131"/>
      <c r="Y339" s="131"/>
      <c r="Z339" s="131"/>
      <c r="AA339" s="131"/>
      <c r="AB339" s="404">
        <v>2189</v>
      </c>
    </row>
    <row r="340" spans="1:31" ht="12.6" customHeight="1" x14ac:dyDescent="0.2">
      <c r="A340" s="97"/>
      <c r="B340" s="680" t="s">
        <v>227</v>
      </c>
      <c r="C340" s="691"/>
      <c r="D340" s="691"/>
      <c r="E340" s="692"/>
      <c r="F340" s="381">
        <f>0.6*X2</f>
        <v>639</v>
      </c>
      <c r="G340" s="305">
        <f t="shared" ref="G340" si="844">+F340*$X$1</f>
        <v>639</v>
      </c>
      <c r="H340" s="460"/>
      <c r="I340" s="460"/>
      <c r="J340" s="120"/>
      <c r="K340" s="288"/>
      <c r="L340" s="460">
        <f t="shared" si="834"/>
        <v>759</v>
      </c>
      <c r="M340" s="288">
        <f>+L340*$X$1</f>
        <v>759</v>
      </c>
      <c r="N340" s="460">
        <f t="shared" si="835"/>
        <v>699</v>
      </c>
      <c r="O340" s="288">
        <f>+N340*$X$1</f>
        <v>699</v>
      </c>
      <c r="P340" s="460">
        <f>F340+50</f>
        <v>689</v>
      </c>
      <c r="Q340" s="288">
        <f>+P340*$X$1</f>
        <v>689</v>
      </c>
      <c r="R340" s="460">
        <f t="shared" si="838"/>
        <v>681</v>
      </c>
      <c r="S340" s="288">
        <f t="shared" si="839"/>
        <v>681</v>
      </c>
      <c r="T340" s="102">
        <f t="shared" si="840"/>
        <v>673</v>
      </c>
      <c r="U340" s="305">
        <f t="shared" si="841"/>
        <v>673</v>
      </c>
      <c r="V340" s="102">
        <f t="shared" si="842"/>
        <v>668</v>
      </c>
      <c r="W340" s="305">
        <f t="shared" si="843"/>
        <v>668</v>
      </c>
      <c r="X340" s="131"/>
      <c r="Y340" s="131"/>
      <c r="Z340" s="131"/>
      <c r="AA340" s="131"/>
      <c r="AB340" s="404">
        <v>2190</v>
      </c>
    </row>
    <row r="341" spans="1:31" ht="12.6" customHeight="1" x14ac:dyDescent="0.2">
      <c r="A341" s="18"/>
      <c r="B341" s="693" t="s">
        <v>228</v>
      </c>
      <c r="C341" s="684"/>
      <c r="D341" s="684"/>
      <c r="E341" s="685"/>
      <c r="F341" s="380">
        <f>0.521*X2</f>
        <v>554.86500000000001</v>
      </c>
      <c r="G341" s="255">
        <f>+F341*$X$1</f>
        <v>554.86500000000001</v>
      </c>
      <c r="H341" s="514"/>
      <c r="I341" s="514"/>
      <c r="J341" s="121"/>
      <c r="K341" s="287"/>
      <c r="L341" s="542">
        <f t="shared" ref="L341:L359" si="845">F341+120</f>
        <v>674.86500000000001</v>
      </c>
      <c r="M341" s="287">
        <f t="shared" ref="M341:M354" si="846">+L341*$X$1</f>
        <v>674.86500000000001</v>
      </c>
      <c r="N341" s="542">
        <f t="shared" ref="N341:N354" si="847">F341+60</f>
        <v>614.86500000000001</v>
      </c>
      <c r="O341" s="287">
        <f t="shared" ref="O341:O354" si="848">+N341*$X$1</f>
        <v>614.86500000000001</v>
      </c>
      <c r="P341" s="542">
        <f t="shared" ref="P341:P354" si="849">F341+50</f>
        <v>604.86500000000001</v>
      </c>
      <c r="Q341" s="287">
        <f t="shared" ref="Q341:Q354" si="850">+P341*$X$1</f>
        <v>604.86500000000001</v>
      </c>
      <c r="R341" s="542">
        <f t="shared" si="838"/>
        <v>596.86500000000001</v>
      </c>
      <c r="S341" s="287">
        <f t="shared" si="839"/>
        <v>596.86500000000001</v>
      </c>
      <c r="T341" s="103">
        <f t="shared" si="840"/>
        <v>588.86500000000001</v>
      </c>
      <c r="U341" s="255">
        <f t="shared" si="841"/>
        <v>588.86500000000001</v>
      </c>
      <c r="V341" s="103">
        <f t="shared" si="842"/>
        <v>583.86500000000001</v>
      </c>
      <c r="W341" s="255">
        <f t="shared" si="843"/>
        <v>583.86500000000001</v>
      </c>
      <c r="X341" s="181"/>
      <c r="Y341" s="182"/>
      <c r="Z341" s="182"/>
      <c r="AA341" s="181"/>
      <c r="AB341" s="404">
        <v>2193</v>
      </c>
    </row>
    <row r="342" spans="1:31" ht="12.6" customHeight="1" x14ac:dyDescent="0.2">
      <c r="A342" s="18"/>
      <c r="B342" s="689" t="s">
        <v>229</v>
      </c>
      <c r="C342" s="690"/>
      <c r="D342" s="690"/>
      <c r="E342" s="690"/>
      <c r="F342" s="381">
        <f>0.57*X2</f>
        <v>607.04999999999995</v>
      </c>
      <c r="G342" s="305">
        <f>+F342*$X$1</f>
        <v>607.04999999999995</v>
      </c>
      <c r="H342" s="460"/>
      <c r="I342" s="460"/>
      <c r="J342" s="120"/>
      <c r="K342" s="288"/>
      <c r="L342" s="460">
        <f t="shared" si="845"/>
        <v>727.05</v>
      </c>
      <c r="M342" s="288">
        <f t="shared" si="846"/>
        <v>727.05</v>
      </c>
      <c r="N342" s="460">
        <f t="shared" si="847"/>
        <v>667.05</v>
      </c>
      <c r="O342" s="288">
        <f t="shared" si="848"/>
        <v>667.05</v>
      </c>
      <c r="P342" s="460">
        <f t="shared" si="849"/>
        <v>657.05</v>
      </c>
      <c r="Q342" s="288">
        <f t="shared" si="850"/>
        <v>657.05</v>
      </c>
      <c r="R342" s="460">
        <f t="shared" si="838"/>
        <v>649.04999999999995</v>
      </c>
      <c r="S342" s="288">
        <f t="shared" si="839"/>
        <v>649.04999999999995</v>
      </c>
      <c r="T342" s="102">
        <f t="shared" si="840"/>
        <v>641.04999999999995</v>
      </c>
      <c r="U342" s="305">
        <f t="shared" si="841"/>
        <v>641.04999999999995</v>
      </c>
      <c r="V342" s="102">
        <f t="shared" si="842"/>
        <v>636.04999999999995</v>
      </c>
      <c r="W342" s="305">
        <f t="shared" si="843"/>
        <v>636.04999999999995</v>
      </c>
      <c r="X342" s="131"/>
      <c r="Y342" s="131"/>
      <c r="Z342" s="131"/>
      <c r="AA342" s="131"/>
      <c r="AB342" s="404">
        <v>2194</v>
      </c>
    </row>
    <row r="343" spans="1:31" ht="12.6" customHeight="1" x14ac:dyDescent="0.2">
      <c r="A343" s="18"/>
      <c r="B343" s="745" t="s">
        <v>230</v>
      </c>
      <c r="C343" s="746"/>
      <c r="D343" s="746"/>
      <c r="E343" s="747"/>
      <c r="F343" s="380">
        <f>0.67*X2</f>
        <v>713.55000000000007</v>
      </c>
      <c r="G343" s="255">
        <f>+F343*$X$1</f>
        <v>713.55000000000007</v>
      </c>
      <c r="H343" s="514"/>
      <c r="I343" s="542"/>
      <c r="J343" s="121"/>
      <c r="K343" s="287"/>
      <c r="L343" s="542">
        <f t="shared" si="845"/>
        <v>833.55000000000007</v>
      </c>
      <c r="M343" s="287">
        <f t="shared" si="846"/>
        <v>833.55000000000007</v>
      </c>
      <c r="N343" s="542">
        <f t="shared" si="847"/>
        <v>773.55000000000007</v>
      </c>
      <c r="O343" s="287">
        <f t="shared" si="848"/>
        <v>773.55000000000007</v>
      </c>
      <c r="P343" s="542">
        <f t="shared" si="849"/>
        <v>763.55000000000007</v>
      </c>
      <c r="Q343" s="287">
        <f t="shared" si="850"/>
        <v>763.55000000000007</v>
      </c>
      <c r="R343" s="542">
        <f t="shared" si="838"/>
        <v>755.55000000000007</v>
      </c>
      <c r="S343" s="287">
        <f t="shared" si="839"/>
        <v>755.55000000000007</v>
      </c>
      <c r="T343" s="103">
        <f t="shared" si="840"/>
        <v>747.55000000000007</v>
      </c>
      <c r="U343" s="255">
        <f t="shared" si="841"/>
        <v>747.55000000000007</v>
      </c>
      <c r="V343" s="103">
        <f t="shared" si="842"/>
        <v>742.55000000000007</v>
      </c>
      <c r="W343" s="255">
        <f t="shared" si="843"/>
        <v>742.55000000000007</v>
      </c>
      <c r="X343" s="131"/>
      <c r="Y343" s="131"/>
      <c r="Z343" s="131"/>
      <c r="AA343" s="131"/>
      <c r="AB343" s="404">
        <v>2195</v>
      </c>
    </row>
    <row r="344" spans="1:31" ht="12.6" customHeight="1" x14ac:dyDescent="0.2">
      <c r="A344" s="18"/>
      <c r="B344" s="689" t="s">
        <v>231</v>
      </c>
      <c r="C344" s="690"/>
      <c r="D344" s="690"/>
      <c r="E344" s="690"/>
      <c r="F344" s="381">
        <f>0.652*X2</f>
        <v>694.38</v>
      </c>
      <c r="G344" s="305">
        <f>+F344*$X$1</f>
        <v>694.38</v>
      </c>
      <c r="H344" s="460"/>
      <c r="I344" s="460"/>
      <c r="J344" s="460"/>
      <c r="K344" s="288"/>
      <c r="L344" s="460">
        <f t="shared" si="845"/>
        <v>814.38</v>
      </c>
      <c r="M344" s="288">
        <f t="shared" si="846"/>
        <v>814.38</v>
      </c>
      <c r="N344" s="460">
        <f t="shared" si="847"/>
        <v>754.38</v>
      </c>
      <c r="O344" s="288">
        <f t="shared" si="848"/>
        <v>754.38</v>
      </c>
      <c r="P344" s="460">
        <f t="shared" si="849"/>
        <v>744.38</v>
      </c>
      <c r="Q344" s="288">
        <f t="shared" si="850"/>
        <v>744.38</v>
      </c>
      <c r="R344" s="460"/>
      <c r="S344" s="288"/>
      <c r="T344" s="102"/>
      <c r="U344" s="305"/>
      <c r="V344" s="102"/>
      <c r="W344" s="305"/>
      <c r="X344" s="131"/>
      <c r="Y344" s="131"/>
      <c r="Z344" s="131"/>
      <c r="AA344" s="131"/>
      <c r="AB344" s="404">
        <v>2198</v>
      </c>
    </row>
    <row r="345" spans="1:31" ht="12.6" customHeight="1" x14ac:dyDescent="0.2">
      <c r="A345" s="104"/>
      <c r="B345" s="711" t="s">
        <v>330</v>
      </c>
      <c r="C345" s="744"/>
      <c r="D345" s="744"/>
      <c r="E345" s="744"/>
      <c r="F345" s="380">
        <f>0.53*X2</f>
        <v>564.45000000000005</v>
      </c>
      <c r="G345" s="255">
        <f>+F345*$X$1</f>
        <v>564.45000000000005</v>
      </c>
      <c r="H345" s="514"/>
      <c r="I345" s="542"/>
      <c r="J345" s="542"/>
      <c r="K345" s="287"/>
      <c r="L345" s="542">
        <f t="shared" si="845"/>
        <v>684.45</v>
      </c>
      <c r="M345" s="287">
        <f t="shared" si="846"/>
        <v>684.45</v>
      </c>
      <c r="N345" s="542">
        <f t="shared" si="847"/>
        <v>624.45000000000005</v>
      </c>
      <c r="O345" s="287">
        <f t="shared" si="848"/>
        <v>624.45000000000005</v>
      </c>
      <c r="P345" s="542">
        <f t="shared" si="849"/>
        <v>614.45000000000005</v>
      </c>
      <c r="Q345" s="287">
        <f t="shared" si="850"/>
        <v>614.45000000000005</v>
      </c>
      <c r="R345" s="542">
        <f t="shared" ref="R345:R354" si="851">F345+42</f>
        <v>606.45000000000005</v>
      </c>
      <c r="S345" s="287">
        <f t="shared" ref="S345:S354" si="852">+R345*$X$1</f>
        <v>606.45000000000005</v>
      </c>
      <c r="T345" s="103">
        <f t="shared" ref="T345:T354" si="853">F345+34</f>
        <v>598.45000000000005</v>
      </c>
      <c r="U345" s="255">
        <f t="shared" ref="U345:U354" si="854">+T345*$X$1</f>
        <v>598.45000000000005</v>
      </c>
      <c r="V345" s="103">
        <f t="shared" ref="V345:V354" si="855">F345+29</f>
        <v>593.45000000000005</v>
      </c>
      <c r="W345" s="255">
        <f t="shared" ref="W345:W354" si="856">+V345*$X$1</f>
        <v>593.45000000000005</v>
      </c>
      <c r="X345" s="152"/>
      <c r="Y345" s="131"/>
      <c r="Z345" s="131"/>
      <c r="AA345" s="131"/>
      <c r="AB345" s="404">
        <v>2202</v>
      </c>
    </row>
    <row r="346" spans="1:31" ht="12.6" customHeight="1" x14ac:dyDescent="0.2">
      <c r="A346" s="104"/>
      <c r="B346" s="689" t="s">
        <v>331</v>
      </c>
      <c r="C346" s="704"/>
      <c r="D346" s="704"/>
      <c r="E346" s="704"/>
      <c r="F346" s="381">
        <f>0.53*X2</f>
        <v>564.45000000000005</v>
      </c>
      <c r="G346" s="305">
        <f t="shared" ref="G346:G350" si="857">+F346*$X$1</f>
        <v>564.45000000000005</v>
      </c>
      <c r="H346" s="460"/>
      <c r="I346" s="460"/>
      <c r="J346" s="460"/>
      <c r="K346" s="288"/>
      <c r="L346" s="460">
        <f t="shared" si="845"/>
        <v>684.45</v>
      </c>
      <c r="M346" s="288">
        <f t="shared" si="846"/>
        <v>684.45</v>
      </c>
      <c r="N346" s="460">
        <f t="shared" si="847"/>
        <v>624.45000000000005</v>
      </c>
      <c r="O346" s="288">
        <f t="shared" si="848"/>
        <v>624.45000000000005</v>
      </c>
      <c r="P346" s="460">
        <f t="shared" si="849"/>
        <v>614.45000000000005</v>
      </c>
      <c r="Q346" s="288">
        <f t="shared" si="850"/>
        <v>614.45000000000005</v>
      </c>
      <c r="R346" s="460">
        <f t="shared" si="851"/>
        <v>606.45000000000005</v>
      </c>
      <c r="S346" s="288">
        <f t="shared" si="852"/>
        <v>606.45000000000005</v>
      </c>
      <c r="T346" s="102">
        <f t="shared" si="853"/>
        <v>598.45000000000005</v>
      </c>
      <c r="U346" s="305">
        <f t="shared" si="854"/>
        <v>598.45000000000005</v>
      </c>
      <c r="V346" s="102">
        <f t="shared" si="855"/>
        <v>593.45000000000005</v>
      </c>
      <c r="W346" s="305">
        <f t="shared" si="856"/>
        <v>593.45000000000005</v>
      </c>
      <c r="X346" s="131"/>
      <c r="Y346" s="131"/>
      <c r="Z346" s="131"/>
      <c r="AA346" s="131"/>
      <c r="AB346" s="404" t="s">
        <v>232</v>
      </c>
    </row>
    <row r="347" spans="1:31" ht="12.6" customHeight="1" x14ac:dyDescent="0.2">
      <c r="A347" s="104"/>
      <c r="B347" s="711" t="s">
        <v>332</v>
      </c>
      <c r="C347" s="744"/>
      <c r="D347" s="744"/>
      <c r="E347" s="744"/>
      <c r="F347" s="380">
        <f>0.52*X2</f>
        <v>553.80000000000007</v>
      </c>
      <c r="G347" s="255">
        <f t="shared" ref="G347:G351" si="858">+F347*$X$1</f>
        <v>553.80000000000007</v>
      </c>
      <c r="H347" s="519"/>
      <c r="I347" s="542"/>
      <c r="J347" s="542"/>
      <c r="K347" s="306"/>
      <c r="L347" s="542">
        <f t="shared" si="845"/>
        <v>673.80000000000007</v>
      </c>
      <c r="M347" s="287">
        <f t="shared" si="846"/>
        <v>673.80000000000007</v>
      </c>
      <c r="N347" s="542">
        <f t="shared" si="847"/>
        <v>613.80000000000007</v>
      </c>
      <c r="O347" s="287">
        <f t="shared" si="848"/>
        <v>613.80000000000007</v>
      </c>
      <c r="P347" s="542">
        <f t="shared" si="849"/>
        <v>603.80000000000007</v>
      </c>
      <c r="Q347" s="287">
        <f t="shared" si="850"/>
        <v>603.80000000000007</v>
      </c>
      <c r="R347" s="542">
        <f t="shared" si="851"/>
        <v>595.80000000000007</v>
      </c>
      <c r="S347" s="287">
        <f t="shared" si="852"/>
        <v>595.80000000000007</v>
      </c>
      <c r="T347" s="103">
        <f t="shared" si="853"/>
        <v>587.80000000000007</v>
      </c>
      <c r="U347" s="255">
        <f t="shared" si="854"/>
        <v>587.80000000000007</v>
      </c>
      <c r="V347" s="103">
        <f t="shared" si="855"/>
        <v>582.80000000000007</v>
      </c>
      <c r="W347" s="255">
        <f t="shared" si="856"/>
        <v>582.80000000000007</v>
      </c>
      <c r="X347" s="131"/>
      <c r="Y347" s="131"/>
      <c r="Z347" s="131"/>
      <c r="AA347" s="131"/>
      <c r="AB347" s="404" t="s">
        <v>233</v>
      </c>
    </row>
    <row r="348" spans="1:31" ht="12.6" customHeight="1" x14ac:dyDescent="0.2">
      <c r="A348" s="104"/>
      <c r="B348" s="689" t="s">
        <v>867</v>
      </c>
      <c r="C348" s="704"/>
      <c r="D348" s="704"/>
      <c r="E348" s="704"/>
      <c r="F348" s="381">
        <f>0.52*X2</f>
        <v>553.80000000000007</v>
      </c>
      <c r="G348" s="305">
        <f t="shared" ref="G348" si="859">+F348*$X$1</f>
        <v>553.80000000000007</v>
      </c>
      <c r="H348" s="460"/>
      <c r="I348" s="460"/>
      <c r="J348" s="460"/>
      <c r="K348" s="319"/>
      <c r="L348" s="460">
        <f t="shared" si="845"/>
        <v>673.80000000000007</v>
      </c>
      <c r="M348" s="288">
        <f t="shared" si="846"/>
        <v>673.80000000000007</v>
      </c>
      <c r="N348" s="460">
        <f t="shared" si="847"/>
        <v>613.80000000000007</v>
      </c>
      <c r="O348" s="288">
        <f t="shared" si="848"/>
        <v>613.80000000000007</v>
      </c>
      <c r="P348" s="460">
        <f t="shared" si="849"/>
        <v>603.80000000000007</v>
      </c>
      <c r="Q348" s="288">
        <f t="shared" si="850"/>
        <v>603.80000000000007</v>
      </c>
      <c r="R348" s="460">
        <f t="shared" si="851"/>
        <v>595.80000000000007</v>
      </c>
      <c r="S348" s="288">
        <f t="shared" si="852"/>
        <v>595.80000000000007</v>
      </c>
      <c r="T348" s="102">
        <f t="shared" si="853"/>
        <v>587.80000000000007</v>
      </c>
      <c r="U348" s="305">
        <f t="shared" si="854"/>
        <v>587.80000000000007</v>
      </c>
      <c r="V348" s="102">
        <f t="shared" si="855"/>
        <v>582.80000000000007</v>
      </c>
      <c r="W348" s="305">
        <f t="shared" si="856"/>
        <v>582.80000000000007</v>
      </c>
      <c r="X348" s="131"/>
      <c r="Y348" s="131"/>
      <c r="Z348" s="131"/>
      <c r="AA348" s="131"/>
      <c r="AB348" s="520" t="s">
        <v>866</v>
      </c>
    </row>
    <row r="349" spans="1:31" ht="12.6" customHeight="1" x14ac:dyDescent="0.2">
      <c r="A349" s="104"/>
      <c r="B349" s="723" t="s">
        <v>643</v>
      </c>
      <c r="C349" s="724"/>
      <c r="D349" s="724"/>
      <c r="E349" s="725"/>
      <c r="F349" s="380">
        <f>0.68*X2</f>
        <v>724.2</v>
      </c>
      <c r="G349" s="255">
        <f t="shared" si="858"/>
        <v>724.2</v>
      </c>
      <c r="H349" s="497"/>
      <c r="I349" s="542"/>
      <c r="J349" s="542"/>
      <c r="K349" s="287"/>
      <c r="L349" s="542">
        <f t="shared" si="845"/>
        <v>844.2</v>
      </c>
      <c r="M349" s="287">
        <f t="shared" si="846"/>
        <v>844.2</v>
      </c>
      <c r="N349" s="542">
        <f t="shared" si="847"/>
        <v>784.2</v>
      </c>
      <c r="O349" s="287">
        <f t="shared" si="848"/>
        <v>784.2</v>
      </c>
      <c r="P349" s="542">
        <f t="shared" si="849"/>
        <v>774.2</v>
      </c>
      <c r="Q349" s="287">
        <f t="shared" si="850"/>
        <v>774.2</v>
      </c>
      <c r="R349" s="542">
        <f t="shared" si="851"/>
        <v>766.2</v>
      </c>
      <c r="S349" s="287">
        <f t="shared" si="852"/>
        <v>766.2</v>
      </c>
      <c r="T349" s="103">
        <f t="shared" si="853"/>
        <v>758.2</v>
      </c>
      <c r="U349" s="255">
        <f t="shared" si="854"/>
        <v>758.2</v>
      </c>
      <c r="V349" s="103">
        <f t="shared" si="855"/>
        <v>753.2</v>
      </c>
      <c r="W349" s="255">
        <f t="shared" si="856"/>
        <v>753.2</v>
      </c>
      <c r="X349" s="694"/>
      <c r="Y349" s="694"/>
      <c r="Z349" s="694"/>
      <c r="AA349" s="679"/>
      <c r="AB349" s="404" t="s">
        <v>647</v>
      </c>
      <c r="AC349" s="65"/>
      <c r="AE349" s="87"/>
    </row>
    <row r="350" spans="1:31" ht="12.6" customHeight="1" x14ac:dyDescent="0.2">
      <c r="A350" s="104"/>
      <c r="B350" s="727" t="s">
        <v>234</v>
      </c>
      <c r="C350" s="915"/>
      <c r="D350" s="915"/>
      <c r="E350" s="916"/>
      <c r="F350" s="381">
        <f>0.75*X2</f>
        <v>798.75</v>
      </c>
      <c r="G350" s="305">
        <f t="shared" si="857"/>
        <v>798.75</v>
      </c>
      <c r="H350" s="460"/>
      <c r="I350" s="460"/>
      <c r="J350" s="460"/>
      <c r="K350" s="288"/>
      <c r="L350" s="460">
        <f t="shared" si="845"/>
        <v>918.75</v>
      </c>
      <c r="M350" s="288">
        <f t="shared" si="846"/>
        <v>918.75</v>
      </c>
      <c r="N350" s="460">
        <f t="shared" si="847"/>
        <v>858.75</v>
      </c>
      <c r="O350" s="288">
        <f t="shared" si="848"/>
        <v>858.75</v>
      </c>
      <c r="P350" s="460">
        <f t="shared" si="849"/>
        <v>848.75</v>
      </c>
      <c r="Q350" s="288">
        <f t="shared" si="850"/>
        <v>848.75</v>
      </c>
      <c r="R350" s="460">
        <f t="shared" si="851"/>
        <v>840.75</v>
      </c>
      <c r="S350" s="288">
        <f t="shared" si="852"/>
        <v>840.75</v>
      </c>
      <c r="T350" s="102">
        <f t="shared" si="853"/>
        <v>832.75</v>
      </c>
      <c r="U350" s="305">
        <f t="shared" si="854"/>
        <v>832.75</v>
      </c>
      <c r="V350" s="102">
        <f t="shared" si="855"/>
        <v>827.75</v>
      </c>
      <c r="W350" s="305">
        <f t="shared" si="856"/>
        <v>827.75</v>
      </c>
      <c r="X350" s="694"/>
      <c r="Y350" s="694"/>
      <c r="Z350" s="694"/>
      <c r="AA350" s="679"/>
      <c r="AB350" s="404" t="s">
        <v>235</v>
      </c>
      <c r="AC350" s="65"/>
      <c r="AE350" s="87"/>
    </row>
    <row r="351" spans="1:31" ht="12.6" customHeight="1" x14ac:dyDescent="0.2">
      <c r="A351" s="97"/>
      <c r="B351" s="723" t="s">
        <v>236</v>
      </c>
      <c r="C351" s="1021"/>
      <c r="D351" s="1021"/>
      <c r="E351" s="1022"/>
      <c r="F351" s="380">
        <f>0.745*X2</f>
        <v>793.42499999999995</v>
      </c>
      <c r="G351" s="255">
        <f t="shared" si="858"/>
        <v>793.42499999999995</v>
      </c>
      <c r="H351" s="497"/>
      <c r="I351" s="542"/>
      <c r="J351" s="542"/>
      <c r="K351" s="287"/>
      <c r="L351" s="542">
        <f t="shared" si="845"/>
        <v>913.42499999999995</v>
      </c>
      <c r="M351" s="287">
        <f t="shared" si="846"/>
        <v>913.42499999999995</v>
      </c>
      <c r="N351" s="542">
        <f t="shared" si="847"/>
        <v>853.42499999999995</v>
      </c>
      <c r="O351" s="287">
        <f t="shared" si="848"/>
        <v>853.42499999999995</v>
      </c>
      <c r="P351" s="542">
        <f t="shared" si="849"/>
        <v>843.42499999999995</v>
      </c>
      <c r="Q351" s="287">
        <f t="shared" si="850"/>
        <v>843.42499999999995</v>
      </c>
      <c r="R351" s="542">
        <f t="shared" si="851"/>
        <v>835.42499999999995</v>
      </c>
      <c r="S351" s="287">
        <f t="shared" si="852"/>
        <v>835.42499999999995</v>
      </c>
      <c r="T351" s="103">
        <f t="shared" si="853"/>
        <v>827.42499999999995</v>
      </c>
      <c r="U351" s="255">
        <f t="shared" si="854"/>
        <v>827.42499999999995</v>
      </c>
      <c r="V351" s="103">
        <f t="shared" si="855"/>
        <v>822.42499999999995</v>
      </c>
      <c r="W351" s="255">
        <f t="shared" si="856"/>
        <v>822.42499999999995</v>
      </c>
      <c r="X351" s="168"/>
      <c r="Y351" s="131"/>
      <c r="Z351" s="131"/>
      <c r="AA351" s="131"/>
      <c r="AB351" s="404">
        <v>2203</v>
      </c>
      <c r="AC351" s="227"/>
    </row>
    <row r="352" spans="1:31" ht="12.6" customHeight="1" x14ac:dyDescent="0.2">
      <c r="A352" s="97"/>
      <c r="B352" s="739" t="s">
        <v>237</v>
      </c>
      <c r="C352" s="748"/>
      <c r="D352" s="748"/>
      <c r="E352" s="748"/>
      <c r="F352" s="381">
        <f>0.79*X2</f>
        <v>841.35</v>
      </c>
      <c r="G352" s="305">
        <f>+F352*$X$1</f>
        <v>841.35</v>
      </c>
      <c r="H352" s="460"/>
      <c r="I352" s="460"/>
      <c r="J352" s="460"/>
      <c r="K352" s="288"/>
      <c r="L352" s="460">
        <f t="shared" si="845"/>
        <v>961.35</v>
      </c>
      <c r="M352" s="288">
        <f t="shared" si="846"/>
        <v>961.35</v>
      </c>
      <c r="N352" s="460">
        <f t="shared" si="847"/>
        <v>901.35</v>
      </c>
      <c r="O352" s="288">
        <f t="shared" si="848"/>
        <v>901.35</v>
      </c>
      <c r="P352" s="460">
        <f t="shared" si="849"/>
        <v>891.35</v>
      </c>
      <c r="Q352" s="288">
        <f t="shared" si="850"/>
        <v>891.35</v>
      </c>
      <c r="R352" s="460">
        <f t="shared" si="851"/>
        <v>883.35</v>
      </c>
      <c r="S352" s="288">
        <f t="shared" si="852"/>
        <v>883.35</v>
      </c>
      <c r="T352" s="102">
        <f t="shared" si="853"/>
        <v>875.35</v>
      </c>
      <c r="U352" s="305">
        <f t="shared" si="854"/>
        <v>875.35</v>
      </c>
      <c r="V352" s="102">
        <f t="shared" si="855"/>
        <v>870.35</v>
      </c>
      <c r="W352" s="305">
        <f t="shared" si="856"/>
        <v>870.35</v>
      </c>
      <c r="X352" s="169"/>
      <c r="Y352" s="134"/>
      <c r="Z352" s="134"/>
      <c r="AA352" s="137"/>
      <c r="AB352" s="404">
        <v>2205</v>
      </c>
      <c r="AC352" s="65"/>
    </row>
    <row r="353" spans="1:29" ht="12.6" customHeight="1" x14ac:dyDescent="0.2">
      <c r="A353" s="97"/>
      <c r="B353" s="711" t="s">
        <v>238</v>
      </c>
      <c r="C353" s="744"/>
      <c r="D353" s="744"/>
      <c r="E353" s="744"/>
      <c r="F353" s="380">
        <f>0.49*X2</f>
        <v>521.85</v>
      </c>
      <c r="G353" s="255">
        <f>+F353*$X$1</f>
        <v>521.85</v>
      </c>
      <c r="H353" s="497"/>
      <c r="I353" s="542"/>
      <c r="J353" s="542"/>
      <c r="K353" s="287"/>
      <c r="L353" s="542">
        <f t="shared" si="845"/>
        <v>641.85</v>
      </c>
      <c r="M353" s="287">
        <f t="shared" si="846"/>
        <v>641.85</v>
      </c>
      <c r="N353" s="542">
        <f t="shared" si="847"/>
        <v>581.85</v>
      </c>
      <c r="O353" s="287">
        <f t="shared" si="848"/>
        <v>581.85</v>
      </c>
      <c r="P353" s="542">
        <f t="shared" si="849"/>
        <v>571.85</v>
      </c>
      <c r="Q353" s="287">
        <f t="shared" si="850"/>
        <v>571.85</v>
      </c>
      <c r="R353" s="542">
        <f t="shared" si="851"/>
        <v>563.85</v>
      </c>
      <c r="S353" s="287">
        <f t="shared" si="852"/>
        <v>563.85</v>
      </c>
      <c r="T353" s="103">
        <f t="shared" si="853"/>
        <v>555.85</v>
      </c>
      <c r="U353" s="255">
        <f t="shared" si="854"/>
        <v>555.85</v>
      </c>
      <c r="V353" s="103">
        <f t="shared" si="855"/>
        <v>550.85</v>
      </c>
      <c r="W353" s="255">
        <f t="shared" si="856"/>
        <v>550.85</v>
      </c>
      <c r="X353" s="134"/>
      <c r="Y353" s="134"/>
      <c r="Z353" s="134"/>
      <c r="AA353" s="137"/>
      <c r="AB353" s="404">
        <v>2207</v>
      </c>
    </row>
    <row r="354" spans="1:29" ht="12.6" customHeight="1" x14ac:dyDescent="0.2">
      <c r="A354" s="97"/>
      <c r="B354" s="689" t="s">
        <v>239</v>
      </c>
      <c r="C354" s="704"/>
      <c r="D354" s="704"/>
      <c r="E354" s="704"/>
      <c r="F354" s="381">
        <f>0.42*X2</f>
        <v>447.3</v>
      </c>
      <c r="G354" s="348">
        <f>+F354*$X$1</f>
        <v>447.3</v>
      </c>
      <c r="H354" s="95"/>
      <c r="I354" s="95"/>
      <c r="J354" s="95"/>
      <c r="K354" s="290"/>
      <c r="L354" s="460">
        <f t="shared" si="845"/>
        <v>567.29999999999995</v>
      </c>
      <c r="M354" s="288">
        <f t="shared" si="846"/>
        <v>567.29999999999995</v>
      </c>
      <c r="N354" s="460">
        <f t="shared" si="847"/>
        <v>507.3</v>
      </c>
      <c r="O354" s="288">
        <f t="shared" si="848"/>
        <v>507.3</v>
      </c>
      <c r="P354" s="460">
        <f t="shared" si="849"/>
        <v>497.3</v>
      </c>
      <c r="Q354" s="288">
        <f t="shared" si="850"/>
        <v>497.3</v>
      </c>
      <c r="R354" s="460">
        <f t="shared" si="851"/>
        <v>489.3</v>
      </c>
      <c r="S354" s="288">
        <f t="shared" si="852"/>
        <v>489.3</v>
      </c>
      <c r="T354" s="102">
        <f t="shared" si="853"/>
        <v>481.3</v>
      </c>
      <c r="U354" s="305">
        <f t="shared" si="854"/>
        <v>481.3</v>
      </c>
      <c r="V354" s="102">
        <f t="shared" si="855"/>
        <v>476.3</v>
      </c>
      <c r="W354" s="305">
        <f t="shared" si="856"/>
        <v>476.3</v>
      </c>
      <c r="X354" s="134"/>
      <c r="Y354" s="134"/>
      <c r="Z354" s="134"/>
      <c r="AA354" s="137"/>
      <c r="AB354" s="404">
        <v>2209</v>
      </c>
    </row>
    <row r="355" spans="1:29" ht="12.6" customHeight="1" x14ac:dyDescent="0.2">
      <c r="A355" s="97"/>
      <c r="B355" s="705" t="s">
        <v>240</v>
      </c>
      <c r="C355" s="706"/>
      <c r="D355" s="706"/>
      <c r="E355" s="706"/>
      <c r="F355" s="380">
        <f>4.17*X2</f>
        <v>4441.05</v>
      </c>
      <c r="G355" s="287">
        <f t="shared" ref="G355" si="860">+F355*$X$1</f>
        <v>4441.05</v>
      </c>
      <c r="H355" s="393">
        <f>F355+400</f>
        <v>4841.05</v>
      </c>
      <c r="I355" s="287">
        <f>+H355*$X$1</f>
        <v>4841.05</v>
      </c>
      <c r="J355" s="542">
        <f>F355+180</f>
        <v>4621.05</v>
      </c>
      <c r="K355" s="287">
        <f t="shared" ref="K355" si="861">+J355*$X$1</f>
        <v>4621.05</v>
      </c>
      <c r="L355" s="542">
        <f t="shared" si="845"/>
        <v>4561.05</v>
      </c>
      <c r="M355" s="287">
        <f t="shared" ref="M355" si="862">+L355*$X$1</f>
        <v>4561.05</v>
      </c>
      <c r="N355" s="542">
        <f>F355+61</f>
        <v>4502.05</v>
      </c>
      <c r="O355" s="287">
        <f t="shared" ref="O355" si="863">+N355*$X$1</f>
        <v>4502.05</v>
      </c>
      <c r="P355" s="542">
        <f>F355+54</f>
        <v>4495.05</v>
      </c>
      <c r="Q355" s="287">
        <f t="shared" ref="Q355" si="864">+P355*$X$1</f>
        <v>4495.05</v>
      </c>
      <c r="R355" s="542">
        <f>F355+47</f>
        <v>4488.05</v>
      </c>
      <c r="S355" s="287">
        <f t="shared" ref="S355" si="865">+R355*$X$1</f>
        <v>4488.05</v>
      </c>
      <c r="T355" s="542">
        <f>F355+38</f>
        <v>4479.05</v>
      </c>
      <c r="U355" s="287">
        <f t="shared" ref="U355" si="866">+T355*$X$1</f>
        <v>4479.05</v>
      </c>
      <c r="V355" s="542">
        <f>F355+33</f>
        <v>4474.05</v>
      </c>
      <c r="W355" s="287">
        <f t="shared" ref="W355" si="867">+V355*$X$1</f>
        <v>4474.05</v>
      </c>
      <c r="X355" s="677"/>
      <c r="Y355" s="694"/>
      <c r="Z355" s="694"/>
      <c r="AA355" s="679"/>
      <c r="AB355" s="404">
        <v>2216</v>
      </c>
      <c r="AC355" s="65"/>
    </row>
    <row r="356" spans="1:29" ht="12.6" customHeight="1" x14ac:dyDescent="0.2">
      <c r="A356" s="104"/>
      <c r="B356" s="721" t="s">
        <v>364</v>
      </c>
      <c r="C356" s="722"/>
      <c r="D356" s="722"/>
      <c r="E356" s="722"/>
      <c r="F356" s="551">
        <v>1350</v>
      </c>
      <c r="G356" s="546">
        <f>+F356*$X$1</f>
        <v>1350</v>
      </c>
      <c r="H356" s="548">
        <f>F356+400</f>
        <v>1750</v>
      </c>
      <c r="I356" s="546">
        <f>+H356*$X$1</f>
        <v>1750</v>
      </c>
      <c r="J356" s="548">
        <f>F356+180</f>
        <v>1530</v>
      </c>
      <c r="K356" s="546">
        <f t="shared" ref="K356" si="868">+J356*$X$1</f>
        <v>1530</v>
      </c>
      <c r="L356" s="548">
        <f t="shared" si="845"/>
        <v>1470</v>
      </c>
      <c r="M356" s="546">
        <f t="shared" ref="M356" si="869">+L356*$X$1</f>
        <v>1470</v>
      </c>
      <c r="N356" s="548">
        <f>F356+61</f>
        <v>1411</v>
      </c>
      <c r="O356" s="546">
        <f t="shared" ref="O356" si="870">+N356*$X$1</f>
        <v>1411</v>
      </c>
      <c r="P356" s="549"/>
      <c r="Q356" s="1023" t="s">
        <v>152</v>
      </c>
      <c r="R356" s="1024"/>
      <c r="S356" s="1024"/>
      <c r="T356" s="1024"/>
      <c r="U356" s="1024"/>
      <c r="V356" s="1024"/>
      <c r="W356" s="1025"/>
      <c r="X356" s="677"/>
      <c r="Y356" s="694"/>
      <c r="Z356" s="694"/>
      <c r="AA356" s="679"/>
      <c r="AB356" s="404">
        <v>2222</v>
      </c>
    </row>
    <row r="357" spans="1:29" ht="12.6" customHeight="1" x14ac:dyDescent="0.2">
      <c r="A357" s="18"/>
      <c r="B357" s="723" t="s">
        <v>697</v>
      </c>
      <c r="C357" s="900"/>
      <c r="D357" s="900"/>
      <c r="E357" s="901"/>
      <c r="F357" s="385">
        <f>0.59*X2</f>
        <v>628.35</v>
      </c>
      <c r="G357" s="287">
        <f t="shared" ref="G357" si="871">+F357*$X$1</f>
        <v>628.35</v>
      </c>
      <c r="H357" s="281"/>
      <c r="I357" s="281"/>
      <c r="J357" s="542"/>
      <c r="K357" s="542"/>
      <c r="L357" s="542">
        <f t="shared" si="845"/>
        <v>748.35</v>
      </c>
      <c r="M357" s="287">
        <f t="shared" ref="M357:M365" si="872">+L357*$X$1</f>
        <v>748.35</v>
      </c>
      <c r="N357" s="542">
        <f>F357+60</f>
        <v>688.35</v>
      </c>
      <c r="O357" s="287">
        <f t="shared" ref="O357:O385" si="873">+N357*$X$1</f>
        <v>688.35</v>
      </c>
      <c r="P357" s="542">
        <f>F357+50</f>
        <v>678.35</v>
      </c>
      <c r="Q357" s="287">
        <f t="shared" ref="Q357:Q385" si="874">+P357*$X$1</f>
        <v>678.35</v>
      </c>
      <c r="R357" s="542">
        <f>F357+42</f>
        <v>670.35</v>
      </c>
      <c r="S357" s="287">
        <f t="shared" ref="S357:S385" si="875">+R357*$X$1</f>
        <v>670.35</v>
      </c>
      <c r="T357" s="103">
        <f>F357+34</f>
        <v>662.35</v>
      </c>
      <c r="U357" s="255">
        <f t="shared" ref="U357:U366" si="876">+T357*$X$1</f>
        <v>662.35</v>
      </c>
      <c r="V357" s="103">
        <f>F357+29</f>
        <v>657.35</v>
      </c>
      <c r="W357" s="255">
        <f>+V357*$X$1</f>
        <v>657.35</v>
      </c>
      <c r="X357" s="444"/>
      <c r="Y357" s="443"/>
      <c r="Z357" s="443"/>
      <c r="AA357" s="444"/>
      <c r="AB357" s="404">
        <v>2231</v>
      </c>
      <c r="AC357" s="65"/>
    </row>
    <row r="358" spans="1:29" ht="12.6" customHeight="1" x14ac:dyDescent="0.2">
      <c r="A358" s="18"/>
      <c r="B358" s="727" t="s">
        <v>709</v>
      </c>
      <c r="C358" s="728"/>
      <c r="D358" s="728"/>
      <c r="E358" s="729"/>
      <c r="F358" s="384">
        <f>0.57*X2</f>
        <v>607.04999999999995</v>
      </c>
      <c r="G358" s="288">
        <f t="shared" ref="G358" si="877">+F358*$X$1</f>
        <v>607.04999999999995</v>
      </c>
      <c r="H358" s="280"/>
      <c r="I358" s="280"/>
      <c r="J358" s="460"/>
      <c r="K358" s="460"/>
      <c r="L358" s="460">
        <f t="shared" si="845"/>
        <v>727.05</v>
      </c>
      <c r="M358" s="288">
        <f t="shared" si="872"/>
        <v>727.05</v>
      </c>
      <c r="N358" s="460">
        <f>F358+60</f>
        <v>667.05</v>
      </c>
      <c r="O358" s="288">
        <f t="shared" si="873"/>
        <v>667.05</v>
      </c>
      <c r="P358" s="460">
        <f>F358+50</f>
        <v>657.05</v>
      </c>
      <c r="Q358" s="288">
        <f t="shared" si="874"/>
        <v>657.05</v>
      </c>
      <c r="R358" s="460">
        <f>F358+42</f>
        <v>649.04999999999995</v>
      </c>
      <c r="S358" s="288">
        <f t="shared" si="875"/>
        <v>649.04999999999995</v>
      </c>
      <c r="T358" s="102">
        <f>F358+34</f>
        <v>641.04999999999995</v>
      </c>
      <c r="U358" s="305">
        <f t="shared" si="876"/>
        <v>641.04999999999995</v>
      </c>
      <c r="V358" s="102">
        <f>F358+29</f>
        <v>636.04999999999995</v>
      </c>
      <c r="W358" s="305">
        <f>+V358*$X$1</f>
        <v>636.04999999999995</v>
      </c>
      <c r="X358" s="449"/>
      <c r="Y358" s="448"/>
      <c r="Z358" s="448"/>
      <c r="AA358" s="449"/>
      <c r="AB358" s="404">
        <v>2232</v>
      </c>
      <c r="AC358" s="65"/>
    </row>
    <row r="359" spans="1:29" ht="12.6" customHeight="1" x14ac:dyDescent="0.2">
      <c r="A359" s="18"/>
      <c r="B359" s="723" t="s">
        <v>781</v>
      </c>
      <c r="C359" s="900"/>
      <c r="D359" s="900"/>
      <c r="E359" s="901"/>
      <c r="F359" s="385">
        <f>0.98*X2</f>
        <v>1043.7</v>
      </c>
      <c r="G359" s="287">
        <f t="shared" ref="G359" si="878">+F359*$X$1</f>
        <v>1043.7</v>
      </c>
      <c r="H359" s="281"/>
      <c r="I359" s="281"/>
      <c r="J359" s="542"/>
      <c r="K359" s="542"/>
      <c r="L359" s="542">
        <f t="shared" si="845"/>
        <v>1163.7</v>
      </c>
      <c r="M359" s="287">
        <f t="shared" si="872"/>
        <v>1163.7</v>
      </c>
      <c r="N359" s="542">
        <f>F359+60</f>
        <v>1103.7</v>
      </c>
      <c r="O359" s="287">
        <f t="shared" si="873"/>
        <v>1103.7</v>
      </c>
      <c r="P359" s="542">
        <f>F359+50</f>
        <v>1093.7</v>
      </c>
      <c r="Q359" s="287">
        <f t="shared" si="874"/>
        <v>1093.7</v>
      </c>
      <c r="R359" s="542">
        <f>F359+42</f>
        <v>1085.7</v>
      </c>
      <c r="S359" s="287">
        <f t="shared" si="875"/>
        <v>1085.7</v>
      </c>
      <c r="T359" s="103">
        <f>F359+34</f>
        <v>1077.7</v>
      </c>
      <c r="U359" s="255">
        <f t="shared" si="876"/>
        <v>1077.7</v>
      </c>
      <c r="V359" s="103">
        <f>F359+29</f>
        <v>1072.7</v>
      </c>
      <c r="W359" s="255">
        <f>+V359*$X$1</f>
        <v>1072.7</v>
      </c>
      <c r="X359" s="449"/>
      <c r="Y359" s="448"/>
      <c r="Z359" s="448"/>
      <c r="AA359" s="449"/>
      <c r="AB359" s="404">
        <v>2233</v>
      </c>
      <c r="AC359" s="65"/>
    </row>
    <row r="360" spans="1:29" ht="12.6" customHeight="1" x14ac:dyDescent="0.2">
      <c r="A360" s="97"/>
      <c r="B360" s="721" t="s">
        <v>782</v>
      </c>
      <c r="C360" s="1242"/>
      <c r="D360" s="1242"/>
      <c r="E360" s="1242"/>
      <c r="F360" s="551">
        <f>0.4*X2</f>
        <v>426</v>
      </c>
      <c r="G360" s="546">
        <f t="shared" ref="G360:G370" si="879">+F360*$X$1</f>
        <v>426</v>
      </c>
      <c r="H360" s="548"/>
      <c r="I360" s="546"/>
      <c r="J360" s="548"/>
      <c r="K360" s="546"/>
      <c r="L360" s="548">
        <f>F360+190</f>
        <v>616</v>
      </c>
      <c r="M360" s="546">
        <f t="shared" si="872"/>
        <v>616</v>
      </c>
      <c r="N360" s="548">
        <f>F360+100</f>
        <v>526</v>
      </c>
      <c r="O360" s="546">
        <f t="shared" si="873"/>
        <v>526</v>
      </c>
      <c r="P360" s="548">
        <f>F360+80</f>
        <v>506</v>
      </c>
      <c r="Q360" s="546">
        <f t="shared" si="874"/>
        <v>506</v>
      </c>
      <c r="R360" s="548">
        <f>F360+68</f>
        <v>494</v>
      </c>
      <c r="S360" s="546">
        <f t="shared" si="875"/>
        <v>494</v>
      </c>
      <c r="T360" s="558">
        <f>F360+52</f>
        <v>478</v>
      </c>
      <c r="U360" s="557">
        <f t="shared" si="876"/>
        <v>478</v>
      </c>
      <c r="V360" s="558"/>
      <c r="W360" s="557"/>
      <c r="X360" s="138"/>
      <c r="Y360" s="134"/>
      <c r="Z360" s="134"/>
      <c r="AA360" s="137"/>
      <c r="AB360" s="404">
        <v>2234</v>
      </c>
    </row>
    <row r="361" spans="1:29" ht="12.6" customHeight="1" x14ac:dyDescent="0.2">
      <c r="A361" s="97"/>
      <c r="B361" s="689" t="s">
        <v>783</v>
      </c>
      <c r="C361" s="707"/>
      <c r="D361" s="707"/>
      <c r="E361" s="707"/>
      <c r="F361" s="381">
        <f>0.56*X2</f>
        <v>596.40000000000009</v>
      </c>
      <c r="G361" s="288">
        <f t="shared" si="879"/>
        <v>596.40000000000009</v>
      </c>
      <c r="H361" s="280"/>
      <c r="I361" s="344"/>
      <c r="J361" s="460"/>
      <c r="K361" s="288"/>
      <c r="L361" s="460">
        <f>F361+190</f>
        <v>786.40000000000009</v>
      </c>
      <c r="M361" s="288">
        <f t="shared" si="872"/>
        <v>786.40000000000009</v>
      </c>
      <c r="N361" s="460">
        <f>F361+100</f>
        <v>696.40000000000009</v>
      </c>
      <c r="O361" s="288">
        <f t="shared" si="873"/>
        <v>696.40000000000009</v>
      </c>
      <c r="P361" s="460">
        <f>F361+80</f>
        <v>676.40000000000009</v>
      </c>
      <c r="Q361" s="288">
        <f t="shared" si="874"/>
        <v>676.40000000000009</v>
      </c>
      <c r="R361" s="460">
        <f>F361+68</f>
        <v>664.40000000000009</v>
      </c>
      <c r="S361" s="288">
        <f t="shared" si="875"/>
        <v>664.40000000000009</v>
      </c>
      <c r="T361" s="102">
        <f>F361+52</f>
        <v>648.40000000000009</v>
      </c>
      <c r="U361" s="305">
        <f t="shared" si="876"/>
        <v>648.40000000000009</v>
      </c>
      <c r="V361" s="102">
        <f>F361+45</f>
        <v>641.40000000000009</v>
      </c>
      <c r="W361" s="305">
        <f>+V361*$X$1</f>
        <v>641.40000000000009</v>
      </c>
      <c r="X361" s="138"/>
      <c r="Y361" s="134"/>
      <c r="Z361" s="134"/>
      <c r="AA361" s="137"/>
      <c r="AB361" s="404" t="s">
        <v>241</v>
      </c>
    </row>
    <row r="362" spans="1:29" ht="12.6" customHeight="1" x14ac:dyDescent="0.2">
      <c r="A362" s="18"/>
      <c r="B362" s="723" t="s">
        <v>822</v>
      </c>
      <c r="C362" s="900"/>
      <c r="D362" s="900"/>
      <c r="E362" s="901"/>
      <c r="F362" s="385">
        <f>0.372*X2</f>
        <v>396.18</v>
      </c>
      <c r="G362" s="287">
        <f t="shared" si="879"/>
        <v>396.18</v>
      </c>
      <c r="H362" s="281"/>
      <c r="I362" s="281"/>
      <c r="J362" s="667"/>
      <c r="K362" s="667"/>
      <c r="L362" s="667">
        <f t="shared" ref="L362:L365" si="880">F362+120</f>
        <v>516.18000000000006</v>
      </c>
      <c r="M362" s="287">
        <f t="shared" si="872"/>
        <v>516.18000000000006</v>
      </c>
      <c r="N362" s="667">
        <f t="shared" ref="N362:N385" si="881">F362+60</f>
        <v>456.18</v>
      </c>
      <c r="O362" s="287">
        <f t="shared" si="873"/>
        <v>456.18</v>
      </c>
      <c r="P362" s="667">
        <f t="shared" ref="P362:P385" si="882">F362+50</f>
        <v>446.18</v>
      </c>
      <c r="Q362" s="287">
        <f t="shared" si="874"/>
        <v>446.18</v>
      </c>
      <c r="R362" s="667">
        <f t="shared" ref="R362:R385" si="883">F362+42</f>
        <v>438.18</v>
      </c>
      <c r="S362" s="287">
        <f t="shared" si="875"/>
        <v>438.18</v>
      </c>
      <c r="T362" s="103">
        <f>F362+34</f>
        <v>430.18</v>
      </c>
      <c r="U362" s="255">
        <f t="shared" si="876"/>
        <v>430.18</v>
      </c>
      <c r="V362" s="103">
        <f>F362+29</f>
        <v>425.18</v>
      </c>
      <c r="W362" s="255">
        <f>+V362*$X$1</f>
        <v>425.18</v>
      </c>
      <c r="X362" s="470"/>
      <c r="Y362" s="471"/>
      <c r="Z362" s="471"/>
      <c r="AA362" s="470"/>
      <c r="AB362" s="404">
        <v>2235</v>
      </c>
      <c r="AC362" s="65"/>
    </row>
    <row r="363" spans="1:29" ht="12.6" customHeight="1" x14ac:dyDescent="0.2">
      <c r="A363" s="18"/>
      <c r="B363" s="727" t="s">
        <v>864</v>
      </c>
      <c r="C363" s="728"/>
      <c r="D363" s="728"/>
      <c r="E363" s="729"/>
      <c r="F363" s="384">
        <f>0.71*X2</f>
        <v>756.15</v>
      </c>
      <c r="G363" s="288">
        <f t="shared" ref="G363" si="884">+F363*$X$1</f>
        <v>756.15</v>
      </c>
      <c r="H363" s="280"/>
      <c r="I363" s="280"/>
      <c r="J363" s="460"/>
      <c r="K363" s="460"/>
      <c r="L363" s="460">
        <f t="shared" si="880"/>
        <v>876.15</v>
      </c>
      <c r="M363" s="288">
        <f t="shared" si="872"/>
        <v>876.15</v>
      </c>
      <c r="N363" s="460">
        <f t="shared" si="881"/>
        <v>816.15</v>
      </c>
      <c r="O363" s="288">
        <f t="shared" si="873"/>
        <v>816.15</v>
      </c>
      <c r="P363" s="460">
        <f t="shared" si="882"/>
        <v>806.15</v>
      </c>
      <c r="Q363" s="288">
        <f t="shared" si="874"/>
        <v>806.15</v>
      </c>
      <c r="R363" s="460">
        <f t="shared" si="883"/>
        <v>798.15</v>
      </c>
      <c r="S363" s="288">
        <f t="shared" si="875"/>
        <v>798.15</v>
      </c>
      <c r="T363" s="102">
        <f>F363+34</f>
        <v>790.15</v>
      </c>
      <c r="U363" s="305">
        <f t="shared" si="876"/>
        <v>790.15</v>
      </c>
      <c r="V363" s="102">
        <f>F363+29</f>
        <v>785.15</v>
      </c>
      <c r="W363" s="305">
        <f>+V363*$X$1</f>
        <v>785.15</v>
      </c>
      <c r="X363" s="515"/>
      <c r="Y363" s="516"/>
      <c r="Z363" s="516"/>
      <c r="AA363" s="515"/>
      <c r="AB363" s="404">
        <v>2236</v>
      </c>
      <c r="AC363" s="65"/>
    </row>
    <row r="364" spans="1:29" ht="12.6" customHeight="1" x14ac:dyDescent="0.2">
      <c r="A364" s="97"/>
      <c r="B364" s="711" t="s">
        <v>242</v>
      </c>
      <c r="C364" s="712"/>
      <c r="D364" s="712"/>
      <c r="E364" s="712"/>
      <c r="F364" s="380">
        <f>0.42*X2</f>
        <v>447.3</v>
      </c>
      <c r="G364" s="287">
        <f t="shared" si="879"/>
        <v>447.3</v>
      </c>
      <c r="H364" s="281"/>
      <c r="I364" s="343"/>
      <c r="J364" s="667"/>
      <c r="K364" s="287"/>
      <c r="L364" s="667">
        <f t="shared" si="880"/>
        <v>567.29999999999995</v>
      </c>
      <c r="M364" s="287">
        <f t="shared" si="872"/>
        <v>567.29999999999995</v>
      </c>
      <c r="N364" s="667">
        <f t="shared" si="881"/>
        <v>507.3</v>
      </c>
      <c r="O364" s="287">
        <f t="shared" si="873"/>
        <v>507.3</v>
      </c>
      <c r="P364" s="667">
        <f t="shared" si="882"/>
        <v>497.3</v>
      </c>
      <c r="Q364" s="287">
        <f t="shared" si="874"/>
        <v>497.3</v>
      </c>
      <c r="R364" s="667">
        <f t="shared" si="883"/>
        <v>489.3</v>
      </c>
      <c r="S364" s="287">
        <f t="shared" si="875"/>
        <v>489.3</v>
      </c>
      <c r="T364" s="103">
        <f>F364+34</f>
        <v>481.3</v>
      </c>
      <c r="U364" s="255">
        <f t="shared" si="876"/>
        <v>481.3</v>
      </c>
      <c r="V364" s="103">
        <f>F364+29</f>
        <v>476.3</v>
      </c>
      <c r="W364" s="255">
        <f>+V364*$X$1</f>
        <v>476.3</v>
      </c>
      <c r="X364" s="138"/>
      <c r="Y364" s="134"/>
      <c r="Z364" s="134"/>
      <c r="AA364" s="137"/>
      <c r="AB364" s="404">
        <v>2238</v>
      </c>
    </row>
    <row r="365" spans="1:29" ht="12.6" customHeight="1" x14ac:dyDescent="0.2">
      <c r="A365" s="104"/>
      <c r="B365" s="680" t="s">
        <v>243</v>
      </c>
      <c r="C365" s="691"/>
      <c r="D365" s="691"/>
      <c r="E365" s="692"/>
      <c r="F365" s="381">
        <f>0.428*X2</f>
        <v>455.82</v>
      </c>
      <c r="G365" s="288">
        <f t="shared" si="879"/>
        <v>455.82</v>
      </c>
      <c r="H365" s="280"/>
      <c r="I365" s="344"/>
      <c r="J365" s="460"/>
      <c r="K365" s="288"/>
      <c r="L365" s="460">
        <f t="shared" si="880"/>
        <v>575.81999999999994</v>
      </c>
      <c r="M365" s="288">
        <f t="shared" si="872"/>
        <v>575.81999999999994</v>
      </c>
      <c r="N365" s="460">
        <f t="shared" si="881"/>
        <v>515.81999999999994</v>
      </c>
      <c r="O365" s="288">
        <f t="shared" si="873"/>
        <v>515.81999999999994</v>
      </c>
      <c r="P365" s="460">
        <f t="shared" si="882"/>
        <v>505.82</v>
      </c>
      <c r="Q365" s="288">
        <f t="shared" si="874"/>
        <v>505.82</v>
      </c>
      <c r="R365" s="460">
        <f t="shared" si="883"/>
        <v>497.82</v>
      </c>
      <c r="S365" s="288">
        <f t="shared" si="875"/>
        <v>497.82</v>
      </c>
      <c r="T365" s="102">
        <f>F365+34</f>
        <v>489.82</v>
      </c>
      <c r="U365" s="305">
        <f t="shared" si="876"/>
        <v>489.82</v>
      </c>
      <c r="V365" s="102">
        <f>F365+29</f>
        <v>484.82</v>
      </c>
      <c r="W365" s="305">
        <f>+V365*$X$1</f>
        <v>484.82</v>
      </c>
      <c r="X365" s="138"/>
      <c r="Y365" s="134"/>
      <c r="Z365" s="134"/>
      <c r="AA365" s="137"/>
      <c r="AB365" s="404">
        <v>2239</v>
      </c>
    </row>
    <row r="366" spans="1:29" ht="12.6" customHeight="1" x14ac:dyDescent="0.2">
      <c r="A366" s="18"/>
      <c r="B366" s="695" t="s">
        <v>983</v>
      </c>
      <c r="C366" s="696"/>
      <c r="D366" s="696"/>
      <c r="E366" s="696"/>
      <c r="F366" s="380">
        <f>0.431*X2</f>
        <v>459.01499999999999</v>
      </c>
      <c r="G366" s="287">
        <f t="shared" si="879"/>
        <v>459.01499999999999</v>
      </c>
      <c r="H366" s="281"/>
      <c r="I366" s="343"/>
      <c r="J366" s="667"/>
      <c r="K366" s="287"/>
      <c r="L366" s="667">
        <f t="shared" ref="L366:L367" si="885">F366+120</f>
        <v>579.01499999999999</v>
      </c>
      <c r="M366" s="287">
        <f t="shared" ref="M366:M367" si="886">+L366*$X$1</f>
        <v>579.01499999999999</v>
      </c>
      <c r="N366" s="667">
        <f t="shared" si="881"/>
        <v>519.01499999999999</v>
      </c>
      <c r="O366" s="287">
        <f t="shared" si="873"/>
        <v>519.01499999999999</v>
      </c>
      <c r="P366" s="667">
        <f t="shared" si="882"/>
        <v>509.01499999999999</v>
      </c>
      <c r="Q366" s="287">
        <f t="shared" si="874"/>
        <v>509.01499999999999</v>
      </c>
      <c r="R366" s="667">
        <f t="shared" si="883"/>
        <v>501.01499999999999</v>
      </c>
      <c r="S366" s="287">
        <f t="shared" si="875"/>
        <v>501.01499999999999</v>
      </c>
      <c r="T366" s="103">
        <f t="shared" ref="T366" si="887">F366+34</f>
        <v>493.01499999999999</v>
      </c>
      <c r="U366" s="255">
        <f t="shared" si="876"/>
        <v>493.01499999999999</v>
      </c>
      <c r="V366" s="103">
        <f t="shared" ref="V366" si="888">F366+29</f>
        <v>488.01499999999999</v>
      </c>
      <c r="W366" s="255">
        <f t="shared" ref="W366" si="889">+V366*$X$1</f>
        <v>488.01499999999999</v>
      </c>
      <c r="X366" s="138"/>
      <c r="Y366" s="134"/>
      <c r="Z366" s="134"/>
      <c r="AA366" s="137"/>
      <c r="AB366" s="404">
        <v>2240</v>
      </c>
    </row>
    <row r="367" spans="1:29" ht="12.6" customHeight="1" x14ac:dyDescent="0.2">
      <c r="A367" s="18"/>
      <c r="B367" s="695" t="s">
        <v>902</v>
      </c>
      <c r="C367" s="696"/>
      <c r="D367" s="696"/>
      <c r="E367" s="696"/>
      <c r="F367" s="381">
        <f>0.34*X2</f>
        <v>362.1</v>
      </c>
      <c r="G367" s="288">
        <f t="shared" ref="G367" si="890">+F367*$X$1</f>
        <v>362.1</v>
      </c>
      <c r="H367" s="280"/>
      <c r="I367" s="344"/>
      <c r="J367" s="460"/>
      <c r="K367" s="288"/>
      <c r="L367" s="460">
        <f t="shared" si="885"/>
        <v>482.1</v>
      </c>
      <c r="M367" s="288">
        <f t="shared" si="886"/>
        <v>482.1</v>
      </c>
      <c r="N367" s="460">
        <f t="shared" ref="N367" si="891">F367+60</f>
        <v>422.1</v>
      </c>
      <c r="O367" s="288">
        <f t="shared" ref="O367" si="892">+N367*$X$1</f>
        <v>422.1</v>
      </c>
      <c r="P367" s="460">
        <f t="shared" ref="P367" si="893">F367+50</f>
        <v>412.1</v>
      </c>
      <c r="Q367" s="288">
        <f t="shared" ref="Q367" si="894">+P367*$X$1</f>
        <v>412.1</v>
      </c>
      <c r="R367" s="460">
        <f t="shared" ref="R367" si="895">F367+42</f>
        <v>404.1</v>
      </c>
      <c r="S367" s="288">
        <f t="shared" ref="S367" si="896">+R367*$X$1</f>
        <v>404.1</v>
      </c>
      <c r="T367" s="102">
        <f t="shared" ref="T367" si="897">F367+34</f>
        <v>396.1</v>
      </c>
      <c r="U367" s="305">
        <f t="shared" ref="U367" si="898">+T367*$X$1</f>
        <v>396.1</v>
      </c>
      <c r="V367" s="102">
        <f t="shared" ref="V367" si="899">F367+29</f>
        <v>391.1</v>
      </c>
      <c r="W367" s="305">
        <f t="shared" ref="W367" si="900">+V367*$X$1</f>
        <v>391.1</v>
      </c>
      <c r="X367" s="138"/>
      <c r="Y367" s="134"/>
      <c r="Z367" s="134"/>
      <c r="AA367" s="137"/>
      <c r="AB367" s="404" t="s">
        <v>915</v>
      </c>
    </row>
    <row r="368" spans="1:29" ht="12.6" customHeight="1" x14ac:dyDescent="0.2">
      <c r="A368" s="18"/>
      <c r="B368" s="711" t="s">
        <v>828</v>
      </c>
      <c r="C368" s="712"/>
      <c r="D368" s="712"/>
      <c r="E368" s="712"/>
      <c r="F368" s="380">
        <f>0.22*X2</f>
        <v>234.3</v>
      </c>
      <c r="G368" s="287">
        <f t="shared" ref="G368:G369" si="901">+F368*$X$1</f>
        <v>234.3</v>
      </c>
      <c r="H368" s="281"/>
      <c r="I368" s="343"/>
      <c r="J368" s="542"/>
      <c r="K368" s="287"/>
      <c r="L368" s="542"/>
      <c r="M368" s="287"/>
      <c r="N368" s="542">
        <f t="shared" si="881"/>
        <v>294.3</v>
      </c>
      <c r="O368" s="287">
        <f t="shared" si="873"/>
        <v>294.3</v>
      </c>
      <c r="P368" s="542">
        <f t="shared" si="882"/>
        <v>284.3</v>
      </c>
      <c r="Q368" s="287">
        <f t="shared" si="874"/>
        <v>284.3</v>
      </c>
      <c r="R368" s="542">
        <f t="shared" si="883"/>
        <v>276.3</v>
      </c>
      <c r="S368" s="287">
        <f t="shared" si="875"/>
        <v>276.3</v>
      </c>
      <c r="T368" s="103">
        <f t="shared" ref="T368:T385" si="902">F368+34</f>
        <v>268.3</v>
      </c>
      <c r="U368" s="255">
        <f t="shared" ref="U368:U385" si="903">+T368*$X$1</f>
        <v>268.3</v>
      </c>
      <c r="V368" s="103">
        <f t="shared" ref="V368:V385" si="904">F368+29</f>
        <v>263.3</v>
      </c>
      <c r="W368" s="255">
        <f t="shared" ref="W368:W385" si="905">+V368*$X$1</f>
        <v>263.3</v>
      </c>
      <c r="X368" s="138"/>
      <c r="Y368" s="134"/>
      <c r="Z368" s="134"/>
      <c r="AA368" s="137"/>
      <c r="AB368" s="404">
        <v>2241</v>
      </c>
    </row>
    <row r="369" spans="1:29" ht="12.6" customHeight="1" x14ac:dyDescent="0.2">
      <c r="A369" s="18"/>
      <c r="B369" s="689" t="s">
        <v>829</v>
      </c>
      <c r="C369" s="690"/>
      <c r="D369" s="690"/>
      <c r="E369" s="690"/>
      <c r="F369" s="381">
        <f>0.35*X2</f>
        <v>372.75</v>
      </c>
      <c r="G369" s="288">
        <f t="shared" si="901"/>
        <v>372.75</v>
      </c>
      <c r="H369" s="280"/>
      <c r="I369" s="344"/>
      <c r="J369" s="460"/>
      <c r="K369" s="288"/>
      <c r="L369" s="460">
        <f t="shared" ref="L369:L390" si="906">F369+120</f>
        <v>492.75</v>
      </c>
      <c r="M369" s="288">
        <f t="shared" ref="M369:M386" si="907">+L369*$X$1</f>
        <v>492.75</v>
      </c>
      <c r="N369" s="460">
        <f t="shared" si="881"/>
        <v>432.75</v>
      </c>
      <c r="O369" s="288">
        <f t="shared" si="873"/>
        <v>432.75</v>
      </c>
      <c r="P369" s="460">
        <f t="shared" si="882"/>
        <v>422.75</v>
      </c>
      <c r="Q369" s="288">
        <f t="shared" si="874"/>
        <v>422.75</v>
      </c>
      <c r="R369" s="460">
        <f t="shared" si="883"/>
        <v>414.75</v>
      </c>
      <c r="S369" s="288">
        <f t="shared" si="875"/>
        <v>414.75</v>
      </c>
      <c r="T369" s="102">
        <f t="shared" si="902"/>
        <v>406.75</v>
      </c>
      <c r="U369" s="305">
        <f t="shared" si="903"/>
        <v>406.75</v>
      </c>
      <c r="V369" s="102">
        <f t="shared" si="904"/>
        <v>401.75</v>
      </c>
      <c r="W369" s="305">
        <f t="shared" si="905"/>
        <v>401.75</v>
      </c>
      <c r="X369" s="138"/>
      <c r="Y369" s="134"/>
      <c r="Z369" s="134"/>
      <c r="AA369" s="137"/>
      <c r="AB369" s="404">
        <v>2242</v>
      </c>
    </row>
    <row r="370" spans="1:29" ht="12.6" customHeight="1" x14ac:dyDescent="0.2">
      <c r="A370" s="97"/>
      <c r="B370" s="721" t="s">
        <v>244</v>
      </c>
      <c r="C370" s="722"/>
      <c r="D370" s="722"/>
      <c r="E370" s="722"/>
      <c r="F370" s="551">
        <f>0.26*X2</f>
        <v>276.90000000000003</v>
      </c>
      <c r="G370" s="546">
        <f t="shared" si="879"/>
        <v>276.90000000000003</v>
      </c>
      <c r="H370" s="547"/>
      <c r="I370" s="550"/>
      <c r="J370" s="665"/>
      <c r="K370" s="546"/>
      <c r="L370" s="665">
        <f t="shared" si="906"/>
        <v>396.90000000000003</v>
      </c>
      <c r="M370" s="546">
        <f t="shared" si="907"/>
        <v>396.90000000000003</v>
      </c>
      <c r="N370" s="665">
        <f t="shared" si="881"/>
        <v>336.90000000000003</v>
      </c>
      <c r="O370" s="546">
        <f t="shared" si="873"/>
        <v>336.90000000000003</v>
      </c>
      <c r="P370" s="665">
        <f t="shared" si="882"/>
        <v>326.90000000000003</v>
      </c>
      <c r="Q370" s="546">
        <f t="shared" si="874"/>
        <v>326.90000000000003</v>
      </c>
      <c r="R370" s="665">
        <f t="shared" si="883"/>
        <v>318.90000000000003</v>
      </c>
      <c r="S370" s="546">
        <f t="shared" si="875"/>
        <v>318.90000000000003</v>
      </c>
      <c r="T370" s="558">
        <f t="shared" si="902"/>
        <v>310.90000000000003</v>
      </c>
      <c r="U370" s="557">
        <f t="shared" si="903"/>
        <v>310.90000000000003</v>
      </c>
      <c r="V370" s="558">
        <f t="shared" si="904"/>
        <v>305.90000000000003</v>
      </c>
      <c r="W370" s="557">
        <f t="shared" si="905"/>
        <v>305.90000000000003</v>
      </c>
      <c r="X370" s="138"/>
      <c r="Y370" s="134"/>
      <c r="Z370" s="134"/>
      <c r="AA370" s="137"/>
      <c r="AB370" s="404">
        <v>2244</v>
      </c>
    </row>
    <row r="371" spans="1:29" ht="12.6" customHeight="1" x14ac:dyDescent="0.2">
      <c r="A371" s="18"/>
      <c r="B371" s="689" t="s">
        <v>832</v>
      </c>
      <c r="C371" s="690"/>
      <c r="D371" s="690"/>
      <c r="E371" s="690"/>
      <c r="F371" s="381">
        <f>0.29*X2</f>
        <v>308.84999999999997</v>
      </c>
      <c r="G371" s="288">
        <f t="shared" ref="G371:G372" si="908">+F371*$X$1</f>
        <v>308.84999999999997</v>
      </c>
      <c r="H371" s="280"/>
      <c r="I371" s="344"/>
      <c r="J371" s="460"/>
      <c r="K371" s="288"/>
      <c r="L371" s="460">
        <f t="shared" si="906"/>
        <v>428.84999999999997</v>
      </c>
      <c r="M371" s="288">
        <f t="shared" si="907"/>
        <v>428.84999999999997</v>
      </c>
      <c r="N371" s="460">
        <f t="shared" si="881"/>
        <v>368.84999999999997</v>
      </c>
      <c r="O371" s="288">
        <f t="shared" si="873"/>
        <v>368.84999999999997</v>
      </c>
      <c r="P371" s="460">
        <f t="shared" si="882"/>
        <v>358.84999999999997</v>
      </c>
      <c r="Q371" s="288">
        <f t="shared" si="874"/>
        <v>358.84999999999997</v>
      </c>
      <c r="R371" s="460">
        <f t="shared" si="883"/>
        <v>350.84999999999997</v>
      </c>
      <c r="S371" s="288">
        <f t="shared" si="875"/>
        <v>350.84999999999997</v>
      </c>
      <c r="T371" s="102">
        <f t="shared" si="902"/>
        <v>342.84999999999997</v>
      </c>
      <c r="U371" s="305">
        <f t="shared" si="903"/>
        <v>342.84999999999997</v>
      </c>
      <c r="V371" s="102">
        <f t="shared" si="904"/>
        <v>337.84999999999997</v>
      </c>
      <c r="W371" s="305">
        <f t="shared" si="905"/>
        <v>337.84999999999997</v>
      </c>
      <c r="X371" s="138"/>
      <c r="Y371" s="134"/>
      <c r="Z371" s="134"/>
      <c r="AA371" s="137"/>
      <c r="AB371" s="404">
        <v>2245</v>
      </c>
    </row>
    <row r="372" spans="1:29" ht="12.6" customHeight="1" x14ac:dyDescent="0.2">
      <c r="A372" s="18"/>
      <c r="B372" s="711" t="s">
        <v>831</v>
      </c>
      <c r="C372" s="712"/>
      <c r="D372" s="712"/>
      <c r="E372" s="712"/>
      <c r="F372" s="380">
        <f>0.3*X2</f>
        <v>319.5</v>
      </c>
      <c r="G372" s="287">
        <f t="shared" si="908"/>
        <v>319.5</v>
      </c>
      <c r="H372" s="281"/>
      <c r="I372" s="343"/>
      <c r="J372" s="542"/>
      <c r="K372" s="287"/>
      <c r="L372" s="542">
        <f t="shared" si="906"/>
        <v>439.5</v>
      </c>
      <c r="M372" s="287">
        <f t="shared" si="907"/>
        <v>439.5</v>
      </c>
      <c r="N372" s="542">
        <f t="shared" si="881"/>
        <v>379.5</v>
      </c>
      <c r="O372" s="287">
        <f t="shared" si="873"/>
        <v>379.5</v>
      </c>
      <c r="P372" s="570">
        <f t="shared" ref="P372" si="909">F372+50</f>
        <v>369.5</v>
      </c>
      <c r="Q372" s="287">
        <f t="shared" ref="Q372" si="910">+P372*$X$1</f>
        <v>369.5</v>
      </c>
      <c r="R372" s="570">
        <f t="shared" ref="R372" si="911">F372+42</f>
        <v>361.5</v>
      </c>
      <c r="S372" s="287">
        <f t="shared" ref="S372" si="912">+R372*$X$1</f>
        <v>361.5</v>
      </c>
      <c r="T372" s="103">
        <f t="shared" ref="T372" si="913">F372+34</f>
        <v>353.5</v>
      </c>
      <c r="U372" s="255">
        <f t="shared" ref="U372" si="914">+T372*$X$1</f>
        <v>353.5</v>
      </c>
      <c r="V372" s="103">
        <f t="shared" ref="V372" si="915">F372+29</f>
        <v>348.5</v>
      </c>
      <c r="W372" s="255">
        <f t="shared" ref="W372" si="916">+V372*$X$1</f>
        <v>348.5</v>
      </c>
      <c r="X372" s="138"/>
      <c r="Y372" s="134"/>
      <c r="Z372" s="134"/>
      <c r="AA372" s="137"/>
      <c r="AB372" s="404" t="s">
        <v>830</v>
      </c>
    </row>
    <row r="373" spans="1:29" ht="12.6" customHeight="1" x14ac:dyDescent="0.2">
      <c r="A373" s="97"/>
      <c r="B373" s="689" t="s">
        <v>525</v>
      </c>
      <c r="C373" s="690"/>
      <c r="D373" s="690"/>
      <c r="E373" s="690"/>
      <c r="F373" s="329">
        <v>1395</v>
      </c>
      <c r="G373" s="288">
        <f>+F373*$X$1</f>
        <v>1395</v>
      </c>
      <c r="H373" s="280"/>
      <c r="I373" s="344"/>
      <c r="J373" s="460"/>
      <c r="K373" s="288"/>
      <c r="L373" s="460">
        <f t="shared" si="906"/>
        <v>1515</v>
      </c>
      <c r="M373" s="288">
        <f t="shared" si="907"/>
        <v>1515</v>
      </c>
      <c r="N373" s="460">
        <f t="shared" si="881"/>
        <v>1455</v>
      </c>
      <c r="O373" s="288">
        <f t="shared" si="873"/>
        <v>1455</v>
      </c>
      <c r="P373" s="460">
        <f t="shared" si="882"/>
        <v>1445</v>
      </c>
      <c r="Q373" s="288">
        <f t="shared" si="874"/>
        <v>1445</v>
      </c>
      <c r="R373" s="460">
        <f t="shared" si="883"/>
        <v>1437</v>
      </c>
      <c r="S373" s="288">
        <f t="shared" si="875"/>
        <v>1437</v>
      </c>
      <c r="T373" s="102">
        <f t="shared" si="902"/>
        <v>1429</v>
      </c>
      <c r="U373" s="305">
        <f t="shared" si="903"/>
        <v>1429</v>
      </c>
      <c r="V373" s="102">
        <f t="shared" si="904"/>
        <v>1424</v>
      </c>
      <c r="W373" s="305">
        <f t="shared" si="905"/>
        <v>1424</v>
      </c>
      <c r="X373" s="138"/>
      <c r="Y373" s="134"/>
      <c r="Z373" s="134"/>
      <c r="AA373" s="137"/>
      <c r="AB373" s="404">
        <v>2246</v>
      </c>
    </row>
    <row r="374" spans="1:29" ht="12.6" customHeight="1" x14ac:dyDescent="0.2">
      <c r="A374" s="18"/>
      <c r="B374" s="711" t="s">
        <v>842</v>
      </c>
      <c r="C374" s="712"/>
      <c r="D374" s="712"/>
      <c r="E374" s="712"/>
      <c r="F374" s="491">
        <f>2.7*X2</f>
        <v>2875.5</v>
      </c>
      <c r="G374" s="287">
        <f t="shared" ref="G374" si="917">+F374*$X$1</f>
        <v>2875.5</v>
      </c>
      <c r="H374" s="281"/>
      <c r="I374" s="343"/>
      <c r="J374" s="542">
        <f>F374+180</f>
        <v>3055.5</v>
      </c>
      <c r="K374" s="287">
        <f t="shared" ref="K374" si="918">+J374*$X$1</f>
        <v>3055.5</v>
      </c>
      <c r="L374" s="542">
        <f t="shared" si="906"/>
        <v>2995.5</v>
      </c>
      <c r="M374" s="287">
        <f t="shared" si="907"/>
        <v>2995.5</v>
      </c>
      <c r="N374" s="542">
        <f t="shared" si="881"/>
        <v>2935.5</v>
      </c>
      <c r="O374" s="287">
        <f t="shared" si="873"/>
        <v>2935.5</v>
      </c>
      <c r="P374" s="542">
        <f t="shared" si="882"/>
        <v>2925.5</v>
      </c>
      <c r="Q374" s="287">
        <f t="shared" si="874"/>
        <v>2925.5</v>
      </c>
      <c r="R374" s="542">
        <f t="shared" si="883"/>
        <v>2917.5</v>
      </c>
      <c r="S374" s="287">
        <f t="shared" si="875"/>
        <v>2917.5</v>
      </c>
      <c r="T374" s="103">
        <f t="shared" si="902"/>
        <v>2909.5</v>
      </c>
      <c r="U374" s="255">
        <f t="shared" si="903"/>
        <v>2909.5</v>
      </c>
      <c r="V374" s="103">
        <f t="shared" si="904"/>
        <v>2904.5</v>
      </c>
      <c r="W374" s="255">
        <f t="shared" si="905"/>
        <v>2904.5</v>
      </c>
      <c r="X374" s="138"/>
      <c r="Y374" s="134"/>
      <c r="Z374" s="134"/>
      <c r="AA374" s="137"/>
      <c r="AB374" s="404">
        <v>2247</v>
      </c>
    </row>
    <row r="375" spans="1:29" ht="12.6" customHeight="1" x14ac:dyDescent="0.2">
      <c r="A375" s="18"/>
      <c r="B375" s="680" t="s">
        <v>479</v>
      </c>
      <c r="C375" s="681"/>
      <c r="D375" s="681"/>
      <c r="E375" s="682"/>
      <c r="F375" s="384">
        <f>0.467*X2</f>
        <v>497.35500000000002</v>
      </c>
      <c r="G375" s="288">
        <f t="shared" ref="G375:G379" si="919">+F375*$X$1</f>
        <v>497.35500000000002</v>
      </c>
      <c r="H375" s="280"/>
      <c r="I375" s="344"/>
      <c r="J375" s="460"/>
      <c r="K375" s="288"/>
      <c r="L375" s="460">
        <f t="shared" si="906"/>
        <v>617.35500000000002</v>
      </c>
      <c r="M375" s="288">
        <f t="shared" si="907"/>
        <v>617.35500000000002</v>
      </c>
      <c r="N375" s="460">
        <f t="shared" si="881"/>
        <v>557.35500000000002</v>
      </c>
      <c r="O375" s="288">
        <f t="shared" si="873"/>
        <v>557.35500000000002</v>
      </c>
      <c r="P375" s="460">
        <f t="shared" si="882"/>
        <v>547.35500000000002</v>
      </c>
      <c r="Q375" s="288">
        <f t="shared" si="874"/>
        <v>547.35500000000002</v>
      </c>
      <c r="R375" s="460">
        <f t="shared" si="883"/>
        <v>539.35500000000002</v>
      </c>
      <c r="S375" s="288">
        <f t="shared" si="875"/>
        <v>539.35500000000002</v>
      </c>
      <c r="T375" s="102">
        <f t="shared" si="902"/>
        <v>531.35500000000002</v>
      </c>
      <c r="U375" s="305">
        <f t="shared" si="903"/>
        <v>531.35500000000002</v>
      </c>
      <c r="V375" s="102">
        <f t="shared" si="904"/>
        <v>526.35500000000002</v>
      </c>
      <c r="W375" s="305">
        <f t="shared" si="905"/>
        <v>526.35500000000002</v>
      </c>
      <c r="X375" s="131"/>
      <c r="Y375" s="131"/>
      <c r="Z375" s="131"/>
      <c r="AA375" s="131"/>
      <c r="AB375" s="418">
        <v>2251</v>
      </c>
    </row>
    <row r="376" spans="1:29" ht="12.6" customHeight="1" x14ac:dyDescent="0.2">
      <c r="A376" s="18"/>
      <c r="B376" s="683" t="s">
        <v>690</v>
      </c>
      <c r="C376" s="715"/>
      <c r="D376" s="715"/>
      <c r="E376" s="716"/>
      <c r="F376" s="385">
        <f>0.467*X2</f>
        <v>497.35500000000002</v>
      </c>
      <c r="G376" s="287">
        <f t="shared" si="919"/>
        <v>497.35500000000002</v>
      </c>
      <c r="H376" s="281"/>
      <c r="I376" s="343"/>
      <c r="J376" s="542"/>
      <c r="K376" s="287"/>
      <c r="L376" s="542">
        <f t="shared" si="906"/>
        <v>617.35500000000002</v>
      </c>
      <c r="M376" s="287">
        <f t="shared" si="907"/>
        <v>617.35500000000002</v>
      </c>
      <c r="N376" s="542">
        <f t="shared" si="881"/>
        <v>557.35500000000002</v>
      </c>
      <c r="O376" s="287">
        <f t="shared" si="873"/>
        <v>557.35500000000002</v>
      </c>
      <c r="P376" s="542">
        <f t="shared" si="882"/>
        <v>547.35500000000002</v>
      </c>
      <c r="Q376" s="287">
        <f t="shared" si="874"/>
        <v>547.35500000000002</v>
      </c>
      <c r="R376" s="542">
        <f t="shared" si="883"/>
        <v>539.35500000000002</v>
      </c>
      <c r="S376" s="287">
        <f t="shared" si="875"/>
        <v>539.35500000000002</v>
      </c>
      <c r="T376" s="103">
        <f t="shared" si="902"/>
        <v>531.35500000000002</v>
      </c>
      <c r="U376" s="255">
        <f t="shared" si="903"/>
        <v>531.35500000000002</v>
      </c>
      <c r="V376" s="103">
        <f t="shared" si="904"/>
        <v>526.35500000000002</v>
      </c>
      <c r="W376" s="255">
        <f t="shared" si="905"/>
        <v>526.35500000000002</v>
      </c>
      <c r="X376" s="131"/>
      <c r="Y376" s="131"/>
      <c r="Z376" s="131"/>
      <c r="AA376" s="131"/>
      <c r="AB376" s="404">
        <v>2252</v>
      </c>
    </row>
    <row r="377" spans="1:29" ht="12.6" customHeight="1" x14ac:dyDescent="0.2">
      <c r="A377" s="104"/>
      <c r="B377" s="680" t="s">
        <v>245</v>
      </c>
      <c r="C377" s="765"/>
      <c r="D377" s="765"/>
      <c r="E377" s="766"/>
      <c r="F377" s="381">
        <f>0.35*X2</f>
        <v>372.75</v>
      </c>
      <c r="G377" s="288">
        <f t="shared" si="919"/>
        <v>372.75</v>
      </c>
      <c r="H377" s="280"/>
      <c r="I377" s="344"/>
      <c r="J377" s="460"/>
      <c r="K377" s="288"/>
      <c r="L377" s="460">
        <f t="shared" si="906"/>
        <v>492.75</v>
      </c>
      <c r="M377" s="288">
        <f t="shared" si="907"/>
        <v>492.75</v>
      </c>
      <c r="N377" s="460">
        <f t="shared" si="881"/>
        <v>432.75</v>
      </c>
      <c r="O377" s="288">
        <f t="shared" si="873"/>
        <v>432.75</v>
      </c>
      <c r="P377" s="460">
        <f t="shared" si="882"/>
        <v>422.75</v>
      </c>
      <c r="Q377" s="288">
        <f t="shared" si="874"/>
        <v>422.75</v>
      </c>
      <c r="R377" s="460">
        <f t="shared" si="883"/>
        <v>414.75</v>
      </c>
      <c r="S377" s="288">
        <f t="shared" si="875"/>
        <v>414.75</v>
      </c>
      <c r="T377" s="102">
        <f t="shared" si="902"/>
        <v>406.75</v>
      </c>
      <c r="U377" s="305">
        <f t="shared" si="903"/>
        <v>406.75</v>
      </c>
      <c r="V377" s="102">
        <f t="shared" si="904"/>
        <v>401.75</v>
      </c>
      <c r="W377" s="305">
        <f t="shared" si="905"/>
        <v>401.75</v>
      </c>
      <c r="X377" s="168"/>
      <c r="Y377" s="131"/>
      <c r="Z377" s="131"/>
      <c r="AA377" s="147"/>
      <c r="AB377" s="404">
        <v>2254</v>
      </c>
      <c r="AC377" s="65"/>
    </row>
    <row r="378" spans="1:29" ht="12.6" customHeight="1" x14ac:dyDescent="0.2">
      <c r="A378" s="104"/>
      <c r="B378" s="683" t="s">
        <v>491</v>
      </c>
      <c r="C378" s="737"/>
      <c r="D378" s="737"/>
      <c r="E378" s="738"/>
      <c r="F378" s="380">
        <f>0.37*X2</f>
        <v>394.05</v>
      </c>
      <c r="G378" s="287">
        <f t="shared" si="919"/>
        <v>394.05</v>
      </c>
      <c r="H378" s="281"/>
      <c r="I378" s="343"/>
      <c r="J378" s="542"/>
      <c r="K378" s="287"/>
      <c r="L378" s="542">
        <f t="shared" si="906"/>
        <v>514.04999999999995</v>
      </c>
      <c r="M378" s="287">
        <f t="shared" si="907"/>
        <v>514.04999999999995</v>
      </c>
      <c r="N378" s="542">
        <f t="shared" si="881"/>
        <v>454.05</v>
      </c>
      <c r="O378" s="287">
        <f t="shared" si="873"/>
        <v>454.05</v>
      </c>
      <c r="P378" s="542">
        <f t="shared" si="882"/>
        <v>444.05</v>
      </c>
      <c r="Q378" s="287">
        <f t="shared" si="874"/>
        <v>444.05</v>
      </c>
      <c r="R378" s="542">
        <f t="shared" si="883"/>
        <v>436.05</v>
      </c>
      <c r="S378" s="287">
        <f t="shared" si="875"/>
        <v>436.05</v>
      </c>
      <c r="T378" s="103">
        <f t="shared" si="902"/>
        <v>428.05</v>
      </c>
      <c r="U378" s="255">
        <f t="shared" si="903"/>
        <v>428.05</v>
      </c>
      <c r="V378" s="103">
        <f t="shared" si="904"/>
        <v>423.05</v>
      </c>
      <c r="W378" s="255">
        <f t="shared" si="905"/>
        <v>423.05</v>
      </c>
      <c r="X378" s="168"/>
      <c r="Y378" s="131"/>
      <c r="Z378" s="131"/>
      <c r="AA378" s="147"/>
      <c r="AB378" s="404" t="s">
        <v>516</v>
      </c>
      <c r="AC378" s="65"/>
    </row>
    <row r="379" spans="1:29" ht="12.6" customHeight="1" x14ac:dyDescent="0.2">
      <c r="A379" s="104"/>
      <c r="B379" s="917" t="s">
        <v>246</v>
      </c>
      <c r="C379" s="918"/>
      <c r="D379" s="918"/>
      <c r="E379" s="919"/>
      <c r="F379" s="546">
        <v>430</v>
      </c>
      <c r="G379" s="546">
        <f t="shared" si="919"/>
        <v>430</v>
      </c>
      <c r="H379" s="547"/>
      <c r="I379" s="550"/>
      <c r="J379" s="548"/>
      <c r="K379" s="546"/>
      <c r="L379" s="548">
        <f t="shared" si="906"/>
        <v>550</v>
      </c>
      <c r="M379" s="546">
        <f t="shared" si="907"/>
        <v>550</v>
      </c>
      <c r="N379" s="548">
        <f t="shared" si="881"/>
        <v>490</v>
      </c>
      <c r="O379" s="546">
        <f t="shared" si="873"/>
        <v>490</v>
      </c>
      <c r="P379" s="548">
        <f t="shared" si="882"/>
        <v>480</v>
      </c>
      <c r="Q379" s="546">
        <f t="shared" si="874"/>
        <v>480</v>
      </c>
      <c r="R379" s="548">
        <f t="shared" si="883"/>
        <v>472</v>
      </c>
      <c r="S379" s="546">
        <f t="shared" si="875"/>
        <v>472</v>
      </c>
      <c r="T379" s="558">
        <f t="shared" si="902"/>
        <v>464</v>
      </c>
      <c r="U379" s="557">
        <f t="shared" si="903"/>
        <v>464</v>
      </c>
      <c r="V379" s="558">
        <f t="shared" si="904"/>
        <v>459</v>
      </c>
      <c r="W379" s="557">
        <f t="shared" si="905"/>
        <v>459</v>
      </c>
      <c r="X379" s="168"/>
      <c r="Y379" s="131"/>
      <c r="Z379" s="131"/>
      <c r="AA379" s="131"/>
      <c r="AB379" s="404">
        <v>2255</v>
      </c>
      <c r="AC379" s="65"/>
    </row>
    <row r="380" spans="1:29" ht="12.6" customHeight="1" x14ac:dyDescent="0.2">
      <c r="A380" s="97"/>
      <c r="B380" s="695" t="s">
        <v>894</v>
      </c>
      <c r="C380" s="696"/>
      <c r="D380" s="696"/>
      <c r="E380" s="696"/>
      <c r="F380" s="380">
        <f>1.75*X2</f>
        <v>1863.75</v>
      </c>
      <c r="G380" s="287">
        <f t="shared" ref="G380" si="920">+F380*$X$1</f>
        <v>1863.75</v>
      </c>
      <c r="H380" s="281"/>
      <c r="I380" s="343"/>
      <c r="J380" s="543"/>
      <c r="K380" s="287"/>
      <c r="L380" s="543">
        <f t="shared" ref="L380" si="921">F380+120</f>
        <v>1983.75</v>
      </c>
      <c r="M380" s="287">
        <f t="shared" ref="M380" si="922">+L380*$X$1</f>
        <v>1983.75</v>
      </c>
      <c r="N380" s="543">
        <f t="shared" ref="N380" si="923">F380+60</f>
        <v>1923.75</v>
      </c>
      <c r="O380" s="287">
        <f t="shared" ref="O380" si="924">+N380*$X$1</f>
        <v>1923.75</v>
      </c>
      <c r="P380" s="543">
        <f t="shared" ref="P380" si="925">F380+50</f>
        <v>1913.75</v>
      </c>
      <c r="Q380" s="287">
        <f t="shared" ref="Q380" si="926">+P380*$X$1</f>
        <v>1913.75</v>
      </c>
      <c r="R380" s="543">
        <f t="shared" ref="R380" si="927">F380+42</f>
        <v>1905.75</v>
      </c>
      <c r="S380" s="287">
        <f t="shared" ref="S380" si="928">+R380*$X$1</f>
        <v>1905.75</v>
      </c>
      <c r="T380" s="103">
        <f t="shared" ref="T380" si="929">F380+34</f>
        <v>1897.75</v>
      </c>
      <c r="U380" s="255">
        <f t="shared" ref="U380" si="930">+T380*$X$1</f>
        <v>1897.75</v>
      </c>
      <c r="V380" s="103">
        <f t="shared" ref="V380" si="931">F380+29</f>
        <v>1892.75</v>
      </c>
      <c r="W380" s="255">
        <f t="shared" ref="W380" si="932">+V380*$X$1</f>
        <v>1892.75</v>
      </c>
      <c r="X380" s="138"/>
      <c r="Y380" s="134"/>
      <c r="Z380" s="134"/>
      <c r="AA380" s="137"/>
      <c r="AB380" s="404">
        <v>2258</v>
      </c>
    </row>
    <row r="381" spans="1:29" ht="12.6" customHeight="1" x14ac:dyDescent="0.2">
      <c r="A381" s="18"/>
      <c r="B381" s="739" t="s">
        <v>672</v>
      </c>
      <c r="C381" s="740"/>
      <c r="D381" s="740"/>
      <c r="E381" s="740"/>
      <c r="F381" s="381">
        <f>0.52*X2</f>
        <v>553.80000000000007</v>
      </c>
      <c r="G381" s="288">
        <f t="shared" ref="G381" si="933">+F381*$X$1</f>
        <v>553.80000000000007</v>
      </c>
      <c r="H381" s="460"/>
      <c r="I381" s="288"/>
      <c r="J381" s="460"/>
      <c r="K381" s="288"/>
      <c r="L381" s="460">
        <f t="shared" si="906"/>
        <v>673.80000000000007</v>
      </c>
      <c r="M381" s="288">
        <f t="shared" si="907"/>
        <v>673.80000000000007</v>
      </c>
      <c r="N381" s="460">
        <f t="shared" si="881"/>
        <v>613.80000000000007</v>
      </c>
      <c r="O381" s="288">
        <f t="shared" si="873"/>
        <v>613.80000000000007</v>
      </c>
      <c r="P381" s="460">
        <f t="shared" si="882"/>
        <v>603.80000000000007</v>
      </c>
      <c r="Q381" s="288">
        <f t="shared" si="874"/>
        <v>603.80000000000007</v>
      </c>
      <c r="R381" s="460">
        <f t="shared" si="883"/>
        <v>595.80000000000007</v>
      </c>
      <c r="S381" s="288">
        <f t="shared" si="875"/>
        <v>595.80000000000007</v>
      </c>
      <c r="T381" s="102">
        <f t="shared" si="902"/>
        <v>587.80000000000007</v>
      </c>
      <c r="U381" s="305">
        <f t="shared" si="903"/>
        <v>587.80000000000007</v>
      </c>
      <c r="V381" s="102">
        <f t="shared" si="904"/>
        <v>582.80000000000007</v>
      </c>
      <c r="W381" s="305">
        <f t="shared" si="905"/>
        <v>582.80000000000007</v>
      </c>
      <c r="X381" s="694"/>
      <c r="Y381" s="678"/>
      <c r="Z381" s="678"/>
      <c r="AA381" s="679"/>
      <c r="AB381" s="404">
        <v>2260</v>
      </c>
      <c r="AC381" s="65"/>
    </row>
    <row r="382" spans="1:29" ht="12.6" customHeight="1" x14ac:dyDescent="0.2">
      <c r="A382" s="18"/>
      <c r="B382" s="700" t="s">
        <v>653</v>
      </c>
      <c r="C382" s="701"/>
      <c r="D382" s="701"/>
      <c r="E382" s="701"/>
      <c r="F382" s="380">
        <f>0.6*X2</f>
        <v>639</v>
      </c>
      <c r="G382" s="287">
        <f t="shared" ref="G382:G383" si="934">+F382*$X$1</f>
        <v>639</v>
      </c>
      <c r="H382" s="523"/>
      <c r="I382" s="287"/>
      <c r="J382" s="542"/>
      <c r="K382" s="287"/>
      <c r="L382" s="542">
        <f t="shared" si="906"/>
        <v>759</v>
      </c>
      <c r="M382" s="287">
        <f t="shared" si="907"/>
        <v>759</v>
      </c>
      <c r="N382" s="542">
        <f t="shared" si="881"/>
        <v>699</v>
      </c>
      <c r="O382" s="287">
        <f t="shared" si="873"/>
        <v>699</v>
      </c>
      <c r="P382" s="542">
        <f t="shared" si="882"/>
        <v>689</v>
      </c>
      <c r="Q382" s="287">
        <f t="shared" si="874"/>
        <v>689</v>
      </c>
      <c r="R382" s="542">
        <f t="shared" si="883"/>
        <v>681</v>
      </c>
      <c r="S382" s="287">
        <f t="shared" si="875"/>
        <v>681</v>
      </c>
      <c r="T382" s="103">
        <f t="shared" si="902"/>
        <v>673</v>
      </c>
      <c r="U382" s="255">
        <f t="shared" si="903"/>
        <v>673</v>
      </c>
      <c r="V382" s="103">
        <f t="shared" si="904"/>
        <v>668</v>
      </c>
      <c r="W382" s="255">
        <f t="shared" si="905"/>
        <v>668</v>
      </c>
      <c r="X382" s="694"/>
      <c r="Y382" s="678"/>
      <c r="Z382" s="678"/>
      <c r="AA382" s="679"/>
      <c r="AB382" s="404">
        <v>2261</v>
      </c>
      <c r="AC382" s="65"/>
    </row>
    <row r="383" spans="1:29" ht="12.6" customHeight="1" x14ac:dyDescent="0.2">
      <c r="A383" s="18"/>
      <c r="B383" s="739" t="s">
        <v>674</v>
      </c>
      <c r="C383" s="740"/>
      <c r="D383" s="740"/>
      <c r="E383" s="740"/>
      <c r="F383" s="381">
        <f>0.58*X2</f>
        <v>617.69999999999993</v>
      </c>
      <c r="G383" s="288">
        <f t="shared" si="934"/>
        <v>617.69999999999993</v>
      </c>
      <c r="H383" s="460"/>
      <c r="I383" s="288"/>
      <c r="J383" s="460"/>
      <c r="K383" s="288"/>
      <c r="L383" s="460">
        <f t="shared" si="906"/>
        <v>737.69999999999993</v>
      </c>
      <c r="M383" s="288">
        <f t="shared" si="907"/>
        <v>737.69999999999993</v>
      </c>
      <c r="N383" s="460">
        <f t="shared" si="881"/>
        <v>677.69999999999993</v>
      </c>
      <c r="O383" s="288">
        <f t="shared" si="873"/>
        <v>677.69999999999993</v>
      </c>
      <c r="P383" s="460">
        <f t="shared" si="882"/>
        <v>667.69999999999993</v>
      </c>
      <c r="Q383" s="288">
        <f t="shared" si="874"/>
        <v>667.69999999999993</v>
      </c>
      <c r="R383" s="460">
        <f t="shared" si="883"/>
        <v>659.69999999999993</v>
      </c>
      <c r="S383" s="288">
        <f t="shared" si="875"/>
        <v>659.69999999999993</v>
      </c>
      <c r="T383" s="102">
        <f t="shared" si="902"/>
        <v>651.69999999999993</v>
      </c>
      <c r="U383" s="305">
        <f t="shared" si="903"/>
        <v>651.69999999999993</v>
      </c>
      <c r="V383" s="102">
        <f t="shared" si="904"/>
        <v>646.69999999999993</v>
      </c>
      <c r="W383" s="305">
        <f t="shared" si="905"/>
        <v>646.69999999999993</v>
      </c>
      <c r="X383" s="694"/>
      <c r="Y383" s="678"/>
      <c r="Z383" s="678"/>
      <c r="AA383" s="679"/>
      <c r="AB383" s="404">
        <v>2262</v>
      </c>
      <c r="AC383" s="65"/>
    </row>
    <row r="384" spans="1:29" ht="12.6" customHeight="1" x14ac:dyDescent="0.2">
      <c r="A384" s="18"/>
      <c r="B384" s="700" t="s">
        <v>620</v>
      </c>
      <c r="C384" s="701"/>
      <c r="D384" s="701"/>
      <c r="E384" s="701"/>
      <c r="F384" s="380">
        <f>1.19*X2</f>
        <v>1267.3499999999999</v>
      </c>
      <c r="G384" s="287">
        <f t="shared" ref="G384" si="935">+F384*$X$1</f>
        <v>1267.3499999999999</v>
      </c>
      <c r="H384" s="523"/>
      <c r="I384" s="287"/>
      <c r="J384" s="542"/>
      <c r="K384" s="287"/>
      <c r="L384" s="542">
        <f t="shared" si="906"/>
        <v>1387.35</v>
      </c>
      <c r="M384" s="287">
        <f t="shared" si="907"/>
        <v>1387.35</v>
      </c>
      <c r="N384" s="542">
        <f t="shared" si="881"/>
        <v>1327.35</v>
      </c>
      <c r="O384" s="287">
        <f t="shared" si="873"/>
        <v>1327.35</v>
      </c>
      <c r="P384" s="542">
        <f t="shared" si="882"/>
        <v>1317.35</v>
      </c>
      <c r="Q384" s="287">
        <f t="shared" si="874"/>
        <v>1317.35</v>
      </c>
      <c r="R384" s="542">
        <f t="shared" si="883"/>
        <v>1309.3499999999999</v>
      </c>
      <c r="S384" s="287">
        <f t="shared" si="875"/>
        <v>1309.3499999999999</v>
      </c>
      <c r="T384" s="103">
        <f t="shared" si="902"/>
        <v>1301.3499999999999</v>
      </c>
      <c r="U384" s="255">
        <f t="shared" si="903"/>
        <v>1301.3499999999999</v>
      </c>
      <c r="V384" s="103">
        <f t="shared" si="904"/>
        <v>1296.3499999999999</v>
      </c>
      <c r="W384" s="255">
        <f t="shared" si="905"/>
        <v>1296.3499999999999</v>
      </c>
      <c r="X384" s="694"/>
      <c r="Y384" s="678"/>
      <c r="Z384" s="678"/>
      <c r="AA384" s="679"/>
      <c r="AB384" s="404">
        <v>2264</v>
      </c>
      <c r="AC384" s="65"/>
    </row>
    <row r="385" spans="1:34" ht="12.6" customHeight="1" x14ac:dyDescent="0.2">
      <c r="A385" s="18"/>
      <c r="B385" s="739" t="s">
        <v>673</v>
      </c>
      <c r="C385" s="740"/>
      <c r="D385" s="740"/>
      <c r="E385" s="740"/>
      <c r="F385" s="381">
        <f>0.81*X2</f>
        <v>862.65000000000009</v>
      </c>
      <c r="G385" s="288">
        <f t="shared" ref="G385" si="936">+F385*$X$1</f>
        <v>862.65000000000009</v>
      </c>
      <c r="H385" s="460"/>
      <c r="I385" s="288"/>
      <c r="J385" s="460"/>
      <c r="K385" s="288"/>
      <c r="L385" s="460">
        <f t="shared" si="906"/>
        <v>982.65000000000009</v>
      </c>
      <c r="M385" s="288">
        <f t="shared" si="907"/>
        <v>982.65000000000009</v>
      </c>
      <c r="N385" s="460">
        <f t="shared" si="881"/>
        <v>922.65000000000009</v>
      </c>
      <c r="O385" s="288">
        <f t="shared" si="873"/>
        <v>922.65000000000009</v>
      </c>
      <c r="P385" s="460">
        <f t="shared" si="882"/>
        <v>912.65000000000009</v>
      </c>
      <c r="Q385" s="288">
        <f t="shared" si="874"/>
        <v>912.65000000000009</v>
      </c>
      <c r="R385" s="460">
        <f t="shared" si="883"/>
        <v>904.65000000000009</v>
      </c>
      <c r="S385" s="288">
        <f t="shared" si="875"/>
        <v>904.65000000000009</v>
      </c>
      <c r="T385" s="102">
        <f t="shared" si="902"/>
        <v>896.65000000000009</v>
      </c>
      <c r="U385" s="305">
        <f t="shared" si="903"/>
        <v>896.65000000000009</v>
      </c>
      <c r="V385" s="102">
        <f t="shared" si="904"/>
        <v>891.65000000000009</v>
      </c>
      <c r="W385" s="305">
        <f t="shared" si="905"/>
        <v>891.65000000000009</v>
      </c>
      <c r="X385" s="694"/>
      <c r="Y385" s="678"/>
      <c r="Z385" s="678"/>
      <c r="AA385" s="679"/>
      <c r="AB385" s="404">
        <v>2266</v>
      </c>
      <c r="AC385" s="65"/>
    </row>
    <row r="386" spans="1:34" ht="12.6" customHeight="1" x14ac:dyDescent="0.2">
      <c r="A386" s="18"/>
      <c r="B386" s="767" t="s">
        <v>247</v>
      </c>
      <c r="C386" s="768"/>
      <c r="D386" s="768"/>
      <c r="E386" s="768"/>
      <c r="F386" s="535">
        <f>1.96*X2</f>
        <v>2087.4</v>
      </c>
      <c r="G386" s="287">
        <f t="shared" ref="G386:G387" si="937">+F386*$X$1</f>
        <v>2087.4</v>
      </c>
      <c r="H386" s="564">
        <f>F386+500</f>
        <v>2587.4</v>
      </c>
      <c r="I386" s="287">
        <f t="shared" ref="I386" si="938">+H386*$X$1</f>
        <v>2587.4</v>
      </c>
      <c r="J386" s="564">
        <f>F386+210</f>
        <v>2297.4</v>
      </c>
      <c r="K386" s="287">
        <f t="shared" ref="K386" si="939">+J386*$X$1</f>
        <v>2297.4</v>
      </c>
      <c r="L386" s="564">
        <f>F386+170</f>
        <v>2257.4</v>
      </c>
      <c r="M386" s="287">
        <f t="shared" si="907"/>
        <v>2257.4</v>
      </c>
      <c r="N386" s="564"/>
      <c r="O386" s="287"/>
      <c r="P386" s="564"/>
      <c r="Q386" s="287"/>
      <c r="R386" s="564"/>
      <c r="S386" s="287"/>
      <c r="T386" s="564"/>
      <c r="U386" s="287"/>
      <c r="V386" s="564"/>
      <c r="W386" s="287"/>
      <c r="X386" s="694"/>
      <c r="Y386" s="678"/>
      <c r="Z386" s="678"/>
      <c r="AA386" s="679"/>
      <c r="AB386" s="404">
        <v>2268</v>
      </c>
      <c r="AC386" s="65"/>
    </row>
    <row r="387" spans="1:34" ht="12.6" customHeight="1" x14ac:dyDescent="0.2">
      <c r="A387" s="18"/>
      <c r="B387" s="739" t="s">
        <v>248</v>
      </c>
      <c r="C387" s="748"/>
      <c r="D387" s="748"/>
      <c r="E387" s="748"/>
      <c r="F387" s="381">
        <f>0.443*X2</f>
        <v>471.79500000000002</v>
      </c>
      <c r="G387" s="288">
        <f t="shared" si="937"/>
        <v>471.79500000000002</v>
      </c>
      <c r="H387" s="280"/>
      <c r="I387" s="280"/>
      <c r="J387" s="460"/>
      <c r="K387" s="460"/>
      <c r="L387" s="460">
        <f t="shared" si="906"/>
        <v>591.79500000000007</v>
      </c>
      <c r="M387" s="288">
        <f>+L387*$X$1</f>
        <v>591.79500000000007</v>
      </c>
      <c r="N387" s="460">
        <f>F387+60</f>
        <v>531.79500000000007</v>
      </c>
      <c r="O387" s="288">
        <f>+N387*$X$1</f>
        <v>531.79500000000007</v>
      </c>
      <c r="P387" s="460">
        <f>F387+50</f>
        <v>521.79500000000007</v>
      </c>
      <c r="Q387" s="288">
        <f>+P387*$X$1</f>
        <v>521.79500000000007</v>
      </c>
      <c r="R387" s="460">
        <f>F387+42</f>
        <v>513.79500000000007</v>
      </c>
      <c r="S387" s="288">
        <f>+R387*$X$1</f>
        <v>513.79500000000007</v>
      </c>
      <c r="T387" s="102">
        <f>F387+34</f>
        <v>505.79500000000002</v>
      </c>
      <c r="U387" s="305">
        <f>+T387*$X$1</f>
        <v>505.79500000000002</v>
      </c>
      <c r="V387" s="102">
        <f>F387+29</f>
        <v>500.79500000000002</v>
      </c>
      <c r="W387" s="305">
        <f>+V387*$X$1</f>
        <v>500.79500000000002</v>
      </c>
      <c r="X387" s="174"/>
      <c r="Y387" s="176"/>
      <c r="Z387" s="176"/>
      <c r="AA387" s="174"/>
      <c r="AB387" s="404">
        <v>2270</v>
      </c>
      <c r="AC387" s="65"/>
    </row>
    <row r="388" spans="1:34" ht="12.6" customHeight="1" x14ac:dyDescent="0.2">
      <c r="A388" s="18"/>
      <c r="B388" s="720" t="s">
        <v>941</v>
      </c>
      <c r="C388" s="741"/>
      <c r="D388" s="741"/>
      <c r="E388" s="741"/>
      <c r="F388" s="380">
        <f>0.44*X2</f>
        <v>468.6</v>
      </c>
      <c r="G388" s="287">
        <f t="shared" ref="G388" si="940">+F388*$X$1</f>
        <v>468.6</v>
      </c>
      <c r="H388" s="281"/>
      <c r="I388" s="281"/>
      <c r="J388" s="594"/>
      <c r="K388" s="594"/>
      <c r="L388" s="594">
        <f t="shared" ref="L388" si="941">F388+120</f>
        <v>588.6</v>
      </c>
      <c r="M388" s="287">
        <f>+L388*$X$1</f>
        <v>588.6</v>
      </c>
      <c r="N388" s="594">
        <f>F388+60</f>
        <v>528.6</v>
      </c>
      <c r="O388" s="287">
        <f>+N388*$X$1</f>
        <v>528.6</v>
      </c>
      <c r="P388" s="594">
        <f>F388+50</f>
        <v>518.6</v>
      </c>
      <c r="Q388" s="287">
        <f>+P388*$X$1</f>
        <v>518.6</v>
      </c>
      <c r="R388" s="594">
        <f>F388+42</f>
        <v>510.6</v>
      </c>
      <c r="S388" s="287">
        <f>+R388*$X$1</f>
        <v>510.6</v>
      </c>
      <c r="T388" s="103">
        <f>F388+34</f>
        <v>502.6</v>
      </c>
      <c r="U388" s="255">
        <f>+T388*$X$1</f>
        <v>502.6</v>
      </c>
      <c r="V388" s="103">
        <f>F388+29</f>
        <v>497.6</v>
      </c>
      <c r="W388" s="255">
        <f>+V388*$X$1</f>
        <v>497.6</v>
      </c>
      <c r="X388" s="592"/>
      <c r="Y388" s="590"/>
      <c r="Z388" s="590"/>
      <c r="AA388" s="592"/>
      <c r="AB388" s="404">
        <v>2271</v>
      </c>
      <c r="AC388" s="65"/>
    </row>
    <row r="389" spans="1:34" ht="12.6" customHeight="1" x14ac:dyDescent="0.2">
      <c r="A389" s="18"/>
      <c r="B389" s="720" t="s">
        <v>942</v>
      </c>
      <c r="C389" s="741"/>
      <c r="D389" s="741"/>
      <c r="E389" s="741"/>
      <c r="F389" s="381">
        <f>0.65*X2</f>
        <v>692.25</v>
      </c>
      <c r="G389" s="288">
        <f t="shared" ref="G389" si="942">+F389*$X$1</f>
        <v>692.25</v>
      </c>
      <c r="H389" s="280"/>
      <c r="I389" s="280"/>
      <c r="J389" s="460"/>
      <c r="K389" s="460"/>
      <c r="L389" s="460">
        <f t="shared" ref="L389" si="943">F389+120</f>
        <v>812.25</v>
      </c>
      <c r="M389" s="288">
        <f>+L389*$X$1</f>
        <v>812.25</v>
      </c>
      <c r="N389" s="460">
        <f>F389+60</f>
        <v>752.25</v>
      </c>
      <c r="O389" s="288">
        <f>+N389*$X$1</f>
        <v>752.25</v>
      </c>
      <c r="P389" s="460">
        <f>F389+50</f>
        <v>742.25</v>
      </c>
      <c r="Q389" s="288">
        <f>+P389*$X$1</f>
        <v>742.25</v>
      </c>
      <c r="R389" s="460">
        <f>F389+42</f>
        <v>734.25</v>
      </c>
      <c r="S389" s="288">
        <f>+R389*$X$1</f>
        <v>734.25</v>
      </c>
      <c r="T389" s="102">
        <f>F389+34</f>
        <v>726.25</v>
      </c>
      <c r="U389" s="305">
        <f>+T389*$X$1</f>
        <v>726.25</v>
      </c>
      <c r="V389" s="102">
        <f>F389+29</f>
        <v>721.25</v>
      </c>
      <c r="W389" s="305">
        <f>+V389*$X$1</f>
        <v>721.25</v>
      </c>
      <c r="X389" s="592"/>
      <c r="Y389" s="590"/>
      <c r="Z389" s="590"/>
      <c r="AA389" s="592"/>
      <c r="AB389" s="404">
        <v>2272</v>
      </c>
      <c r="AC389" s="65"/>
    </row>
    <row r="390" spans="1:34" ht="12.6" customHeight="1" x14ac:dyDescent="0.2">
      <c r="A390" s="18"/>
      <c r="B390" s="700" t="s">
        <v>249</v>
      </c>
      <c r="C390" s="780"/>
      <c r="D390" s="780"/>
      <c r="E390" s="780"/>
      <c r="F390" s="380">
        <f>0.59*X2</f>
        <v>628.35</v>
      </c>
      <c r="G390" s="287">
        <f>+F390*$X$1</f>
        <v>628.35</v>
      </c>
      <c r="H390" s="281"/>
      <c r="I390" s="281"/>
      <c r="J390" s="570"/>
      <c r="K390" s="570"/>
      <c r="L390" s="570">
        <f t="shared" si="906"/>
        <v>748.35</v>
      </c>
      <c r="M390" s="287">
        <f>+L390*$X$1</f>
        <v>748.35</v>
      </c>
      <c r="N390" s="570">
        <f>F390+60</f>
        <v>688.35</v>
      </c>
      <c r="O390" s="287">
        <f>+N390*$X$1</f>
        <v>688.35</v>
      </c>
      <c r="P390" s="570">
        <f>F390+50</f>
        <v>678.35</v>
      </c>
      <c r="Q390" s="287">
        <f>+P390*$X$1</f>
        <v>678.35</v>
      </c>
      <c r="R390" s="570">
        <f>F390+42</f>
        <v>670.35</v>
      </c>
      <c r="S390" s="287">
        <f>+R390*$X$1</f>
        <v>670.35</v>
      </c>
      <c r="T390" s="103">
        <f>F390+34</f>
        <v>662.35</v>
      </c>
      <c r="U390" s="255">
        <f>+T390*$X$1</f>
        <v>662.35</v>
      </c>
      <c r="V390" s="103">
        <f>F390+29</f>
        <v>657.35</v>
      </c>
      <c r="W390" s="255">
        <f>+V390*$X$1</f>
        <v>657.35</v>
      </c>
      <c r="X390" s="174"/>
      <c r="Y390" s="176"/>
      <c r="Z390" s="176"/>
      <c r="AA390" s="174"/>
      <c r="AB390" s="404">
        <v>2275</v>
      </c>
      <c r="AC390" s="65"/>
    </row>
    <row r="391" spans="1:34" ht="12.6" customHeight="1" x14ac:dyDescent="0.2">
      <c r="A391" s="18"/>
      <c r="B391" s="739" t="s">
        <v>618</v>
      </c>
      <c r="C391" s="749"/>
      <c r="D391" s="749"/>
      <c r="E391" s="749"/>
      <c r="F391" s="381">
        <f>0.57*X2</f>
        <v>607.04999999999995</v>
      </c>
      <c r="G391" s="288">
        <f t="shared" ref="G391:G392" si="944">+F391*$X$1</f>
        <v>607.04999999999995</v>
      </c>
      <c r="H391" s="280"/>
      <c r="I391" s="280"/>
      <c r="J391" s="460"/>
      <c r="K391" s="460"/>
      <c r="L391" s="460">
        <f t="shared" ref="L391:L395" si="945">F391+120</f>
        <v>727.05</v>
      </c>
      <c r="M391" s="288">
        <f t="shared" ref="M391:M395" si="946">+L391*$X$1</f>
        <v>727.05</v>
      </c>
      <c r="N391" s="460">
        <f t="shared" ref="N391:N395" si="947">F391+60</f>
        <v>667.05</v>
      </c>
      <c r="O391" s="288">
        <f t="shared" ref="O391:O395" si="948">+N391*$X$1</f>
        <v>667.05</v>
      </c>
      <c r="P391" s="460">
        <f t="shared" ref="P391:P395" si="949">F391+50</f>
        <v>657.05</v>
      </c>
      <c r="Q391" s="288">
        <f t="shared" ref="Q391:Q395" si="950">+P391*$X$1</f>
        <v>657.05</v>
      </c>
      <c r="R391" s="460">
        <f t="shared" ref="R391:R395" si="951">F391+42</f>
        <v>649.04999999999995</v>
      </c>
      <c r="S391" s="288">
        <f t="shared" ref="S391:S395" si="952">+R391*$X$1</f>
        <v>649.04999999999995</v>
      </c>
      <c r="T391" s="102">
        <f t="shared" ref="T391:T395" si="953">F391+34</f>
        <v>641.04999999999995</v>
      </c>
      <c r="U391" s="305">
        <f t="shared" ref="U391:U395" si="954">+T391*$X$1</f>
        <v>641.04999999999995</v>
      </c>
      <c r="V391" s="102">
        <f t="shared" ref="V391:V395" si="955">F391+29</f>
        <v>636.04999999999995</v>
      </c>
      <c r="W391" s="305">
        <f t="shared" ref="W391:W395" si="956">+V391*$X$1</f>
        <v>636.04999999999995</v>
      </c>
      <c r="X391" s="225"/>
      <c r="Y391" s="226"/>
      <c r="Z391" s="226"/>
      <c r="AA391" s="225"/>
      <c r="AB391" s="404">
        <v>2279</v>
      </c>
      <c r="AC391" s="65"/>
    </row>
    <row r="392" spans="1:34" ht="12.6" customHeight="1" x14ac:dyDescent="0.2">
      <c r="A392" s="18"/>
      <c r="B392" s="700" t="s">
        <v>250</v>
      </c>
      <c r="C392" s="780"/>
      <c r="D392" s="780"/>
      <c r="E392" s="780"/>
      <c r="F392" s="380">
        <f>0.484*X2</f>
        <v>515.46</v>
      </c>
      <c r="G392" s="287">
        <f t="shared" si="944"/>
        <v>515.46</v>
      </c>
      <c r="H392" s="281"/>
      <c r="I392" s="281"/>
      <c r="J392" s="570"/>
      <c r="K392" s="570"/>
      <c r="L392" s="570">
        <f t="shared" si="945"/>
        <v>635.46</v>
      </c>
      <c r="M392" s="287">
        <f t="shared" si="946"/>
        <v>635.46</v>
      </c>
      <c r="N392" s="570">
        <f t="shared" si="947"/>
        <v>575.46</v>
      </c>
      <c r="O392" s="287">
        <f t="shared" si="948"/>
        <v>575.46</v>
      </c>
      <c r="P392" s="570">
        <f t="shared" si="949"/>
        <v>565.46</v>
      </c>
      <c r="Q392" s="287">
        <f t="shared" si="950"/>
        <v>565.46</v>
      </c>
      <c r="R392" s="570">
        <f t="shared" si="951"/>
        <v>557.46</v>
      </c>
      <c r="S392" s="287">
        <f t="shared" si="952"/>
        <v>557.46</v>
      </c>
      <c r="T392" s="103">
        <f t="shared" si="953"/>
        <v>549.46</v>
      </c>
      <c r="U392" s="255">
        <f t="shared" si="954"/>
        <v>549.46</v>
      </c>
      <c r="V392" s="103">
        <f t="shared" si="955"/>
        <v>544.46</v>
      </c>
      <c r="W392" s="255">
        <f t="shared" si="956"/>
        <v>544.46</v>
      </c>
      <c r="X392" s="174"/>
      <c r="Y392" s="176"/>
      <c r="Z392" s="176"/>
      <c r="AA392" s="174"/>
      <c r="AB392" s="404">
        <v>2280</v>
      </c>
      <c r="AC392" s="65"/>
    </row>
    <row r="393" spans="1:34" ht="12.6" customHeight="1" x14ac:dyDescent="0.2">
      <c r="A393" s="18"/>
      <c r="B393" s="739" t="s">
        <v>485</v>
      </c>
      <c r="C393" s="749"/>
      <c r="D393" s="749"/>
      <c r="E393" s="749"/>
      <c r="F393" s="381">
        <f>0.41*X2</f>
        <v>436.65</v>
      </c>
      <c r="G393" s="288">
        <f t="shared" ref="G393:G395" si="957">+F393*$X$1</f>
        <v>436.65</v>
      </c>
      <c r="H393" s="280"/>
      <c r="I393" s="280"/>
      <c r="J393" s="460"/>
      <c r="K393" s="460"/>
      <c r="L393" s="460">
        <f t="shared" si="945"/>
        <v>556.65</v>
      </c>
      <c r="M393" s="288">
        <f t="shared" si="946"/>
        <v>556.65</v>
      </c>
      <c r="N393" s="460">
        <f t="shared" si="947"/>
        <v>496.65</v>
      </c>
      <c r="O393" s="288">
        <f t="shared" si="948"/>
        <v>496.65</v>
      </c>
      <c r="P393" s="460">
        <f t="shared" si="949"/>
        <v>486.65</v>
      </c>
      <c r="Q393" s="288">
        <f t="shared" si="950"/>
        <v>486.65</v>
      </c>
      <c r="R393" s="460">
        <f t="shared" si="951"/>
        <v>478.65</v>
      </c>
      <c r="S393" s="288">
        <f t="shared" si="952"/>
        <v>478.65</v>
      </c>
      <c r="T393" s="102">
        <f t="shared" si="953"/>
        <v>470.65</v>
      </c>
      <c r="U393" s="305">
        <f t="shared" si="954"/>
        <v>470.65</v>
      </c>
      <c r="V393" s="102">
        <f t="shared" si="955"/>
        <v>465.65</v>
      </c>
      <c r="W393" s="305">
        <f t="shared" si="956"/>
        <v>465.65</v>
      </c>
      <c r="X393" s="174"/>
      <c r="Y393" s="176"/>
      <c r="Z393" s="176"/>
      <c r="AA393" s="174"/>
      <c r="AB393" s="404">
        <v>2281</v>
      </c>
      <c r="AC393" s="65"/>
    </row>
    <row r="394" spans="1:34" ht="12.6" customHeight="1" x14ac:dyDescent="0.2">
      <c r="A394" s="18"/>
      <c r="B394" s="683" t="s">
        <v>883</v>
      </c>
      <c r="C394" s="715"/>
      <c r="D394" s="715"/>
      <c r="E394" s="716"/>
      <c r="F394" s="385">
        <f>0.61*X2</f>
        <v>649.65</v>
      </c>
      <c r="G394" s="287">
        <f t="shared" ref="G394" si="958">+F394*$X$1</f>
        <v>649.65</v>
      </c>
      <c r="H394" s="281"/>
      <c r="I394" s="343"/>
      <c r="J394" s="570"/>
      <c r="K394" s="287"/>
      <c r="L394" s="570">
        <f t="shared" si="945"/>
        <v>769.65</v>
      </c>
      <c r="M394" s="287">
        <f t="shared" si="946"/>
        <v>769.65</v>
      </c>
      <c r="N394" s="570">
        <f t="shared" si="947"/>
        <v>709.65</v>
      </c>
      <c r="O394" s="287">
        <f t="shared" si="948"/>
        <v>709.65</v>
      </c>
      <c r="P394" s="570">
        <f t="shared" si="949"/>
        <v>699.65</v>
      </c>
      <c r="Q394" s="287">
        <f t="shared" si="950"/>
        <v>699.65</v>
      </c>
      <c r="R394" s="570">
        <f t="shared" si="951"/>
        <v>691.65</v>
      </c>
      <c r="S394" s="287">
        <f t="shared" si="952"/>
        <v>691.65</v>
      </c>
      <c r="T394" s="103">
        <f t="shared" si="953"/>
        <v>683.65</v>
      </c>
      <c r="U394" s="255">
        <f t="shared" si="954"/>
        <v>683.65</v>
      </c>
      <c r="V394" s="103">
        <f t="shared" si="955"/>
        <v>678.65</v>
      </c>
      <c r="W394" s="255">
        <f t="shared" si="956"/>
        <v>678.65</v>
      </c>
      <c r="X394" s="131"/>
      <c r="Y394" s="131"/>
      <c r="Z394" s="131"/>
      <c r="AA394" s="131"/>
      <c r="AB394" s="404">
        <v>2282</v>
      </c>
    </row>
    <row r="395" spans="1:34" ht="12.6" customHeight="1" x14ac:dyDescent="0.2">
      <c r="A395" s="18"/>
      <c r="B395" s="680" t="s">
        <v>882</v>
      </c>
      <c r="C395" s="681"/>
      <c r="D395" s="681"/>
      <c r="E395" s="682"/>
      <c r="F395" s="384">
        <f>0.57*X2</f>
        <v>607.04999999999995</v>
      </c>
      <c r="G395" s="288">
        <f t="shared" si="957"/>
        <v>607.04999999999995</v>
      </c>
      <c r="H395" s="280"/>
      <c r="I395" s="344"/>
      <c r="J395" s="460"/>
      <c r="K395" s="288"/>
      <c r="L395" s="460">
        <f t="shared" si="945"/>
        <v>727.05</v>
      </c>
      <c r="M395" s="288">
        <f t="shared" si="946"/>
        <v>727.05</v>
      </c>
      <c r="N395" s="460">
        <f t="shared" si="947"/>
        <v>667.05</v>
      </c>
      <c r="O395" s="288">
        <f t="shared" si="948"/>
        <v>667.05</v>
      </c>
      <c r="P395" s="460">
        <f t="shared" si="949"/>
        <v>657.05</v>
      </c>
      <c r="Q395" s="288">
        <f t="shared" si="950"/>
        <v>657.05</v>
      </c>
      <c r="R395" s="460">
        <f t="shared" si="951"/>
        <v>649.04999999999995</v>
      </c>
      <c r="S395" s="288">
        <f t="shared" si="952"/>
        <v>649.04999999999995</v>
      </c>
      <c r="T395" s="102">
        <f t="shared" si="953"/>
        <v>641.04999999999995</v>
      </c>
      <c r="U395" s="305">
        <f t="shared" si="954"/>
        <v>641.04999999999995</v>
      </c>
      <c r="V395" s="102">
        <f t="shared" si="955"/>
        <v>636.04999999999995</v>
      </c>
      <c r="W395" s="305">
        <f t="shared" si="956"/>
        <v>636.04999999999995</v>
      </c>
      <c r="X395" s="131"/>
      <c r="Y395" s="131"/>
      <c r="Z395" s="131"/>
      <c r="AA395" s="131"/>
      <c r="AB395" s="404">
        <v>2283</v>
      </c>
    </row>
    <row r="396" spans="1:34" s="4" customFormat="1" ht="12.6" customHeight="1" x14ac:dyDescent="0.2">
      <c r="A396" s="19"/>
      <c r="B396" s="16"/>
      <c r="C396" s="12"/>
      <c r="D396" s="12"/>
      <c r="E396" s="12"/>
      <c r="F396" s="58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8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8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726" t="s">
        <v>11</v>
      </c>
      <c r="C399" s="732" t="s">
        <v>12</v>
      </c>
      <c r="D399" s="733"/>
      <c r="E399" s="733"/>
      <c r="F399" s="709" t="s">
        <v>13</v>
      </c>
      <c r="G399" s="709" t="s">
        <v>13</v>
      </c>
      <c r="H399" s="730" t="s">
        <v>815</v>
      </c>
      <c r="I399" s="730"/>
      <c r="J399" s="731"/>
      <c r="K399" s="731"/>
      <c r="L399" s="731"/>
      <c r="M399" s="731"/>
      <c r="N399" s="731"/>
      <c r="O399" s="731"/>
      <c r="P399" s="731"/>
      <c r="Q399" s="731"/>
      <c r="R399" s="731"/>
      <c r="S399" s="731"/>
      <c r="T399" s="731"/>
      <c r="U399" s="731"/>
      <c r="V399" s="731"/>
      <c r="W399" s="731"/>
      <c r="X399" s="753" t="s">
        <v>14</v>
      </c>
      <c r="Y399" s="754"/>
      <c r="Z399" s="754"/>
      <c r="AA399" s="755"/>
      <c r="AB399" s="791" t="s">
        <v>15</v>
      </c>
      <c r="AE399" s="64"/>
      <c r="AF399" s="789" t="s">
        <v>3</v>
      </c>
      <c r="AG399" s="790"/>
      <c r="AH399" s="790"/>
    </row>
    <row r="400" spans="1:34" ht="12" customHeight="1" x14ac:dyDescent="0.2">
      <c r="A400" s="18"/>
      <c r="B400" s="726"/>
      <c r="C400" s="733"/>
      <c r="D400" s="733"/>
      <c r="E400" s="733"/>
      <c r="F400" s="710"/>
      <c r="G400" s="710"/>
      <c r="H400" s="482"/>
      <c r="I400" s="474" t="s">
        <v>289</v>
      </c>
      <c r="J400" s="476"/>
      <c r="K400" s="474" t="s">
        <v>17</v>
      </c>
      <c r="L400" s="477"/>
      <c r="M400" s="477" t="s">
        <v>18</v>
      </c>
      <c r="N400" s="477"/>
      <c r="O400" s="474" t="s">
        <v>19</v>
      </c>
      <c r="P400" s="477"/>
      <c r="Q400" s="477" t="s">
        <v>291</v>
      </c>
      <c r="R400" s="477"/>
      <c r="S400" s="477" t="s">
        <v>20</v>
      </c>
      <c r="T400" s="477"/>
      <c r="U400" s="477" t="s">
        <v>21</v>
      </c>
      <c r="V400" s="477"/>
      <c r="W400" s="477" t="s">
        <v>22</v>
      </c>
      <c r="X400" s="756"/>
      <c r="Y400" s="757"/>
      <c r="Z400" s="757"/>
      <c r="AA400" s="758"/>
      <c r="AB400" s="792"/>
    </row>
    <row r="401" spans="1:29" ht="12.6" customHeight="1" x14ac:dyDescent="0.2">
      <c r="A401" s="18"/>
      <c r="B401" s="700" t="s">
        <v>338</v>
      </c>
      <c r="C401" s="780"/>
      <c r="D401" s="780"/>
      <c r="E401" s="780"/>
      <c r="F401" s="380">
        <f>0.64*X2</f>
        <v>681.6</v>
      </c>
      <c r="G401" s="287">
        <f>+F401*$X$1</f>
        <v>681.6</v>
      </c>
      <c r="H401" s="281"/>
      <c r="I401" s="281"/>
      <c r="J401" s="570"/>
      <c r="K401" s="570"/>
      <c r="L401" s="570">
        <f t="shared" ref="L401:L407" si="959">F401+120</f>
        <v>801.6</v>
      </c>
      <c r="M401" s="287">
        <f t="shared" ref="M401:M406" si="960">+L401*$X$1</f>
        <v>801.6</v>
      </c>
      <c r="N401" s="570">
        <f t="shared" ref="N401:N406" si="961">F401+60</f>
        <v>741.6</v>
      </c>
      <c r="O401" s="287">
        <f t="shared" ref="O401:O406" si="962">+N401*$X$1</f>
        <v>741.6</v>
      </c>
      <c r="P401" s="570">
        <f t="shared" ref="P401:P406" si="963">F401+50</f>
        <v>731.6</v>
      </c>
      <c r="Q401" s="287">
        <f t="shared" ref="Q401:Q406" si="964">+P401*$X$1</f>
        <v>731.6</v>
      </c>
      <c r="R401" s="570">
        <f t="shared" ref="R401:R406" si="965">F401+42</f>
        <v>723.6</v>
      </c>
      <c r="S401" s="287">
        <f t="shared" ref="S401:S406" si="966">+R401*$X$1</f>
        <v>723.6</v>
      </c>
      <c r="T401" s="103">
        <f t="shared" ref="T401:T407" si="967">F401+34</f>
        <v>715.6</v>
      </c>
      <c r="U401" s="255">
        <f t="shared" ref="U401:U407" si="968">+T401*$X$1</f>
        <v>715.6</v>
      </c>
      <c r="V401" s="103">
        <f t="shared" ref="V401:V407" si="969">F401+29</f>
        <v>710.6</v>
      </c>
      <c r="W401" s="255">
        <f t="shared" ref="W401:W407" si="970">+V401*$X$1</f>
        <v>710.6</v>
      </c>
      <c r="X401" s="187"/>
      <c r="Y401" s="186"/>
      <c r="Z401" s="186"/>
      <c r="AA401" s="187"/>
      <c r="AB401" s="404">
        <v>2285</v>
      </c>
      <c r="AC401" s="65"/>
    </row>
    <row r="402" spans="1:29" ht="12.6" customHeight="1" x14ac:dyDescent="0.2">
      <c r="A402" s="18"/>
      <c r="B402" s="739" t="s">
        <v>339</v>
      </c>
      <c r="C402" s="749"/>
      <c r="D402" s="749"/>
      <c r="E402" s="749"/>
      <c r="F402" s="381">
        <f>0.356*X2</f>
        <v>379.14</v>
      </c>
      <c r="G402" s="288">
        <f>+F402*$X$1</f>
        <v>379.14</v>
      </c>
      <c r="H402" s="280"/>
      <c r="I402" s="280"/>
      <c r="J402" s="460"/>
      <c r="K402" s="460"/>
      <c r="L402" s="460">
        <f t="shared" si="959"/>
        <v>499.14</v>
      </c>
      <c r="M402" s="288">
        <f t="shared" si="960"/>
        <v>499.14</v>
      </c>
      <c r="N402" s="460">
        <f t="shared" si="961"/>
        <v>439.14</v>
      </c>
      <c r="O402" s="288">
        <f t="shared" si="962"/>
        <v>439.14</v>
      </c>
      <c r="P402" s="460">
        <f t="shared" si="963"/>
        <v>429.14</v>
      </c>
      <c r="Q402" s="288">
        <f t="shared" si="964"/>
        <v>429.14</v>
      </c>
      <c r="R402" s="460">
        <f t="shared" si="965"/>
        <v>421.14</v>
      </c>
      <c r="S402" s="288">
        <f t="shared" si="966"/>
        <v>421.14</v>
      </c>
      <c r="T402" s="102">
        <f t="shared" si="967"/>
        <v>413.14</v>
      </c>
      <c r="U402" s="305">
        <f t="shared" si="968"/>
        <v>413.14</v>
      </c>
      <c r="V402" s="102">
        <f t="shared" si="969"/>
        <v>408.14</v>
      </c>
      <c r="W402" s="305">
        <f t="shared" si="970"/>
        <v>408.14</v>
      </c>
      <c r="X402" s="188"/>
      <c r="Y402" s="189"/>
      <c r="Z402" s="189"/>
      <c r="AA402" s="188"/>
      <c r="AB402" s="404">
        <v>2286</v>
      </c>
      <c r="AC402" s="65"/>
    </row>
    <row r="403" spans="1:29" ht="12.6" customHeight="1" x14ac:dyDescent="0.2">
      <c r="A403" s="18"/>
      <c r="B403" s="1220" t="s">
        <v>376</v>
      </c>
      <c r="C403" s="1221"/>
      <c r="D403" s="1221"/>
      <c r="E403" s="1221"/>
      <c r="F403" s="385">
        <f>0.51*X2</f>
        <v>543.15</v>
      </c>
      <c r="G403" s="306">
        <f t="shared" ref="G403:G405" si="971">+F403*$X$1</f>
        <v>543.15</v>
      </c>
      <c r="H403" s="483"/>
      <c r="I403" s="483"/>
      <c r="J403" s="103"/>
      <c r="K403" s="103"/>
      <c r="L403" s="570">
        <f t="shared" si="959"/>
        <v>663.15</v>
      </c>
      <c r="M403" s="287">
        <f t="shared" si="960"/>
        <v>663.15</v>
      </c>
      <c r="N403" s="570">
        <f t="shared" si="961"/>
        <v>603.15</v>
      </c>
      <c r="O403" s="287">
        <f t="shared" si="962"/>
        <v>603.15</v>
      </c>
      <c r="P403" s="570">
        <f t="shared" si="963"/>
        <v>593.15</v>
      </c>
      <c r="Q403" s="287">
        <f t="shared" si="964"/>
        <v>593.15</v>
      </c>
      <c r="R403" s="570">
        <f t="shared" si="965"/>
        <v>585.15</v>
      </c>
      <c r="S403" s="287">
        <f t="shared" si="966"/>
        <v>585.15</v>
      </c>
      <c r="T403" s="103">
        <f t="shared" si="967"/>
        <v>577.15</v>
      </c>
      <c r="U403" s="255">
        <f t="shared" si="968"/>
        <v>577.15</v>
      </c>
      <c r="V403" s="103">
        <f t="shared" si="969"/>
        <v>572.15</v>
      </c>
      <c r="W403" s="255">
        <f t="shared" si="970"/>
        <v>572.15</v>
      </c>
      <c r="X403" s="220"/>
      <c r="Y403" s="219"/>
      <c r="Z403" s="219"/>
      <c r="AA403" s="220"/>
      <c r="AB403" s="404">
        <v>2287</v>
      </c>
      <c r="AC403" s="65"/>
    </row>
    <row r="404" spans="1:29" ht="12.6" customHeight="1" x14ac:dyDescent="0.2">
      <c r="A404" s="18"/>
      <c r="B404" s="762" t="s">
        <v>386</v>
      </c>
      <c r="C404" s="763"/>
      <c r="D404" s="763"/>
      <c r="E404" s="764"/>
      <c r="F404" s="381">
        <f>1.01*X2</f>
        <v>1075.6500000000001</v>
      </c>
      <c r="G404" s="288">
        <f t="shared" si="971"/>
        <v>1075.6500000000001</v>
      </c>
      <c r="H404" s="280"/>
      <c r="I404" s="280"/>
      <c r="J404" s="460"/>
      <c r="K404" s="460"/>
      <c r="L404" s="460">
        <f t="shared" si="959"/>
        <v>1195.6500000000001</v>
      </c>
      <c r="M404" s="288">
        <f t="shared" si="960"/>
        <v>1195.6500000000001</v>
      </c>
      <c r="N404" s="460">
        <f t="shared" si="961"/>
        <v>1135.6500000000001</v>
      </c>
      <c r="O404" s="288">
        <f t="shared" si="962"/>
        <v>1135.6500000000001</v>
      </c>
      <c r="P404" s="460">
        <f t="shared" si="963"/>
        <v>1125.6500000000001</v>
      </c>
      <c r="Q404" s="288">
        <f t="shared" si="964"/>
        <v>1125.6500000000001</v>
      </c>
      <c r="R404" s="460">
        <f t="shared" si="965"/>
        <v>1117.6500000000001</v>
      </c>
      <c r="S404" s="288">
        <f t="shared" si="966"/>
        <v>1117.6500000000001</v>
      </c>
      <c r="T404" s="102">
        <f t="shared" si="967"/>
        <v>1109.6500000000001</v>
      </c>
      <c r="U404" s="305">
        <f t="shared" si="968"/>
        <v>1109.6500000000001</v>
      </c>
      <c r="V404" s="102">
        <f t="shared" si="969"/>
        <v>1104.6500000000001</v>
      </c>
      <c r="W404" s="305">
        <f t="shared" si="970"/>
        <v>1104.6500000000001</v>
      </c>
      <c r="X404" s="221"/>
      <c r="Y404" s="222"/>
      <c r="Z404" s="222"/>
      <c r="AA404" s="221"/>
      <c r="AB404" s="404">
        <v>2289</v>
      </c>
      <c r="AC404" s="65"/>
    </row>
    <row r="405" spans="1:29" ht="12.6" customHeight="1" x14ac:dyDescent="0.2">
      <c r="A405" s="18"/>
      <c r="B405" s="723" t="s">
        <v>696</v>
      </c>
      <c r="C405" s="900"/>
      <c r="D405" s="900"/>
      <c r="E405" s="901"/>
      <c r="F405" s="385">
        <f>0.73*X2</f>
        <v>777.44999999999993</v>
      </c>
      <c r="G405" s="287">
        <f t="shared" si="971"/>
        <v>777.44999999999993</v>
      </c>
      <c r="H405" s="281"/>
      <c r="I405" s="281"/>
      <c r="J405" s="570"/>
      <c r="K405" s="570"/>
      <c r="L405" s="570">
        <f t="shared" si="959"/>
        <v>897.44999999999993</v>
      </c>
      <c r="M405" s="287">
        <f t="shared" si="960"/>
        <v>897.44999999999993</v>
      </c>
      <c r="N405" s="570">
        <f t="shared" si="961"/>
        <v>837.44999999999993</v>
      </c>
      <c r="O405" s="287">
        <f t="shared" si="962"/>
        <v>837.44999999999993</v>
      </c>
      <c r="P405" s="570">
        <f t="shared" si="963"/>
        <v>827.44999999999993</v>
      </c>
      <c r="Q405" s="287">
        <f t="shared" si="964"/>
        <v>827.44999999999993</v>
      </c>
      <c r="R405" s="570">
        <f t="shared" si="965"/>
        <v>819.44999999999993</v>
      </c>
      <c r="S405" s="287">
        <f t="shared" si="966"/>
        <v>819.44999999999993</v>
      </c>
      <c r="T405" s="103">
        <f t="shared" si="967"/>
        <v>811.44999999999993</v>
      </c>
      <c r="U405" s="255">
        <f t="shared" si="968"/>
        <v>811.44999999999993</v>
      </c>
      <c r="V405" s="103">
        <f t="shared" si="969"/>
        <v>806.44999999999993</v>
      </c>
      <c r="W405" s="255">
        <f t="shared" si="970"/>
        <v>806.44999999999993</v>
      </c>
      <c r="X405" s="441"/>
      <c r="Y405" s="442"/>
      <c r="Z405" s="442"/>
      <c r="AA405" s="441"/>
      <c r="AB405" s="404">
        <v>2290</v>
      </c>
      <c r="AC405" s="65"/>
    </row>
    <row r="406" spans="1:29" ht="12.6" customHeight="1" x14ac:dyDescent="0.2">
      <c r="A406" s="18"/>
      <c r="B406" s="727" t="s">
        <v>484</v>
      </c>
      <c r="C406" s="728"/>
      <c r="D406" s="728"/>
      <c r="E406" s="729"/>
      <c r="F406" s="384">
        <f>0.54*X2</f>
        <v>575.1</v>
      </c>
      <c r="G406" s="288">
        <f t="shared" ref="G406" si="972">+F406*$X$1</f>
        <v>575.1</v>
      </c>
      <c r="H406" s="280"/>
      <c r="I406" s="280"/>
      <c r="J406" s="460"/>
      <c r="K406" s="460"/>
      <c r="L406" s="460">
        <f t="shared" si="959"/>
        <v>695.1</v>
      </c>
      <c r="M406" s="288">
        <f t="shared" si="960"/>
        <v>695.1</v>
      </c>
      <c r="N406" s="460">
        <f t="shared" si="961"/>
        <v>635.1</v>
      </c>
      <c r="O406" s="288">
        <f t="shared" si="962"/>
        <v>635.1</v>
      </c>
      <c r="P406" s="460">
        <f t="shared" si="963"/>
        <v>625.1</v>
      </c>
      <c r="Q406" s="288">
        <f t="shared" si="964"/>
        <v>625.1</v>
      </c>
      <c r="R406" s="460">
        <f t="shared" si="965"/>
        <v>617.1</v>
      </c>
      <c r="S406" s="288">
        <f t="shared" si="966"/>
        <v>617.1</v>
      </c>
      <c r="T406" s="102">
        <f t="shared" si="967"/>
        <v>609.1</v>
      </c>
      <c r="U406" s="305">
        <f t="shared" si="968"/>
        <v>609.1</v>
      </c>
      <c r="V406" s="102">
        <f t="shared" si="969"/>
        <v>604.1</v>
      </c>
      <c r="W406" s="305">
        <f t="shared" si="970"/>
        <v>604.1</v>
      </c>
      <c r="X406" s="248"/>
      <c r="Y406" s="252"/>
      <c r="Z406" s="252"/>
      <c r="AA406" s="248"/>
      <c r="AB406" s="404">
        <v>2291</v>
      </c>
      <c r="AC406" s="65"/>
    </row>
    <row r="407" spans="1:29" ht="12.6" customHeight="1" x14ac:dyDescent="0.2">
      <c r="A407" s="18"/>
      <c r="B407" s="723" t="s">
        <v>619</v>
      </c>
      <c r="C407" s="900"/>
      <c r="D407" s="900"/>
      <c r="E407" s="901"/>
      <c r="F407" s="385">
        <f>0.36*X2</f>
        <v>383.4</v>
      </c>
      <c r="G407" s="287">
        <f t="shared" ref="G407" si="973">+F407*$X$1</f>
        <v>383.4</v>
      </c>
      <c r="H407" s="281"/>
      <c r="I407" s="281"/>
      <c r="J407" s="570"/>
      <c r="K407" s="570"/>
      <c r="L407" s="570">
        <f t="shared" si="959"/>
        <v>503.4</v>
      </c>
      <c r="M407" s="287">
        <f t="shared" ref="M407:M412" si="974">+L407*$X$1</f>
        <v>503.4</v>
      </c>
      <c r="N407" s="570">
        <f t="shared" ref="N407:N412" si="975">F407+60</f>
        <v>443.4</v>
      </c>
      <c r="O407" s="287">
        <f t="shared" ref="O407:O412" si="976">+N407*$X$1</f>
        <v>443.4</v>
      </c>
      <c r="P407" s="570">
        <f t="shared" ref="P407:P412" si="977">F407+50</f>
        <v>433.4</v>
      </c>
      <c r="Q407" s="287">
        <f t="shared" ref="Q407:Q412" si="978">+P407*$X$1</f>
        <v>433.4</v>
      </c>
      <c r="R407" s="570">
        <f t="shared" ref="R407:R412" si="979">F407+42</f>
        <v>425.4</v>
      </c>
      <c r="S407" s="287">
        <f t="shared" ref="S407:S412" si="980">+R407*$X$1</f>
        <v>425.4</v>
      </c>
      <c r="T407" s="103">
        <f t="shared" si="967"/>
        <v>417.4</v>
      </c>
      <c r="U407" s="255">
        <f t="shared" si="968"/>
        <v>417.4</v>
      </c>
      <c r="V407" s="103">
        <f t="shared" si="969"/>
        <v>412.4</v>
      </c>
      <c r="W407" s="255">
        <f t="shared" si="970"/>
        <v>412.4</v>
      </c>
      <c r="X407" s="253"/>
      <c r="Y407" s="254"/>
      <c r="Z407" s="254"/>
      <c r="AA407" s="253"/>
      <c r="AB407" s="404">
        <v>2292</v>
      </c>
      <c r="AC407" s="65"/>
    </row>
    <row r="408" spans="1:29" ht="12.6" customHeight="1" x14ac:dyDescent="0.2">
      <c r="A408" s="18"/>
      <c r="B408" s="727" t="s">
        <v>502</v>
      </c>
      <c r="C408" s="728"/>
      <c r="D408" s="728"/>
      <c r="E408" s="729"/>
      <c r="F408" s="384">
        <f>0.89*X2</f>
        <v>947.85</v>
      </c>
      <c r="G408" s="288">
        <f t="shared" ref="G408" si="981">+F408*$X$1</f>
        <v>947.85</v>
      </c>
      <c r="H408" s="280"/>
      <c r="I408" s="280"/>
      <c r="J408" s="460"/>
      <c r="K408" s="460"/>
      <c r="L408" s="460">
        <f t="shared" ref="L408:L414" si="982">F408+120</f>
        <v>1067.8499999999999</v>
      </c>
      <c r="M408" s="288">
        <f t="shared" si="974"/>
        <v>1067.8499999999999</v>
      </c>
      <c r="N408" s="460">
        <f t="shared" si="975"/>
        <v>1007.85</v>
      </c>
      <c r="O408" s="288">
        <f t="shared" si="976"/>
        <v>1007.85</v>
      </c>
      <c r="P408" s="460">
        <f t="shared" si="977"/>
        <v>997.85</v>
      </c>
      <c r="Q408" s="288">
        <f t="shared" si="978"/>
        <v>997.85</v>
      </c>
      <c r="R408" s="460">
        <f t="shared" si="979"/>
        <v>989.85</v>
      </c>
      <c r="S408" s="288">
        <f t="shared" si="980"/>
        <v>989.85</v>
      </c>
      <c r="T408" s="102"/>
      <c r="U408" s="305"/>
      <c r="V408" s="102"/>
      <c r="W408" s="305"/>
      <c r="X408" s="256"/>
      <c r="Y408" s="257"/>
      <c r="Z408" s="257"/>
      <c r="AA408" s="256"/>
      <c r="AB408" s="404">
        <v>2293</v>
      </c>
      <c r="AC408" s="65"/>
    </row>
    <row r="409" spans="1:29" ht="12.6" customHeight="1" x14ac:dyDescent="0.2">
      <c r="A409" s="18"/>
      <c r="B409" s="723" t="s">
        <v>560</v>
      </c>
      <c r="C409" s="900"/>
      <c r="D409" s="900"/>
      <c r="E409" s="901"/>
      <c r="F409" s="518">
        <v>380</v>
      </c>
      <c r="G409" s="287">
        <f t="shared" ref="G409" si="983">+F409*$X$1</f>
        <v>380</v>
      </c>
      <c r="H409" s="281"/>
      <c r="I409" s="281"/>
      <c r="J409" s="570"/>
      <c r="K409" s="570"/>
      <c r="L409" s="570">
        <f t="shared" si="982"/>
        <v>500</v>
      </c>
      <c r="M409" s="287">
        <f t="shared" si="974"/>
        <v>500</v>
      </c>
      <c r="N409" s="570">
        <f t="shared" si="975"/>
        <v>440</v>
      </c>
      <c r="O409" s="287">
        <f t="shared" si="976"/>
        <v>440</v>
      </c>
      <c r="P409" s="570">
        <f t="shared" si="977"/>
        <v>430</v>
      </c>
      <c r="Q409" s="287">
        <f t="shared" si="978"/>
        <v>430</v>
      </c>
      <c r="R409" s="570">
        <f t="shared" si="979"/>
        <v>422</v>
      </c>
      <c r="S409" s="287">
        <f t="shared" si="980"/>
        <v>422</v>
      </c>
      <c r="T409" s="103">
        <f>F409+34</f>
        <v>414</v>
      </c>
      <c r="U409" s="255">
        <f>+T409*$X$1</f>
        <v>414</v>
      </c>
      <c r="V409" s="103">
        <f>F409+29</f>
        <v>409</v>
      </c>
      <c r="W409" s="255">
        <f>+V409*$X$1</f>
        <v>409</v>
      </c>
      <c r="X409" s="327"/>
      <c r="Y409" s="328"/>
      <c r="Z409" s="328"/>
      <c r="AA409" s="327"/>
      <c r="AB409" s="404">
        <v>2294</v>
      </c>
      <c r="AC409" s="65"/>
    </row>
    <row r="410" spans="1:29" ht="12.6" customHeight="1" x14ac:dyDescent="0.2">
      <c r="A410" s="18"/>
      <c r="B410" s="727" t="s">
        <v>441</v>
      </c>
      <c r="C410" s="728"/>
      <c r="D410" s="728"/>
      <c r="E410" s="729"/>
      <c r="F410" s="384">
        <f>0.7*X2</f>
        <v>745.5</v>
      </c>
      <c r="G410" s="288">
        <f t="shared" ref="G410" si="984">+F410*$X$1</f>
        <v>745.5</v>
      </c>
      <c r="H410" s="280"/>
      <c r="I410" s="280"/>
      <c r="J410" s="460"/>
      <c r="K410" s="460"/>
      <c r="L410" s="460">
        <f t="shared" si="982"/>
        <v>865.5</v>
      </c>
      <c r="M410" s="288">
        <f t="shared" si="974"/>
        <v>865.5</v>
      </c>
      <c r="N410" s="460">
        <f t="shared" si="975"/>
        <v>805.5</v>
      </c>
      <c r="O410" s="288">
        <f t="shared" si="976"/>
        <v>805.5</v>
      </c>
      <c r="P410" s="460">
        <f t="shared" si="977"/>
        <v>795.5</v>
      </c>
      <c r="Q410" s="288">
        <f t="shared" si="978"/>
        <v>795.5</v>
      </c>
      <c r="R410" s="460">
        <f t="shared" si="979"/>
        <v>787.5</v>
      </c>
      <c r="S410" s="288">
        <f t="shared" si="980"/>
        <v>787.5</v>
      </c>
      <c r="T410" s="102">
        <f>F410+34</f>
        <v>779.5</v>
      </c>
      <c r="U410" s="305">
        <f>+T410*$X$1</f>
        <v>779.5</v>
      </c>
      <c r="V410" s="102">
        <f>F410+29</f>
        <v>774.5</v>
      </c>
      <c r="W410" s="305">
        <f>+V410*$X$1</f>
        <v>774.5</v>
      </c>
      <c r="X410" s="223"/>
      <c r="Y410" s="224"/>
      <c r="Z410" s="224"/>
      <c r="AA410" s="223"/>
      <c r="AB410" s="404">
        <v>2295</v>
      </c>
      <c r="AC410" s="65"/>
    </row>
    <row r="411" spans="1:29" ht="12.6" customHeight="1" x14ac:dyDescent="0.2">
      <c r="A411" s="18"/>
      <c r="B411" s="750" t="s">
        <v>388</v>
      </c>
      <c r="C411" s="751"/>
      <c r="D411" s="751"/>
      <c r="E411" s="752"/>
      <c r="F411" s="561">
        <f>0.46*X2</f>
        <v>489.90000000000003</v>
      </c>
      <c r="G411" s="546">
        <f t="shared" ref="G411" si="985">+F411*$X$1</f>
        <v>489.90000000000003</v>
      </c>
      <c r="H411" s="547"/>
      <c r="I411" s="547"/>
      <c r="J411" s="569"/>
      <c r="K411" s="569"/>
      <c r="L411" s="569">
        <f t="shared" si="982"/>
        <v>609.90000000000009</v>
      </c>
      <c r="M411" s="546">
        <f t="shared" si="974"/>
        <v>609.90000000000009</v>
      </c>
      <c r="N411" s="569">
        <f t="shared" si="975"/>
        <v>549.90000000000009</v>
      </c>
      <c r="O411" s="546">
        <f t="shared" si="976"/>
        <v>549.90000000000009</v>
      </c>
      <c r="P411" s="569">
        <f t="shared" si="977"/>
        <v>539.90000000000009</v>
      </c>
      <c r="Q411" s="546">
        <f t="shared" si="978"/>
        <v>539.90000000000009</v>
      </c>
      <c r="R411" s="569">
        <f t="shared" si="979"/>
        <v>531.90000000000009</v>
      </c>
      <c r="S411" s="546">
        <f t="shared" si="980"/>
        <v>531.90000000000009</v>
      </c>
      <c r="T411" s="558">
        <f>F411+34</f>
        <v>523.90000000000009</v>
      </c>
      <c r="U411" s="557">
        <f>+T411*$X$1</f>
        <v>523.90000000000009</v>
      </c>
      <c r="V411" s="558">
        <f>F411+29</f>
        <v>518.90000000000009</v>
      </c>
      <c r="W411" s="557">
        <f>+V411*$X$1</f>
        <v>518.90000000000009</v>
      </c>
      <c r="X411" s="223"/>
      <c r="Y411" s="224"/>
      <c r="Z411" s="224"/>
      <c r="AA411" s="223"/>
      <c r="AB411" s="404">
        <v>2296</v>
      </c>
      <c r="AC411" s="65"/>
    </row>
    <row r="412" spans="1:29" ht="12.6" customHeight="1" x14ac:dyDescent="0.2">
      <c r="A412" s="18"/>
      <c r="B412" s="727" t="s">
        <v>542</v>
      </c>
      <c r="C412" s="728"/>
      <c r="D412" s="728"/>
      <c r="E412" s="729"/>
      <c r="F412" s="384">
        <f>0.566*X2</f>
        <v>602.79</v>
      </c>
      <c r="G412" s="288">
        <f t="shared" ref="G412" si="986">+F412*$X$1</f>
        <v>602.79</v>
      </c>
      <c r="H412" s="280"/>
      <c r="I412" s="280"/>
      <c r="J412" s="460"/>
      <c r="K412" s="288"/>
      <c r="L412" s="460">
        <f t="shared" si="982"/>
        <v>722.79</v>
      </c>
      <c r="M412" s="288">
        <f t="shared" si="974"/>
        <v>722.79</v>
      </c>
      <c r="N412" s="460">
        <f t="shared" si="975"/>
        <v>662.79</v>
      </c>
      <c r="O412" s="288">
        <f t="shared" si="976"/>
        <v>662.79</v>
      </c>
      <c r="P412" s="460">
        <f t="shared" si="977"/>
        <v>652.79</v>
      </c>
      <c r="Q412" s="288">
        <f t="shared" si="978"/>
        <v>652.79</v>
      </c>
      <c r="R412" s="460">
        <f t="shared" si="979"/>
        <v>644.79</v>
      </c>
      <c r="S412" s="288">
        <f t="shared" si="980"/>
        <v>644.79</v>
      </c>
      <c r="T412" s="102">
        <f>F412+34</f>
        <v>636.79</v>
      </c>
      <c r="U412" s="305">
        <f>+T412*$X$1</f>
        <v>636.79</v>
      </c>
      <c r="V412" s="102">
        <f>F412+29</f>
        <v>631.79</v>
      </c>
      <c r="W412" s="305">
        <f>+V412*$X$1</f>
        <v>631.79</v>
      </c>
      <c r="X412" s="313"/>
      <c r="Y412" s="314"/>
      <c r="Z412" s="314"/>
      <c r="AA412" s="313"/>
      <c r="AB412" s="404">
        <v>2299</v>
      </c>
      <c r="AC412" s="65"/>
    </row>
    <row r="413" spans="1:29" ht="12.6" customHeight="1" x14ac:dyDescent="0.2">
      <c r="A413" s="18"/>
      <c r="B413" s="683" t="s">
        <v>892</v>
      </c>
      <c r="C413" s="684"/>
      <c r="D413" s="684"/>
      <c r="E413" s="685"/>
      <c r="F413" s="380">
        <f>1.863*X2</f>
        <v>1984.095</v>
      </c>
      <c r="G413" s="287">
        <f>+F413*$X$1</f>
        <v>1984.095</v>
      </c>
      <c r="H413" s="393">
        <f>F413+400</f>
        <v>2384.0950000000003</v>
      </c>
      <c r="I413" s="287">
        <f t="shared" ref="I413" si="987">+H413*$X$1</f>
        <v>2384.0950000000003</v>
      </c>
      <c r="J413" s="570">
        <f t="shared" ref="J413" si="988">F413+180</f>
        <v>2164.0950000000003</v>
      </c>
      <c r="K413" s="287">
        <f t="shared" ref="K413" si="989">+J413*$X$1</f>
        <v>2164.0950000000003</v>
      </c>
      <c r="L413" s="570">
        <f t="shared" si="982"/>
        <v>2104.0950000000003</v>
      </c>
      <c r="M413" s="287">
        <f t="shared" ref="M413" si="990">+L413*$X$1</f>
        <v>2104.0950000000003</v>
      </c>
      <c r="N413" s="570">
        <f t="shared" ref="N413" si="991">F413+61</f>
        <v>2045.095</v>
      </c>
      <c r="O413" s="287">
        <f t="shared" ref="O413" si="992">+N413*$X$1</f>
        <v>2045.095</v>
      </c>
      <c r="P413" s="570">
        <f t="shared" ref="P413" si="993">F413+54</f>
        <v>2038.095</v>
      </c>
      <c r="Q413" s="287">
        <f t="shared" ref="Q413" si="994">+P413*$X$1</f>
        <v>2038.095</v>
      </c>
      <c r="R413" s="570">
        <f t="shared" ref="R413" si="995">F413+47</f>
        <v>2031.095</v>
      </c>
      <c r="S413" s="287">
        <f t="shared" ref="S413" si="996">+R413*$X$1</f>
        <v>2031.095</v>
      </c>
      <c r="T413" s="570">
        <f t="shared" ref="T413" si="997">F413+38</f>
        <v>2022.095</v>
      </c>
      <c r="U413" s="287">
        <f t="shared" ref="U413" si="998">+T413*$X$1</f>
        <v>2022.095</v>
      </c>
      <c r="V413" s="570">
        <f t="shared" ref="V413" si="999">F413+33</f>
        <v>2017.095</v>
      </c>
      <c r="W413" s="287">
        <f t="shared" ref="W413" si="1000">+V413*$X$1</f>
        <v>2017.095</v>
      </c>
      <c r="X413" s="677"/>
      <c r="Y413" s="678"/>
      <c r="Z413" s="678"/>
      <c r="AA413" s="679"/>
      <c r="AB413" s="404">
        <v>2310</v>
      </c>
      <c r="AC413" s="65"/>
    </row>
    <row r="414" spans="1:29" ht="12.6" customHeight="1" x14ac:dyDescent="0.2">
      <c r="A414" s="18"/>
      <c r="B414" s="739" t="s">
        <v>431</v>
      </c>
      <c r="C414" s="740"/>
      <c r="D414" s="740"/>
      <c r="E414" s="740"/>
      <c r="F414" s="381">
        <f>1.33*X2</f>
        <v>1416.45</v>
      </c>
      <c r="G414" s="288">
        <f>+F414*$X$1</f>
        <v>1416.45</v>
      </c>
      <c r="H414" s="100">
        <f>F414+400</f>
        <v>1816.45</v>
      </c>
      <c r="I414" s="288">
        <f>+H414*$X$1</f>
        <v>1816.45</v>
      </c>
      <c r="J414" s="460">
        <f>F414+180</f>
        <v>1596.45</v>
      </c>
      <c r="K414" s="288">
        <f>+J414*$X$1</f>
        <v>1596.45</v>
      </c>
      <c r="L414" s="460">
        <f t="shared" si="982"/>
        <v>1536.45</v>
      </c>
      <c r="M414" s="288">
        <f>+L414*$X$1</f>
        <v>1536.45</v>
      </c>
      <c r="N414" s="460">
        <f>F414+61</f>
        <v>1477.45</v>
      </c>
      <c r="O414" s="288">
        <f>+N414*$X$1</f>
        <v>1477.45</v>
      </c>
      <c r="P414" s="460">
        <f>F414+54</f>
        <v>1470.45</v>
      </c>
      <c r="Q414" s="288">
        <f>+P414*$X$1</f>
        <v>1470.45</v>
      </c>
      <c r="R414" s="460">
        <f>F414+47</f>
        <v>1463.45</v>
      </c>
      <c r="S414" s="288">
        <f>+R414*$X$1</f>
        <v>1463.45</v>
      </c>
      <c r="T414" s="460">
        <f>F414+38</f>
        <v>1454.45</v>
      </c>
      <c r="U414" s="288">
        <f>+T414*$X$1</f>
        <v>1454.45</v>
      </c>
      <c r="V414" s="460">
        <f>F414+33</f>
        <v>1449.45</v>
      </c>
      <c r="W414" s="288">
        <f>+V414*$X$1</f>
        <v>1449.45</v>
      </c>
      <c r="X414" s="677"/>
      <c r="Y414" s="678"/>
      <c r="Z414" s="678"/>
      <c r="AA414" s="679"/>
      <c r="AB414" s="404">
        <v>2322</v>
      </c>
      <c r="AC414" s="65"/>
    </row>
    <row r="415" spans="1:29" ht="12.6" customHeight="1" x14ac:dyDescent="0.2">
      <c r="A415" s="18"/>
      <c r="B415" s="720" t="s">
        <v>930</v>
      </c>
      <c r="C415" s="914"/>
      <c r="D415" s="914"/>
      <c r="E415" s="914"/>
      <c r="F415" s="380">
        <f>1.33*X2</f>
        <v>1416.45</v>
      </c>
      <c r="G415" s="287">
        <f>+F415*$X$1</f>
        <v>1416.45</v>
      </c>
      <c r="H415" s="393">
        <f>F415+400</f>
        <v>1816.45</v>
      </c>
      <c r="I415" s="287">
        <f t="shared" ref="I415" si="1001">+H415*$X$1</f>
        <v>1816.45</v>
      </c>
      <c r="J415" s="602">
        <f t="shared" ref="J415" si="1002">F415+180</f>
        <v>1596.45</v>
      </c>
      <c r="K415" s="287">
        <f t="shared" ref="K415" si="1003">+J415*$X$1</f>
        <v>1596.45</v>
      </c>
      <c r="L415" s="602">
        <f t="shared" ref="L415" si="1004">F415+120</f>
        <v>1536.45</v>
      </c>
      <c r="M415" s="287">
        <f t="shared" ref="M415" si="1005">+L415*$X$1</f>
        <v>1536.45</v>
      </c>
      <c r="N415" s="602">
        <f t="shared" ref="N415" si="1006">F415+61</f>
        <v>1477.45</v>
      </c>
      <c r="O415" s="287">
        <f t="shared" ref="O415" si="1007">+N415*$X$1</f>
        <v>1477.45</v>
      </c>
      <c r="P415" s="602">
        <f t="shared" ref="P415" si="1008">F415+54</f>
        <v>1470.45</v>
      </c>
      <c r="Q415" s="287">
        <f t="shared" ref="Q415" si="1009">+P415*$X$1</f>
        <v>1470.45</v>
      </c>
      <c r="R415" s="602">
        <f t="shared" ref="R415" si="1010">F415+47</f>
        <v>1463.45</v>
      </c>
      <c r="S415" s="287">
        <f t="shared" ref="S415" si="1011">+R415*$X$1</f>
        <v>1463.45</v>
      </c>
      <c r="T415" s="602">
        <f t="shared" ref="T415" si="1012">F415+38</f>
        <v>1454.45</v>
      </c>
      <c r="U415" s="287">
        <f t="shared" ref="U415" si="1013">+T415*$X$1</f>
        <v>1454.45</v>
      </c>
      <c r="V415" s="602">
        <f t="shared" ref="V415" si="1014">F415+33</f>
        <v>1449.45</v>
      </c>
      <c r="W415" s="287">
        <f t="shared" ref="W415" si="1015">+V415*$X$1</f>
        <v>1449.45</v>
      </c>
      <c r="X415" s="677"/>
      <c r="Y415" s="678"/>
      <c r="Z415" s="678"/>
      <c r="AA415" s="679"/>
      <c r="AB415" s="404" t="s">
        <v>952</v>
      </c>
      <c r="AC415" s="65"/>
    </row>
    <row r="416" spans="1:29" ht="12.6" customHeight="1" x14ac:dyDescent="0.2">
      <c r="A416" s="18"/>
      <c r="B416" s="739" t="s">
        <v>845</v>
      </c>
      <c r="C416" s="740"/>
      <c r="D416" s="740"/>
      <c r="E416" s="740"/>
      <c r="F416" s="381">
        <f>1.71*X2</f>
        <v>1821.1499999999999</v>
      </c>
      <c r="G416" s="288">
        <f>+F416*$X$1</f>
        <v>1821.1499999999999</v>
      </c>
      <c r="H416" s="100">
        <f t="shared" ref="H416" si="1016">F416+360</f>
        <v>2181.1499999999996</v>
      </c>
      <c r="I416" s="288">
        <f t="shared" ref="I416:I417" si="1017">+H416*$X$1</f>
        <v>2181.1499999999996</v>
      </c>
      <c r="J416" s="460">
        <f t="shared" ref="J416" si="1018">F416+180</f>
        <v>2001.1499999999999</v>
      </c>
      <c r="K416" s="288">
        <f t="shared" ref="K416:K417" si="1019">+J416*$X$1</f>
        <v>2001.1499999999999</v>
      </c>
      <c r="L416" s="460">
        <f t="shared" ref="L416" si="1020">F416+120</f>
        <v>1941.1499999999999</v>
      </c>
      <c r="M416" s="288">
        <f>+L416*$X$1</f>
        <v>1941.1499999999999</v>
      </c>
      <c r="N416" s="460">
        <f t="shared" ref="N416" si="1021">F416+61</f>
        <v>1882.1499999999999</v>
      </c>
      <c r="O416" s="288">
        <f>+N416*$X$1</f>
        <v>1882.1499999999999</v>
      </c>
      <c r="P416" s="460">
        <f t="shared" ref="P416" si="1022">F416+54</f>
        <v>1875.1499999999999</v>
      </c>
      <c r="Q416" s="288">
        <f>+P416*$X$1</f>
        <v>1875.1499999999999</v>
      </c>
      <c r="R416" s="460">
        <f t="shared" ref="R416" si="1023">F416+47</f>
        <v>1868.1499999999999</v>
      </c>
      <c r="S416" s="288">
        <f>+R416*$X$1</f>
        <v>1868.1499999999999</v>
      </c>
      <c r="T416" s="460">
        <f t="shared" ref="T416" si="1024">F416+38</f>
        <v>1859.1499999999999</v>
      </c>
      <c r="U416" s="288">
        <f>+T416*$X$1</f>
        <v>1859.1499999999999</v>
      </c>
      <c r="V416" s="460">
        <f t="shared" ref="V416" si="1025">F416+33</f>
        <v>1854.1499999999999</v>
      </c>
      <c r="W416" s="288">
        <f>+V416*$X$1</f>
        <v>1854.1499999999999</v>
      </c>
      <c r="X416" s="677"/>
      <c r="Y416" s="678"/>
      <c r="Z416" s="678"/>
      <c r="AA416" s="679"/>
      <c r="AB416" s="404">
        <v>2327</v>
      </c>
      <c r="AC416" s="65"/>
    </row>
    <row r="417" spans="1:29" ht="12.6" customHeight="1" x14ac:dyDescent="0.2">
      <c r="A417" s="18"/>
      <c r="B417" s="759" t="s">
        <v>251</v>
      </c>
      <c r="C417" s="760"/>
      <c r="D417" s="760"/>
      <c r="E417" s="761"/>
      <c r="F417" s="615">
        <f>3.407*X2</f>
        <v>3628.4549999999999</v>
      </c>
      <c r="G417" s="617">
        <f>+F417*$X$1</f>
        <v>3628.4549999999999</v>
      </c>
      <c r="H417" s="618">
        <f>F417+500</f>
        <v>4128.4549999999999</v>
      </c>
      <c r="I417" s="617">
        <f t="shared" si="1017"/>
        <v>4128.4549999999999</v>
      </c>
      <c r="J417" s="618">
        <f>F417+210</f>
        <v>3838.4549999999999</v>
      </c>
      <c r="K417" s="617">
        <f t="shared" si="1019"/>
        <v>3838.4549999999999</v>
      </c>
      <c r="L417" s="618">
        <f>F417+170</f>
        <v>3798.4549999999999</v>
      </c>
      <c r="M417" s="617">
        <f>+L417*$X$1</f>
        <v>3798.4549999999999</v>
      </c>
      <c r="N417" s="618">
        <f>F417+130</f>
        <v>3758.4549999999999</v>
      </c>
      <c r="O417" s="617">
        <f>+N417*$X$1</f>
        <v>3758.4549999999999</v>
      </c>
      <c r="P417" s="618">
        <f>F417+100</f>
        <v>3728.4549999999999</v>
      </c>
      <c r="Q417" s="617">
        <f>+P417*$X$1</f>
        <v>3728.4549999999999</v>
      </c>
      <c r="R417" s="618">
        <f>F417+80</f>
        <v>3708.4549999999999</v>
      </c>
      <c r="S417" s="617">
        <f>+R417*$X$1</f>
        <v>3708.4549999999999</v>
      </c>
      <c r="T417" s="618">
        <f>F417+65</f>
        <v>3693.4549999999999</v>
      </c>
      <c r="U417" s="617">
        <f>+T417*$X$1</f>
        <v>3693.4549999999999</v>
      </c>
      <c r="V417" s="618">
        <f>F417+50</f>
        <v>3678.4549999999999</v>
      </c>
      <c r="W417" s="617">
        <f>+V417*$X$1</f>
        <v>3678.4549999999999</v>
      </c>
      <c r="X417" s="677"/>
      <c r="Y417" s="678"/>
      <c r="Z417" s="678"/>
      <c r="AA417" s="679"/>
      <c r="AB417" s="404">
        <v>2330</v>
      </c>
      <c r="AC417" s="65"/>
    </row>
    <row r="418" spans="1:29" ht="12.6" customHeight="1" x14ac:dyDescent="0.2">
      <c r="A418" s="104"/>
      <c r="B418" s="671" t="s">
        <v>918</v>
      </c>
      <c r="C418" s="672"/>
      <c r="D418" s="672"/>
      <c r="E418" s="673"/>
      <c r="F418" s="381">
        <f>1.3*X2</f>
        <v>1384.5</v>
      </c>
      <c r="G418" s="288">
        <f t="shared" ref="G418" si="1026">+F418*$X$1</f>
        <v>1384.5</v>
      </c>
      <c r="H418" s="460">
        <f>F418+500</f>
        <v>1884.5</v>
      </c>
      <c r="I418" s="288">
        <f t="shared" ref="I418" si="1027">+H418*$X$1</f>
        <v>1884.5</v>
      </c>
      <c r="J418" s="460">
        <f>F418+210</f>
        <v>1594.5</v>
      </c>
      <c r="K418" s="288">
        <f t="shared" ref="K418" si="1028">+J418*$X$1</f>
        <v>1594.5</v>
      </c>
      <c r="L418" s="460">
        <f>F418+170</f>
        <v>1554.5</v>
      </c>
      <c r="M418" s="288">
        <f t="shared" ref="M418" si="1029">+L418*$X$1</f>
        <v>1554.5</v>
      </c>
      <c r="N418" s="460">
        <f>F418+130</f>
        <v>1514.5</v>
      </c>
      <c r="O418" s="288">
        <f t="shared" ref="O418" si="1030">+N418*$X$1</f>
        <v>1514.5</v>
      </c>
      <c r="P418" s="460">
        <f>F418+100</f>
        <v>1484.5</v>
      </c>
      <c r="Q418" s="288">
        <f t="shared" ref="Q418" si="1031">+P418*$X$1</f>
        <v>1484.5</v>
      </c>
      <c r="R418" s="460">
        <f>F418+80</f>
        <v>1464.5</v>
      </c>
      <c r="S418" s="288">
        <f t="shared" ref="S418" si="1032">+R418*$X$1</f>
        <v>1464.5</v>
      </c>
      <c r="T418" s="460">
        <f>F418+65</f>
        <v>1449.5</v>
      </c>
      <c r="U418" s="288">
        <f t="shared" ref="U418" si="1033">+T418*$X$1</f>
        <v>1449.5</v>
      </c>
      <c r="V418" s="460">
        <f>F418+50</f>
        <v>1434.5</v>
      </c>
      <c r="W418" s="288">
        <f t="shared" ref="W418" si="1034">+V418*$X$1</f>
        <v>1434.5</v>
      </c>
      <c r="X418" s="677"/>
      <c r="Y418" s="678"/>
      <c r="Z418" s="678"/>
      <c r="AA418" s="679"/>
      <c r="AB418" s="404">
        <v>2331</v>
      </c>
      <c r="AC418" s="65"/>
    </row>
    <row r="419" spans="1:29" ht="12.6" customHeight="1" x14ac:dyDescent="0.2">
      <c r="A419" s="104"/>
      <c r="B419" s="671" t="s">
        <v>911</v>
      </c>
      <c r="C419" s="672"/>
      <c r="D419" s="672"/>
      <c r="E419" s="673"/>
      <c r="F419" s="615">
        <f>5.4*X2</f>
        <v>5751</v>
      </c>
      <c r="G419" s="617">
        <f t="shared" ref="G419" si="1035">+F419*$X$1</f>
        <v>5751</v>
      </c>
      <c r="H419" s="618">
        <f>F419+800</f>
        <v>6551</v>
      </c>
      <c r="I419" s="617">
        <f t="shared" ref="I419" si="1036">+H419*$X$1</f>
        <v>6551</v>
      </c>
      <c r="J419" s="618">
        <f>F419+320</f>
        <v>6071</v>
      </c>
      <c r="K419" s="617">
        <f t="shared" ref="K419" si="1037">+J419*$X$1</f>
        <v>6071</v>
      </c>
      <c r="L419" s="618">
        <f>F419+260</f>
        <v>6011</v>
      </c>
      <c r="M419" s="617">
        <f t="shared" ref="M419" si="1038">+L419*$X$1</f>
        <v>6011</v>
      </c>
      <c r="N419" s="618">
        <f>F419+200</f>
        <v>5951</v>
      </c>
      <c r="O419" s="617">
        <f t="shared" ref="O419" si="1039">+N419*$X$1</f>
        <v>5951</v>
      </c>
      <c r="P419" s="618">
        <f>F419+150</f>
        <v>5901</v>
      </c>
      <c r="Q419" s="617">
        <f t="shared" ref="Q419" si="1040">+P419*$X$1</f>
        <v>5901</v>
      </c>
      <c r="R419" s="618">
        <f>F419+120</f>
        <v>5871</v>
      </c>
      <c r="S419" s="617">
        <f t="shared" ref="S419" si="1041">+R419*$X$1</f>
        <v>5871</v>
      </c>
      <c r="T419" s="618">
        <f>F419+100</f>
        <v>5851</v>
      </c>
      <c r="U419" s="617">
        <f t="shared" ref="U419" si="1042">+T419*$X$1</f>
        <v>5851</v>
      </c>
      <c r="V419" s="618">
        <f>F419+75</f>
        <v>5826</v>
      </c>
      <c r="W419" s="617">
        <f t="shared" ref="W419" si="1043">+V419*$X$1</f>
        <v>5826</v>
      </c>
      <c r="X419" s="677"/>
      <c r="Y419" s="678"/>
      <c r="Z419" s="678"/>
      <c r="AA419" s="679"/>
      <c r="AB419" s="404">
        <v>2332</v>
      </c>
      <c r="AC419" s="65"/>
    </row>
    <row r="420" spans="1:29" ht="12.6" customHeight="1" x14ac:dyDescent="0.2">
      <c r="A420" s="104"/>
      <c r="B420" s="680" t="s">
        <v>389</v>
      </c>
      <c r="C420" s="691"/>
      <c r="D420" s="691"/>
      <c r="E420" s="692"/>
      <c r="F420" s="381">
        <f>1.2*X2</f>
        <v>1278</v>
      </c>
      <c r="G420" s="288">
        <f t="shared" ref="G420" si="1044">+F420*$X$1</f>
        <v>1278</v>
      </c>
      <c r="H420" s="460">
        <f>F420+500</f>
        <v>1778</v>
      </c>
      <c r="I420" s="288">
        <f>+H420*$X$1</f>
        <v>1778</v>
      </c>
      <c r="J420" s="460">
        <f>F420+210</f>
        <v>1488</v>
      </c>
      <c r="K420" s="288">
        <f>+J420*$X$1</f>
        <v>1488</v>
      </c>
      <c r="L420" s="460">
        <f>F420+170</f>
        <v>1448</v>
      </c>
      <c r="M420" s="288">
        <f>+L420*$X$1</f>
        <v>1448</v>
      </c>
      <c r="N420" s="460">
        <f>F420+130</f>
        <v>1408</v>
      </c>
      <c r="O420" s="288">
        <f>+N420*$X$1</f>
        <v>1408</v>
      </c>
      <c r="P420" s="460">
        <f>F420+100</f>
        <v>1378</v>
      </c>
      <c r="Q420" s="288">
        <f>+P420*$X$1</f>
        <v>1378</v>
      </c>
      <c r="R420" s="460">
        <f>F420+80</f>
        <v>1358</v>
      </c>
      <c r="S420" s="288">
        <f>+R420*$X$1</f>
        <v>1358</v>
      </c>
      <c r="T420" s="460">
        <f>F420+65</f>
        <v>1343</v>
      </c>
      <c r="U420" s="288">
        <f>+T420*$X$1</f>
        <v>1343</v>
      </c>
      <c r="V420" s="460">
        <f>F420+50</f>
        <v>1328</v>
      </c>
      <c r="W420" s="288">
        <f>+V420*$X$1</f>
        <v>1328</v>
      </c>
      <c r="X420" s="677"/>
      <c r="Y420" s="678"/>
      <c r="Z420" s="678"/>
      <c r="AA420" s="679"/>
      <c r="AB420" s="404">
        <v>2334</v>
      </c>
      <c r="AC420" s="65"/>
    </row>
    <row r="421" spans="1:29" ht="12.6" customHeight="1" x14ac:dyDescent="0.2">
      <c r="A421" s="104"/>
      <c r="B421" s="774" t="s">
        <v>252</v>
      </c>
      <c r="C421" s="775"/>
      <c r="D421" s="775"/>
      <c r="E421" s="776"/>
      <c r="F421" s="619">
        <f>1.4*X2</f>
        <v>1491</v>
      </c>
      <c r="G421" s="630">
        <f t="shared" ref="G421" si="1045">+F421*$X$1</f>
        <v>1491</v>
      </c>
      <c r="H421" s="618">
        <f>F421+500</f>
        <v>1991</v>
      </c>
      <c r="I421" s="617">
        <f t="shared" ref="I421" si="1046">+H421*$X$1</f>
        <v>1991</v>
      </c>
      <c r="J421" s="618">
        <f>F421+210</f>
        <v>1701</v>
      </c>
      <c r="K421" s="617">
        <f t="shared" ref="K421" si="1047">+J421*$X$1</f>
        <v>1701</v>
      </c>
      <c r="L421" s="618">
        <f>F421+170</f>
        <v>1661</v>
      </c>
      <c r="M421" s="617">
        <f t="shared" ref="M421" si="1048">+L421*$X$1</f>
        <v>1661</v>
      </c>
      <c r="N421" s="618">
        <f>F421+130</f>
        <v>1621</v>
      </c>
      <c r="O421" s="617">
        <f t="shared" ref="O421" si="1049">+N421*$X$1</f>
        <v>1621</v>
      </c>
      <c r="P421" s="618">
        <f>F421+100</f>
        <v>1591</v>
      </c>
      <c r="Q421" s="617">
        <f t="shared" ref="Q421" si="1050">+P421*$X$1</f>
        <v>1591</v>
      </c>
      <c r="R421" s="618">
        <f>F421+80</f>
        <v>1571</v>
      </c>
      <c r="S421" s="617">
        <f t="shared" ref="S421" si="1051">+R421*$X$1</f>
        <v>1571</v>
      </c>
      <c r="T421" s="618">
        <f>F421+65</f>
        <v>1556</v>
      </c>
      <c r="U421" s="617">
        <f t="shared" ref="U421" si="1052">+T421*$X$1</f>
        <v>1556</v>
      </c>
      <c r="V421" s="618">
        <f>F421+50</f>
        <v>1541</v>
      </c>
      <c r="W421" s="617">
        <f t="shared" ref="W421" si="1053">+V421*$X$1</f>
        <v>1541</v>
      </c>
      <c r="X421" s="677"/>
      <c r="Y421" s="678"/>
      <c r="Z421" s="678"/>
      <c r="AA421" s="679"/>
      <c r="AB421" s="418">
        <v>2336</v>
      </c>
      <c r="AC421" s="65"/>
    </row>
    <row r="422" spans="1:29" ht="12.6" customHeight="1" x14ac:dyDescent="0.2">
      <c r="A422" s="18"/>
      <c r="B422" s="680" t="s">
        <v>253</v>
      </c>
      <c r="C422" s="691"/>
      <c r="D422" s="691"/>
      <c r="E422" s="692"/>
      <c r="F422" s="381">
        <f>1.36*X2</f>
        <v>1448.4</v>
      </c>
      <c r="G422" s="288">
        <f>+F422*$X$1</f>
        <v>1448.4</v>
      </c>
      <c r="H422" s="100">
        <f>F422+400</f>
        <v>1848.4</v>
      </c>
      <c r="I422" s="288">
        <f t="shared" ref="I422:I428" si="1054">+H422*$X$1</f>
        <v>1848.4</v>
      </c>
      <c r="J422" s="460">
        <f t="shared" ref="J422:J428" si="1055">F422+180</f>
        <v>1628.4</v>
      </c>
      <c r="K422" s="288">
        <f t="shared" ref="K422:K428" si="1056">+J422*$X$1</f>
        <v>1628.4</v>
      </c>
      <c r="L422" s="460">
        <f t="shared" ref="L422:L428" si="1057">F422+120</f>
        <v>1568.4</v>
      </c>
      <c r="M422" s="288">
        <f t="shared" ref="M422:M428" si="1058">+L422*$X$1</f>
        <v>1568.4</v>
      </c>
      <c r="N422" s="460">
        <f t="shared" ref="N422:N428" si="1059">F422+61</f>
        <v>1509.4</v>
      </c>
      <c r="O422" s="288">
        <f t="shared" ref="O422:O428" si="1060">+N422*$X$1</f>
        <v>1509.4</v>
      </c>
      <c r="P422" s="460">
        <f t="shared" ref="P422:P428" si="1061">F422+54</f>
        <v>1502.4</v>
      </c>
      <c r="Q422" s="288">
        <f t="shared" ref="Q422:Q428" si="1062">+P422*$X$1</f>
        <v>1502.4</v>
      </c>
      <c r="R422" s="460">
        <f t="shared" ref="R422:R428" si="1063">F422+47</f>
        <v>1495.4</v>
      </c>
      <c r="S422" s="288">
        <f t="shared" ref="S422:S428" si="1064">+R422*$X$1</f>
        <v>1495.4</v>
      </c>
      <c r="T422" s="460">
        <f>F422+38</f>
        <v>1486.4</v>
      </c>
      <c r="U422" s="288">
        <f t="shared" ref="U422:U428" si="1065">+T422*$X$1</f>
        <v>1486.4</v>
      </c>
      <c r="V422" s="460">
        <f>F422+33</f>
        <v>1481.4</v>
      </c>
      <c r="W422" s="288">
        <f t="shared" ref="W422:W428" si="1066">+V422*$X$1</f>
        <v>1481.4</v>
      </c>
      <c r="X422" s="677"/>
      <c r="Y422" s="678"/>
      <c r="Z422" s="678"/>
      <c r="AA422" s="679"/>
      <c r="AB422" s="404">
        <v>2337</v>
      </c>
      <c r="AC422" s="65"/>
    </row>
    <row r="423" spans="1:29" ht="12.6" customHeight="1" x14ac:dyDescent="0.2">
      <c r="A423" s="18"/>
      <c r="B423" s="759" t="s">
        <v>254</v>
      </c>
      <c r="C423" s="781"/>
      <c r="D423" s="781"/>
      <c r="E423" s="782"/>
      <c r="F423" s="615">
        <f>1.84*X2</f>
        <v>1959.6000000000001</v>
      </c>
      <c r="G423" s="617">
        <f t="shared" ref="G423" si="1067">+F423*$X$1</f>
        <v>1959.6000000000001</v>
      </c>
      <c r="H423" s="616">
        <f>F423+400</f>
        <v>2359.6000000000004</v>
      </c>
      <c r="I423" s="617">
        <f t="shared" si="1054"/>
        <v>2359.6000000000004</v>
      </c>
      <c r="J423" s="618">
        <f t="shared" si="1055"/>
        <v>2139.6000000000004</v>
      </c>
      <c r="K423" s="617">
        <f t="shared" si="1056"/>
        <v>2139.6000000000004</v>
      </c>
      <c r="L423" s="618">
        <f t="shared" si="1057"/>
        <v>2079.6000000000004</v>
      </c>
      <c r="M423" s="617">
        <f t="shared" si="1058"/>
        <v>2079.6000000000004</v>
      </c>
      <c r="N423" s="618">
        <f t="shared" si="1059"/>
        <v>2020.6000000000001</v>
      </c>
      <c r="O423" s="617">
        <f t="shared" si="1060"/>
        <v>2020.6000000000001</v>
      </c>
      <c r="P423" s="618">
        <f t="shared" si="1061"/>
        <v>2013.6000000000001</v>
      </c>
      <c r="Q423" s="617">
        <f t="shared" si="1062"/>
        <v>2013.6000000000001</v>
      </c>
      <c r="R423" s="618">
        <f t="shared" si="1063"/>
        <v>2006.6000000000001</v>
      </c>
      <c r="S423" s="617">
        <f t="shared" si="1064"/>
        <v>2006.6000000000001</v>
      </c>
      <c r="T423" s="618">
        <f>F423+38</f>
        <v>1997.6000000000001</v>
      </c>
      <c r="U423" s="617">
        <f t="shared" si="1065"/>
        <v>1997.6000000000001</v>
      </c>
      <c r="V423" s="618">
        <f>F423+33</f>
        <v>1992.6000000000001</v>
      </c>
      <c r="W423" s="617">
        <f t="shared" si="1066"/>
        <v>1992.6000000000001</v>
      </c>
      <c r="X423" s="677"/>
      <c r="Y423" s="678"/>
      <c r="Z423" s="678"/>
      <c r="AA423" s="679"/>
      <c r="AB423" s="404">
        <v>2338</v>
      </c>
      <c r="AC423" s="65"/>
    </row>
    <row r="424" spans="1:29" ht="12.6" customHeight="1" x14ac:dyDescent="0.2">
      <c r="A424" s="18"/>
      <c r="B424" s="680" t="s">
        <v>327</v>
      </c>
      <c r="C424" s="691"/>
      <c r="D424" s="691"/>
      <c r="E424" s="692"/>
      <c r="F424" s="621">
        <f>1.3*X2</f>
        <v>1384.5</v>
      </c>
      <c r="G424" s="288">
        <f>+F424*$X$1</f>
        <v>1384.5</v>
      </c>
      <c r="H424" s="100">
        <f>F424+400</f>
        <v>1784.5</v>
      </c>
      <c r="I424" s="288">
        <f t="shared" si="1054"/>
        <v>1784.5</v>
      </c>
      <c r="J424" s="460">
        <f t="shared" si="1055"/>
        <v>1564.5</v>
      </c>
      <c r="K424" s="288">
        <f t="shared" si="1056"/>
        <v>1564.5</v>
      </c>
      <c r="L424" s="460">
        <f t="shared" si="1057"/>
        <v>1504.5</v>
      </c>
      <c r="M424" s="288">
        <f t="shared" si="1058"/>
        <v>1504.5</v>
      </c>
      <c r="N424" s="460">
        <f t="shared" si="1059"/>
        <v>1445.5</v>
      </c>
      <c r="O424" s="288">
        <f t="shared" si="1060"/>
        <v>1445.5</v>
      </c>
      <c r="P424" s="460">
        <f t="shared" si="1061"/>
        <v>1438.5</v>
      </c>
      <c r="Q424" s="288">
        <f t="shared" si="1062"/>
        <v>1438.5</v>
      </c>
      <c r="R424" s="460">
        <f t="shared" si="1063"/>
        <v>1431.5</v>
      </c>
      <c r="S424" s="288">
        <f t="shared" si="1064"/>
        <v>1431.5</v>
      </c>
      <c r="T424" s="460">
        <f>F424+38</f>
        <v>1422.5</v>
      </c>
      <c r="U424" s="288">
        <f t="shared" si="1065"/>
        <v>1422.5</v>
      </c>
      <c r="V424" s="460">
        <f>F424+33</f>
        <v>1417.5</v>
      </c>
      <c r="W424" s="288">
        <f t="shared" si="1066"/>
        <v>1417.5</v>
      </c>
      <c r="X424" s="173"/>
      <c r="Y424" s="176"/>
      <c r="Z424" s="176"/>
      <c r="AA424" s="175"/>
      <c r="AB424" s="404">
        <v>2340</v>
      </c>
      <c r="AC424" s="65"/>
    </row>
    <row r="425" spans="1:29" ht="12.6" customHeight="1" x14ac:dyDescent="0.2">
      <c r="A425" s="18"/>
      <c r="B425" s="683" t="s">
        <v>940</v>
      </c>
      <c r="C425" s="684"/>
      <c r="D425" s="684"/>
      <c r="E425" s="685"/>
      <c r="F425" s="615">
        <f>6.96*X2</f>
        <v>7412.4</v>
      </c>
      <c r="G425" s="617">
        <f t="shared" ref="G425" si="1068">+F425*$X$1</f>
        <v>7412.4</v>
      </c>
      <c r="H425" s="618">
        <f>F425+550</f>
        <v>7962.4</v>
      </c>
      <c r="I425" s="617">
        <f t="shared" si="1054"/>
        <v>7962.4</v>
      </c>
      <c r="J425" s="618">
        <f>F425+300</f>
        <v>7712.4</v>
      </c>
      <c r="K425" s="617">
        <f t="shared" si="1056"/>
        <v>7712.4</v>
      </c>
      <c r="L425" s="618">
        <f>F425+200</f>
        <v>7612.4</v>
      </c>
      <c r="M425" s="617">
        <f t="shared" si="1058"/>
        <v>7612.4</v>
      </c>
      <c r="N425" s="618">
        <f>F425+110</f>
        <v>7522.4</v>
      </c>
      <c r="O425" s="617">
        <f>+N425*$X$1</f>
        <v>7522.4</v>
      </c>
      <c r="P425" s="618">
        <f>F425+90</f>
        <v>7502.4</v>
      </c>
      <c r="Q425" s="617">
        <f t="shared" si="1062"/>
        <v>7502.4</v>
      </c>
      <c r="R425" s="618">
        <f>F425+80</f>
        <v>7492.4</v>
      </c>
      <c r="S425" s="617">
        <f>+R425*$X$1</f>
        <v>7492.4</v>
      </c>
      <c r="T425" s="618">
        <f>F425+65</f>
        <v>7477.4</v>
      </c>
      <c r="U425" s="617">
        <f t="shared" si="1065"/>
        <v>7477.4</v>
      </c>
      <c r="V425" s="618">
        <f>F425+55</f>
        <v>7467.4</v>
      </c>
      <c r="W425" s="620">
        <f t="shared" si="1066"/>
        <v>7467.4</v>
      </c>
      <c r="X425" s="589"/>
      <c r="Y425" s="590"/>
      <c r="Z425" s="590"/>
      <c r="AA425" s="591"/>
      <c r="AB425" s="404">
        <v>2341</v>
      </c>
      <c r="AC425" s="65"/>
    </row>
    <row r="426" spans="1:29" ht="12.6" customHeight="1" x14ac:dyDescent="0.2">
      <c r="A426" s="18"/>
      <c r="B426" s="680" t="s">
        <v>706</v>
      </c>
      <c r="C426" s="691"/>
      <c r="D426" s="691"/>
      <c r="E426" s="692"/>
      <c r="F426" s="381">
        <f>12.5*X2</f>
        <v>13312.5</v>
      </c>
      <c r="G426" s="288">
        <f t="shared" ref="G426" si="1069">+F426*$X$1</f>
        <v>13312.5</v>
      </c>
      <c r="H426" s="100">
        <f t="shared" ref="H426:H434" si="1070">F426+400</f>
        <v>13712.5</v>
      </c>
      <c r="I426" s="288">
        <f t="shared" si="1054"/>
        <v>13712.5</v>
      </c>
      <c r="J426" s="460">
        <f t="shared" si="1055"/>
        <v>13492.5</v>
      </c>
      <c r="K426" s="288">
        <f t="shared" si="1056"/>
        <v>13492.5</v>
      </c>
      <c r="L426" s="460">
        <f t="shared" si="1057"/>
        <v>13432.5</v>
      </c>
      <c r="M426" s="288">
        <f t="shared" si="1058"/>
        <v>13432.5</v>
      </c>
      <c r="N426" s="460">
        <f t="shared" si="1059"/>
        <v>13373.5</v>
      </c>
      <c r="O426" s="288">
        <f t="shared" si="1060"/>
        <v>13373.5</v>
      </c>
      <c r="P426" s="460">
        <f t="shared" si="1061"/>
        <v>13366.5</v>
      </c>
      <c r="Q426" s="288">
        <f t="shared" si="1062"/>
        <v>13366.5</v>
      </c>
      <c r="R426" s="460">
        <f t="shared" si="1063"/>
        <v>13359.5</v>
      </c>
      <c r="S426" s="288">
        <f t="shared" si="1064"/>
        <v>13359.5</v>
      </c>
      <c r="T426" s="460">
        <f>F426+38</f>
        <v>13350.5</v>
      </c>
      <c r="U426" s="288">
        <f t="shared" si="1065"/>
        <v>13350.5</v>
      </c>
      <c r="V426" s="460">
        <f>F426+33</f>
        <v>13345.5</v>
      </c>
      <c r="W426" s="288">
        <f t="shared" si="1066"/>
        <v>13345.5</v>
      </c>
      <c r="X426" s="445"/>
      <c r="Y426" s="446"/>
      <c r="Z426" s="446"/>
      <c r="AA426" s="447"/>
      <c r="AB426" s="404">
        <v>2342</v>
      </c>
      <c r="AC426" s="65"/>
    </row>
    <row r="427" spans="1:29" ht="12.6" customHeight="1" x14ac:dyDescent="0.2">
      <c r="A427" s="18"/>
      <c r="B427" s="759" t="s">
        <v>705</v>
      </c>
      <c r="C427" s="781"/>
      <c r="D427" s="781"/>
      <c r="E427" s="782"/>
      <c r="F427" s="615">
        <f>15.5*X2</f>
        <v>16507.5</v>
      </c>
      <c r="G427" s="617">
        <f t="shared" ref="G427" si="1071">+F427*$X$1</f>
        <v>16507.5</v>
      </c>
      <c r="H427" s="616">
        <f t="shared" si="1070"/>
        <v>16907.5</v>
      </c>
      <c r="I427" s="617">
        <f t="shared" si="1054"/>
        <v>16907.5</v>
      </c>
      <c r="J427" s="618">
        <f t="shared" si="1055"/>
        <v>16687.5</v>
      </c>
      <c r="K427" s="617">
        <f t="shared" si="1056"/>
        <v>16687.5</v>
      </c>
      <c r="L427" s="618">
        <f t="shared" si="1057"/>
        <v>16627.5</v>
      </c>
      <c r="M427" s="617">
        <f t="shared" si="1058"/>
        <v>16627.5</v>
      </c>
      <c r="N427" s="618">
        <f t="shared" si="1059"/>
        <v>16568.5</v>
      </c>
      <c r="O427" s="617">
        <f t="shared" si="1060"/>
        <v>16568.5</v>
      </c>
      <c r="P427" s="618">
        <f t="shared" si="1061"/>
        <v>16561.5</v>
      </c>
      <c r="Q427" s="617">
        <f t="shared" si="1062"/>
        <v>16561.5</v>
      </c>
      <c r="R427" s="618">
        <f t="shared" si="1063"/>
        <v>16554.5</v>
      </c>
      <c r="S427" s="617">
        <f t="shared" si="1064"/>
        <v>16554.5</v>
      </c>
      <c r="T427" s="618">
        <f t="shared" ref="T427:T432" si="1072">F427+38</f>
        <v>16545.5</v>
      </c>
      <c r="U427" s="617">
        <f t="shared" si="1065"/>
        <v>16545.5</v>
      </c>
      <c r="V427" s="618">
        <f t="shared" ref="V427:V432" si="1073">F427+33</f>
        <v>16540.5</v>
      </c>
      <c r="W427" s="617">
        <f t="shared" si="1066"/>
        <v>16540.5</v>
      </c>
      <c r="X427" s="445"/>
      <c r="Y427" s="446"/>
      <c r="Z427" s="446"/>
      <c r="AA427" s="447"/>
      <c r="AB427" s="404">
        <v>2343</v>
      </c>
      <c r="AC427" s="65"/>
    </row>
    <row r="428" spans="1:29" ht="12.6" customHeight="1" x14ac:dyDescent="0.2">
      <c r="A428" s="18"/>
      <c r="B428" s="671" t="s">
        <v>857</v>
      </c>
      <c r="C428" s="672"/>
      <c r="D428" s="672"/>
      <c r="E428" s="673"/>
      <c r="F428" s="381">
        <f>9.42*X2</f>
        <v>10032.299999999999</v>
      </c>
      <c r="G428" s="288">
        <f>+F428*$X$1</f>
        <v>10032.299999999999</v>
      </c>
      <c r="H428" s="460">
        <f t="shared" si="1070"/>
        <v>10432.299999999999</v>
      </c>
      <c r="I428" s="288">
        <f t="shared" si="1054"/>
        <v>10432.299999999999</v>
      </c>
      <c r="J428" s="460">
        <f t="shared" si="1055"/>
        <v>10212.299999999999</v>
      </c>
      <c r="K428" s="288">
        <f t="shared" si="1056"/>
        <v>10212.299999999999</v>
      </c>
      <c r="L428" s="460">
        <f t="shared" si="1057"/>
        <v>10152.299999999999</v>
      </c>
      <c r="M428" s="288">
        <f t="shared" si="1058"/>
        <v>10152.299999999999</v>
      </c>
      <c r="N428" s="460">
        <f t="shared" si="1059"/>
        <v>10093.299999999999</v>
      </c>
      <c r="O428" s="288">
        <f t="shared" si="1060"/>
        <v>10093.299999999999</v>
      </c>
      <c r="P428" s="460">
        <f t="shared" si="1061"/>
        <v>10086.299999999999</v>
      </c>
      <c r="Q428" s="288">
        <f t="shared" si="1062"/>
        <v>10086.299999999999</v>
      </c>
      <c r="R428" s="460">
        <f t="shared" si="1063"/>
        <v>10079.299999999999</v>
      </c>
      <c r="S428" s="288">
        <f t="shared" si="1064"/>
        <v>10079.299999999999</v>
      </c>
      <c r="T428" s="460">
        <f t="shared" si="1072"/>
        <v>10070.299999999999</v>
      </c>
      <c r="U428" s="288">
        <f t="shared" si="1065"/>
        <v>10070.299999999999</v>
      </c>
      <c r="V428" s="460">
        <f t="shared" si="1073"/>
        <v>10065.299999999999</v>
      </c>
      <c r="W428" s="288">
        <f t="shared" si="1066"/>
        <v>10065.299999999999</v>
      </c>
      <c r="X428" s="508"/>
      <c r="Y428" s="509"/>
      <c r="Z428" s="509"/>
      <c r="AA428" s="510"/>
      <c r="AB428" s="404" t="s">
        <v>858</v>
      </c>
      <c r="AC428" s="65"/>
    </row>
    <row r="429" spans="1:29" ht="12.6" customHeight="1" x14ac:dyDescent="0.2">
      <c r="A429" s="18"/>
      <c r="B429" s="759" t="s">
        <v>442</v>
      </c>
      <c r="C429" s="781"/>
      <c r="D429" s="781"/>
      <c r="E429" s="782"/>
      <c r="F429" s="615">
        <f>8.5*X2</f>
        <v>9052.5</v>
      </c>
      <c r="G429" s="617">
        <f t="shared" ref="G429" si="1074">+F429*$X$1</f>
        <v>9052.5</v>
      </c>
      <c r="H429" s="618">
        <f t="shared" si="1070"/>
        <v>9452.5</v>
      </c>
      <c r="I429" s="617">
        <f t="shared" ref="I429:I433" si="1075">+H429*$X$1</f>
        <v>9452.5</v>
      </c>
      <c r="J429" s="618">
        <f t="shared" ref="J429:J433" si="1076">F429+180</f>
        <v>9232.5</v>
      </c>
      <c r="K429" s="617">
        <f t="shared" ref="K429:K432" si="1077">+J429*$X$1</f>
        <v>9232.5</v>
      </c>
      <c r="L429" s="618">
        <f t="shared" ref="L429:L433" si="1078">F429+120</f>
        <v>9172.5</v>
      </c>
      <c r="M429" s="617">
        <f t="shared" ref="M429:M432" si="1079">+L429*$X$1</f>
        <v>9172.5</v>
      </c>
      <c r="N429" s="618">
        <f t="shared" ref="N429:N433" si="1080">F429+61</f>
        <v>9113.5</v>
      </c>
      <c r="O429" s="617">
        <f t="shared" ref="O429:O432" si="1081">+N429*$X$1</f>
        <v>9113.5</v>
      </c>
      <c r="P429" s="618">
        <f t="shared" ref="P429:P433" si="1082">F429+54</f>
        <v>9106.5</v>
      </c>
      <c r="Q429" s="617">
        <f t="shared" ref="Q429:Q432" si="1083">+P429*$X$1</f>
        <v>9106.5</v>
      </c>
      <c r="R429" s="618">
        <f t="shared" ref="R429:R433" si="1084">F429+47</f>
        <v>9099.5</v>
      </c>
      <c r="S429" s="617">
        <f t="shared" ref="S429:S432" si="1085">+R429*$X$1</f>
        <v>9099.5</v>
      </c>
      <c r="T429" s="618">
        <f t="shared" si="1072"/>
        <v>9090.5</v>
      </c>
      <c r="U429" s="617">
        <f t="shared" ref="U429:U432" si="1086">+T429*$X$1</f>
        <v>9090.5</v>
      </c>
      <c r="V429" s="618">
        <f t="shared" si="1073"/>
        <v>9085.5</v>
      </c>
      <c r="W429" s="617">
        <f t="shared" ref="W429:W432" si="1087">+V429*$X$1</f>
        <v>9085.5</v>
      </c>
      <c r="X429" s="239"/>
      <c r="Y429" s="237"/>
      <c r="Z429" s="237"/>
      <c r="AA429" s="238"/>
      <c r="AB429" s="404">
        <v>2346</v>
      </c>
      <c r="AC429" s="65"/>
    </row>
    <row r="430" spans="1:29" ht="12.6" customHeight="1" x14ac:dyDescent="0.2">
      <c r="A430" s="18"/>
      <c r="B430" s="680" t="s">
        <v>707</v>
      </c>
      <c r="C430" s="691"/>
      <c r="D430" s="691"/>
      <c r="E430" s="692"/>
      <c r="F430" s="381">
        <f>11.9*X2</f>
        <v>12673.5</v>
      </c>
      <c r="G430" s="288">
        <f t="shared" ref="G430" si="1088">+F430*$X$1</f>
        <v>12673.5</v>
      </c>
      <c r="H430" s="460">
        <f t="shared" si="1070"/>
        <v>13073.5</v>
      </c>
      <c r="I430" s="288">
        <f t="shared" si="1075"/>
        <v>13073.5</v>
      </c>
      <c r="J430" s="460">
        <f t="shared" si="1076"/>
        <v>12853.5</v>
      </c>
      <c r="K430" s="288">
        <f t="shared" si="1077"/>
        <v>12853.5</v>
      </c>
      <c r="L430" s="460">
        <f t="shared" si="1078"/>
        <v>12793.5</v>
      </c>
      <c r="M430" s="288">
        <f t="shared" si="1079"/>
        <v>12793.5</v>
      </c>
      <c r="N430" s="460">
        <f t="shared" si="1080"/>
        <v>12734.5</v>
      </c>
      <c r="O430" s="288">
        <f t="shared" si="1081"/>
        <v>12734.5</v>
      </c>
      <c r="P430" s="460">
        <f t="shared" si="1082"/>
        <v>12727.5</v>
      </c>
      <c r="Q430" s="288">
        <f t="shared" si="1083"/>
        <v>12727.5</v>
      </c>
      <c r="R430" s="460">
        <f t="shared" si="1084"/>
        <v>12720.5</v>
      </c>
      <c r="S430" s="288">
        <f t="shared" si="1085"/>
        <v>12720.5</v>
      </c>
      <c r="T430" s="460">
        <f t="shared" si="1072"/>
        <v>12711.5</v>
      </c>
      <c r="U430" s="288">
        <f t="shared" si="1086"/>
        <v>12711.5</v>
      </c>
      <c r="V430" s="460">
        <f t="shared" si="1073"/>
        <v>12706.5</v>
      </c>
      <c r="W430" s="288">
        <f t="shared" si="1087"/>
        <v>12706.5</v>
      </c>
      <c r="X430" s="445"/>
      <c r="Y430" s="446"/>
      <c r="Z430" s="446"/>
      <c r="AA430" s="447"/>
      <c r="AB430" s="404" t="s">
        <v>716</v>
      </c>
      <c r="AC430" s="65"/>
    </row>
    <row r="431" spans="1:29" ht="12.6" customHeight="1" x14ac:dyDescent="0.2">
      <c r="A431" s="18"/>
      <c r="B431" s="759" t="s">
        <v>708</v>
      </c>
      <c r="C431" s="781"/>
      <c r="D431" s="781"/>
      <c r="E431" s="782"/>
      <c r="F431" s="615">
        <f>12.7*X2</f>
        <v>13525.5</v>
      </c>
      <c r="G431" s="617">
        <f t="shared" ref="G431" si="1089">+F431*$X$1</f>
        <v>13525.5</v>
      </c>
      <c r="H431" s="618">
        <f t="shared" si="1070"/>
        <v>13925.5</v>
      </c>
      <c r="I431" s="617">
        <f t="shared" si="1075"/>
        <v>13925.5</v>
      </c>
      <c r="J431" s="618">
        <f t="shared" si="1076"/>
        <v>13705.5</v>
      </c>
      <c r="K431" s="617">
        <f t="shared" si="1077"/>
        <v>13705.5</v>
      </c>
      <c r="L431" s="618">
        <f t="shared" si="1078"/>
        <v>13645.5</v>
      </c>
      <c r="M431" s="617">
        <f t="shared" si="1079"/>
        <v>13645.5</v>
      </c>
      <c r="N431" s="618">
        <f t="shared" si="1080"/>
        <v>13586.5</v>
      </c>
      <c r="O431" s="617">
        <f t="shared" si="1081"/>
        <v>13586.5</v>
      </c>
      <c r="P431" s="618">
        <f t="shared" si="1082"/>
        <v>13579.5</v>
      </c>
      <c r="Q431" s="617">
        <f t="shared" si="1083"/>
        <v>13579.5</v>
      </c>
      <c r="R431" s="618">
        <f t="shared" si="1084"/>
        <v>13572.5</v>
      </c>
      <c r="S431" s="617">
        <f t="shared" si="1085"/>
        <v>13572.5</v>
      </c>
      <c r="T431" s="618">
        <f t="shared" si="1072"/>
        <v>13563.5</v>
      </c>
      <c r="U431" s="617">
        <f t="shared" si="1086"/>
        <v>13563.5</v>
      </c>
      <c r="V431" s="618">
        <f t="shared" si="1073"/>
        <v>13558.5</v>
      </c>
      <c r="W431" s="617">
        <f t="shared" si="1087"/>
        <v>13558.5</v>
      </c>
      <c r="X431" s="445"/>
      <c r="Y431" s="446"/>
      <c r="Z431" s="446"/>
      <c r="AA431" s="447"/>
      <c r="AB431" s="404" t="s">
        <v>767</v>
      </c>
      <c r="AC431" s="65"/>
    </row>
    <row r="432" spans="1:29" ht="12.6" customHeight="1" x14ac:dyDescent="0.2">
      <c r="A432" s="18"/>
      <c r="B432" s="680" t="s">
        <v>593</v>
      </c>
      <c r="C432" s="691"/>
      <c r="D432" s="691"/>
      <c r="E432" s="692"/>
      <c r="F432" s="381">
        <f>2.56*X2</f>
        <v>2726.4</v>
      </c>
      <c r="G432" s="288">
        <f t="shared" ref="G432" si="1090">+F432*$X$1</f>
        <v>2726.4</v>
      </c>
      <c r="H432" s="460">
        <f t="shared" si="1070"/>
        <v>3126.4</v>
      </c>
      <c r="I432" s="288">
        <f t="shared" si="1075"/>
        <v>3126.4</v>
      </c>
      <c r="J432" s="460">
        <f t="shared" si="1076"/>
        <v>2906.4</v>
      </c>
      <c r="K432" s="288">
        <f t="shared" si="1077"/>
        <v>2906.4</v>
      </c>
      <c r="L432" s="460">
        <f t="shared" si="1078"/>
        <v>2846.4</v>
      </c>
      <c r="M432" s="288">
        <f t="shared" si="1079"/>
        <v>2846.4</v>
      </c>
      <c r="N432" s="460">
        <f t="shared" si="1080"/>
        <v>2787.4</v>
      </c>
      <c r="O432" s="288">
        <f t="shared" si="1081"/>
        <v>2787.4</v>
      </c>
      <c r="P432" s="460">
        <f t="shared" si="1082"/>
        <v>2780.4</v>
      </c>
      <c r="Q432" s="288">
        <f t="shared" si="1083"/>
        <v>2780.4</v>
      </c>
      <c r="R432" s="460">
        <f t="shared" si="1084"/>
        <v>2773.4</v>
      </c>
      <c r="S432" s="288">
        <f t="shared" si="1085"/>
        <v>2773.4</v>
      </c>
      <c r="T432" s="460">
        <f t="shared" si="1072"/>
        <v>2764.4</v>
      </c>
      <c r="U432" s="288">
        <f t="shared" si="1086"/>
        <v>2764.4</v>
      </c>
      <c r="V432" s="460">
        <f t="shared" si="1073"/>
        <v>2759.4</v>
      </c>
      <c r="W432" s="288">
        <f t="shared" si="1087"/>
        <v>2759.4</v>
      </c>
      <c r="X432" s="375"/>
      <c r="Y432" s="376"/>
      <c r="Z432" s="376"/>
      <c r="AA432" s="377"/>
      <c r="AB432" s="404">
        <v>2350</v>
      </c>
      <c r="AC432" s="65"/>
    </row>
    <row r="433" spans="1:35" ht="12.6" customHeight="1" x14ac:dyDescent="0.2">
      <c r="A433" s="18"/>
      <c r="B433" s="683" t="s">
        <v>689</v>
      </c>
      <c r="C433" s="684"/>
      <c r="D433" s="684"/>
      <c r="E433" s="685"/>
      <c r="F433" s="380">
        <f>1.59*X2</f>
        <v>1693.3500000000001</v>
      </c>
      <c r="G433" s="287">
        <f t="shared" ref="G433" si="1091">+F433*$X$1</f>
        <v>1693.3500000000001</v>
      </c>
      <c r="H433" s="570">
        <f t="shared" si="1070"/>
        <v>2093.3500000000004</v>
      </c>
      <c r="I433" s="287">
        <f t="shared" si="1075"/>
        <v>2093.3500000000004</v>
      </c>
      <c r="J433" s="570">
        <f t="shared" si="1076"/>
        <v>1873.3500000000001</v>
      </c>
      <c r="K433" s="287">
        <f t="shared" ref="K433" si="1092">+J433*$X$1</f>
        <v>1873.3500000000001</v>
      </c>
      <c r="L433" s="570">
        <f t="shared" si="1078"/>
        <v>1813.3500000000001</v>
      </c>
      <c r="M433" s="287">
        <f t="shared" ref="M433" si="1093">+L433*$X$1</f>
        <v>1813.3500000000001</v>
      </c>
      <c r="N433" s="570">
        <f t="shared" si="1080"/>
        <v>1754.3500000000001</v>
      </c>
      <c r="O433" s="287">
        <f t="shared" ref="O433" si="1094">+N433*$X$1</f>
        <v>1754.3500000000001</v>
      </c>
      <c r="P433" s="570">
        <f t="shared" si="1082"/>
        <v>1747.3500000000001</v>
      </c>
      <c r="Q433" s="287">
        <f t="shared" ref="Q433" si="1095">+P433*$X$1</f>
        <v>1747.3500000000001</v>
      </c>
      <c r="R433" s="570">
        <f t="shared" si="1084"/>
        <v>1740.3500000000001</v>
      </c>
      <c r="S433" s="287">
        <f t="shared" ref="S433" si="1096">+R433*$X$1</f>
        <v>1740.3500000000001</v>
      </c>
      <c r="T433" s="570">
        <f>F433+38</f>
        <v>1731.3500000000001</v>
      </c>
      <c r="U433" s="287">
        <f t="shared" ref="U433" si="1097">+T433*$X$1</f>
        <v>1731.3500000000001</v>
      </c>
      <c r="V433" s="570">
        <f>F433+33</f>
        <v>1726.3500000000001</v>
      </c>
      <c r="W433" s="287">
        <f t="shared" ref="W433" si="1098">+V433*$X$1</f>
        <v>1726.3500000000001</v>
      </c>
      <c r="X433" s="436"/>
      <c r="Y433" s="437"/>
      <c r="Z433" s="437"/>
      <c r="AA433" s="438"/>
      <c r="AB433" s="404">
        <v>2352</v>
      </c>
      <c r="AC433" s="65"/>
    </row>
    <row r="434" spans="1:35" ht="12.6" customHeight="1" x14ac:dyDescent="0.2">
      <c r="A434" s="18"/>
      <c r="B434" s="671" t="s">
        <v>919</v>
      </c>
      <c r="C434" s="672"/>
      <c r="D434" s="672"/>
      <c r="E434" s="673"/>
      <c r="F434" s="381">
        <f>1.48*X2</f>
        <v>1576.2</v>
      </c>
      <c r="G434" s="288">
        <f t="shared" ref="G434" si="1099">+F434*$X$1</f>
        <v>1576.2</v>
      </c>
      <c r="H434" s="460">
        <f t="shared" si="1070"/>
        <v>1976.2</v>
      </c>
      <c r="I434" s="288">
        <f t="shared" ref="I434" si="1100">+H434*$X$1</f>
        <v>1976.2</v>
      </c>
      <c r="J434" s="460">
        <f t="shared" ref="J434" si="1101">F434+180</f>
        <v>1756.2</v>
      </c>
      <c r="K434" s="288">
        <f t="shared" ref="K434" si="1102">+J434*$X$1</f>
        <v>1756.2</v>
      </c>
      <c r="L434" s="460">
        <f t="shared" ref="L434" si="1103">F434+120</f>
        <v>1696.2</v>
      </c>
      <c r="M434" s="288">
        <f t="shared" ref="M434" si="1104">+L434*$X$1</f>
        <v>1696.2</v>
      </c>
      <c r="N434" s="460">
        <f t="shared" ref="N434" si="1105">F434+61</f>
        <v>1637.2</v>
      </c>
      <c r="O434" s="288">
        <f t="shared" ref="O434" si="1106">+N434*$X$1</f>
        <v>1637.2</v>
      </c>
      <c r="P434" s="460">
        <f t="shared" ref="P434" si="1107">F434+54</f>
        <v>1630.2</v>
      </c>
      <c r="Q434" s="288">
        <f t="shared" ref="Q434" si="1108">+P434*$X$1</f>
        <v>1630.2</v>
      </c>
      <c r="R434" s="460">
        <f t="shared" ref="R434" si="1109">F434+47</f>
        <v>1623.2</v>
      </c>
      <c r="S434" s="288">
        <f t="shared" ref="S434" si="1110">+R434*$X$1</f>
        <v>1623.2</v>
      </c>
      <c r="T434" s="460">
        <f>F434+38</f>
        <v>1614.2</v>
      </c>
      <c r="U434" s="288">
        <f t="shared" ref="U434" si="1111">+T434*$X$1</f>
        <v>1614.2</v>
      </c>
      <c r="V434" s="460">
        <f>F434+33</f>
        <v>1609.2</v>
      </c>
      <c r="W434" s="288">
        <f t="shared" ref="W434" si="1112">+V434*$X$1</f>
        <v>1609.2</v>
      </c>
      <c r="X434" s="568"/>
      <c r="Y434" s="566"/>
      <c r="Z434" s="566"/>
      <c r="AA434" s="567"/>
      <c r="AB434" s="404">
        <v>2353</v>
      </c>
      <c r="AC434" s="65"/>
    </row>
    <row r="435" spans="1:35" ht="12.6" customHeight="1" x14ac:dyDescent="0.2">
      <c r="A435" s="18"/>
      <c r="B435" s="671" t="s">
        <v>967</v>
      </c>
      <c r="C435" s="672"/>
      <c r="D435" s="672"/>
      <c r="E435" s="673"/>
      <c r="F435" s="380">
        <f>1.732*X2</f>
        <v>1844.58</v>
      </c>
      <c r="G435" s="287">
        <f t="shared" ref="G435" si="1113">+F435*$X$1</f>
        <v>1844.58</v>
      </c>
      <c r="H435" s="654">
        <f t="shared" ref="H435" si="1114">F435+400</f>
        <v>2244.58</v>
      </c>
      <c r="I435" s="287">
        <f t="shared" ref="I435" si="1115">+H435*$X$1</f>
        <v>2244.58</v>
      </c>
      <c r="J435" s="654">
        <f t="shared" ref="J435" si="1116">F435+180</f>
        <v>2024.58</v>
      </c>
      <c r="K435" s="287">
        <f t="shared" ref="K435" si="1117">+J435*$X$1</f>
        <v>2024.58</v>
      </c>
      <c r="L435" s="654">
        <f t="shared" ref="L435" si="1118">F435+120</f>
        <v>1964.58</v>
      </c>
      <c r="M435" s="287">
        <f t="shared" ref="M435" si="1119">+L435*$X$1</f>
        <v>1964.58</v>
      </c>
      <c r="N435" s="654">
        <f t="shared" ref="N435" si="1120">F435+61</f>
        <v>1905.58</v>
      </c>
      <c r="O435" s="287">
        <f t="shared" ref="O435" si="1121">+N435*$X$1</f>
        <v>1905.58</v>
      </c>
      <c r="P435" s="654">
        <f t="shared" ref="P435" si="1122">F435+54</f>
        <v>1898.58</v>
      </c>
      <c r="Q435" s="287">
        <f t="shared" ref="Q435" si="1123">+P435*$X$1</f>
        <v>1898.58</v>
      </c>
      <c r="R435" s="654">
        <f t="shared" ref="R435" si="1124">F435+47</f>
        <v>1891.58</v>
      </c>
      <c r="S435" s="287">
        <f t="shared" ref="S435" si="1125">+R435*$X$1</f>
        <v>1891.58</v>
      </c>
      <c r="T435" s="654">
        <f>F435+38</f>
        <v>1882.58</v>
      </c>
      <c r="U435" s="287">
        <f t="shared" ref="U435" si="1126">+T435*$X$1</f>
        <v>1882.58</v>
      </c>
      <c r="V435" s="654">
        <f>F435+33</f>
        <v>1877.58</v>
      </c>
      <c r="W435" s="287">
        <f t="shared" ref="W435" si="1127">+V435*$X$1</f>
        <v>1877.58</v>
      </c>
      <c r="X435" s="648"/>
      <c r="Y435" s="649"/>
      <c r="Z435" s="649"/>
      <c r="AA435" s="650"/>
      <c r="AB435" s="404">
        <v>2354</v>
      </c>
      <c r="AC435" s="65"/>
    </row>
    <row r="436" spans="1:35" ht="12.6" customHeight="1" x14ac:dyDescent="0.2">
      <c r="A436" s="18"/>
      <c r="B436" s="671" t="s">
        <v>966</v>
      </c>
      <c r="C436" s="672"/>
      <c r="D436" s="672"/>
      <c r="E436" s="673"/>
      <c r="F436" s="381">
        <f>1.471*X2</f>
        <v>1566.615</v>
      </c>
      <c r="G436" s="288">
        <f t="shared" ref="G436" si="1128">+F436*$X$1</f>
        <v>1566.615</v>
      </c>
      <c r="H436" s="460">
        <f t="shared" ref="H436" si="1129">F436+400</f>
        <v>1966.615</v>
      </c>
      <c r="I436" s="288">
        <f t="shared" ref="I436:I437" si="1130">+H436*$X$1</f>
        <v>1966.615</v>
      </c>
      <c r="J436" s="460">
        <f t="shared" ref="J436" si="1131">F436+180</f>
        <v>1746.615</v>
      </c>
      <c r="K436" s="288">
        <f t="shared" ref="K436" si="1132">+J436*$X$1</f>
        <v>1746.615</v>
      </c>
      <c r="L436" s="460">
        <f t="shared" ref="L436" si="1133">F436+120</f>
        <v>1686.615</v>
      </c>
      <c r="M436" s="288">
        <f t="shared" ref="M436" si="1134">+L436*$X$1</f>
        <v>1686.615</v>
      </c>
      <c r="N436" s="460">
        <f t="shared" ref="N436" si="1135">F436+61</f>
        <v>1627.615</v>
      </c>
      <c r="O436" s="288">
        <f t="shared" ref="O436" si="1136">+N436*$X$1</f>
        <v>1627.615</v>
      </c>
      <c r="P436" s="460">
        <f t="shared" ref="P436" si="1137">F436+54</f>
        <v>1620.615</v>
      </c>
      <c r="Q436" s="288">
        <f t="shared" ref="Q436" si="1138">+P436*$X$1</f>
        <v>1620.615</v>
      </c>
      <c r="R436" s="460">
        <f t="shared" ref="R436" si="1139">F436+47</f>
        <v>1613.615</v>
      </c>
      <c r="S436" s="288">
        <f t="shared" ref="S436" si="1140">+R436*$X$1</f>
        <v>1613.615</v>
      </c>
      <c r="T436" s="460">
        <f>F436+38</f>
        <v>1604.615</v>
      </c>
      <c r="U436" s="288">
        <f t="shared" ref="U436" si="1141">+T436*$X$1</f>
        <v>1604.615</v>
      </c>
      <c r="V436" s="460">
        <f>F436+33</f>
        <v>1599.615</v>
      </c>
      <c r="W436" s="288">
        <f t="shared" ref="W436" si="1142">+V436*$X$1</f>
        <v>1599.615</v>
      </c>
      <c r="X436" s="648"/>
      <c r="Y436" s="649"/>
      <c r="Z436" s="649"/>
      <c r="AA436" s="650"/>
      <c r="AB436" s="404">
        <v>2355</v>
      </c>
      <c r="AC436" s="65"/>
    </row>
    <row r="437" spans="1:35" ht="12.6" customHeight="1" x14ac:dyDescent="0.2">
      <c r="A437" s="18"/>
      <c r="B437" s="683" t="s">
        <v>981</v>
      </c>
      <c r="C437" s="684"/>
      <c r="D437" s="684"/>
      <c r="E437" s="685"/>
      <c r="F437" s="287">
        <f>2.95*X2</f>
        <v>3141.75</v>
      </c>
      <c r="G437" s="287">
        <f>+F437*$X$1</f>
        <v>3141.75</v>
      </c>
      <c r="H437" s="667">
        <f>F437+500</f>
        <v>3641.75</v>
      </c>
      <c r="I437" s="287">
        <f t="shared" si="1130"/>
        <v>3641.75</v>
      </c>
      <c r="J437" s="667">
        <f>F437+200</f>
        <v>3341.75</v>
      </c>
      <c r="K437" s="287">
        <f>+J437*$X$1</f>
        <v>3341.75</v>
      </c>
      <c r="L437" s="667">
        <f>F437+140</f>
        <v>3281.75</v>
      </c>
      <c r="M437" s="287">
        <f t="shared" ref="M437:M442" si="1143">+L437*$X$1</f>
        <v>3281.75</v>
      </c>
      <c r="N437" s="667">
        <f>F437+70</f>
        <v>3211.75</v>
      </c>
      <c r="O437" s="287">
        <f>+N437*$X$1</f>
        <v>3211.75</v>
      </c>
      <c r="P437" s="667">
        <f>F437+60</f>
        <v>3201.75</v>
      </c>
      <c r="Q437" s="287">
        <f>+P437*$X$1</f>
        <v>3201.75</v>
      </c>
      <c r="R437" s="667">
        <f>F437+50</f>
        <v>3191.75</v>
      </c>
      <c r="S437" s="287">
        <f t="shared" ref="S437:S442" si="1144">+R437*$X$1</f>
        <v>3191.75</v>
      </c>
      <c r="T437" s="103">
        <f>F437+44</f>
        <v>3185.75</v>
      </c>
      <c r="U437" s="255">
        <f t="shared" ref="U437:U442" si="1145">+T437*$X$1</f>
        <v>3185.75</v>
      </c>
      <c r="V437" s="103">
        <f>F437+38</f>
        <v>3179.75</v>
      </c>
      <c r="W437" s="255">
        <f>+V437*$X$1</f>
        <v>3179.75</v>
      </c>
      <c r="X437" s="677"/>
      <c r="Y437" s="694"/>
      <c r="Z437" s="694"/>
      <c r="AA437" s="679"/>
      <c r="AB437" s="404">
        <v>2500</v>
      </c>
    </row>
    <row r="438" spans="1:35" ht="12.6" customHeight="1" x14ac:dyDescent="0.2">
      <c r="A438" s="18"/>
      <c r="B438" s="680" t="s">
        <v>837</v>
      </c>
      <c r="C438" s="691"/>
      <c r="D438" s="691"/>
      <c r="E438" s="692"/>
      <c r="F438" s="288">
        <f>3.463*X2</f>
        <v>3688.0950000000003</v>
      </c>
      <c r="G438" s="288">
        <f>+F438*$X$1</f>
        <v>3688.0950000000003</v>
      </c>
      <c r="H438" s="460">
        <f>F438+500</f>
        <v>4188.0950000000003</v>
      </c>
      <c r="I438" s="288">
        <f t="shared" ref="I438" si="1146">+H438*$X$1</f>
        <v>4188.0950000000003</v>
      </c>
      <c r="J438" s="460">
        <f>F438+200</f>
        <v>3888.0950000000003</v>
      </c>
      <c r="K438" s="288">
        <f>+J438*$X$1</f>
        <v>3888.0950000000003</v>
      </c>
      <c r="L438" s="460">
        <f>F438+140</f>
        <v>3828.0950000000003</v>
      </c>
      <c r="M438" s="288">
        <f t="shared" si="1143"/>
        <v>3828.0950000000003</v>
      </c>
      <c r="N438" s="460">
        <f>F438+70</f>
        <v>3758.0950000000003</v>
      </c>
      <c r="O438" s="288">
        <f>+N438*$X$1</f>
        <v>3758.0950000000003</v>
      </c>
      <c r="P438" s="460">
        <f>F438+60</f>
        <v>3748.0950000000003</v>
      </c>
      <c r="Q438" s="288">
        <f>+P438*$X$1</f>
        <v>3748.0950000000003</v>
      </c>
      <c r="R438" s="460">
        <f>F438+50</f>
        <v>3738.0950000000003</v>
      </c>
      <c r="S438" s="288">
        <f t="shared" si="1144"/>
        <v>3738.0950000000003</v>
      </c>
      <c r="T438" s="102">
        <f>F438+44</f>
        <v>3732.0950000000003</v>
      </c>
      <c r="U438" s="305">
        <f t="shared" si="1145"/>
        <v>3732.0950000000003</v>
      </c>
      <c r="V438" s="102">
        <f>F438+38</f>
        <v>3726.0950000000003</v>
      </c>
      <c r="W438" s="305">
        <f>+V438*$X$1</f>
        <v>3726.0950000000003</v>
      </c>
      <c r="X438" s="677"/>
      <c r="Y438" s="694"/>
      <c r="Z438" s="694"/>
      <c r="AA438" s="679"/>
      <c r="AB438" s="404">
        <v>2503</v>
      </c>
    </row>
    <row r="439" spans="1:35" ht="12.6" customHeight="1" x14ac:dyDescent="0.2">
      <c r="A439" s="18"/>
      <c r="B439" s="683" t="s">
        <v>838</v>
      </c>
      <c r="C439" s="684"/>
      <c r="D439" s="684"/>
      <c r="E439" s="685"/>
      <c r="F439" s="287">
        <f>0.71*X2</f>
        <v>756.15</v>
      </c>
      <c r="G439" s="287">
        <f t="shared" ref="G439" si="1147">+F439*$X$1</f>
        <v>756.15</v>
      </c>
      <c r="H439" s="667">
        <f>F439+500</f>
        <v>1256.1500000000001</v>
      </c>
      <c r="I439" s="287">
        <f t="shared" ref="I439:I440" si="1148">+H439*$X$1</f>
        <v>1256.1500000000001</v>
      </c>
      <c r="J439" s="667">
        <f>F439+200</f>
        <v>956.15</v>
      </c>
      <c r="K439" s="287">
        <f>+J439*$X$1</f>
        <v>956.15</v>
      </c>
      <c r="L439" s="667">
        <f>F439+140</f>
        <v>896.15</v>
      </c>
      <c r="M439" s="287">
        <f t="shared" si="1143"/>
        <v>896.15</v>
      </c>
      <c r="N439" s="667">
        <f>F439+70</f>
        <v>826.15</v>
      </c>
      <c r="O439" s="287">
        <f>+N439*$X$1</f>
        <v>826.15</v>
      </c>
      <c r="P439" s="667">
        <f>F439+60</f>
        <v>816.15</v>
      </c>
      <c r="Q439" s="287">
        <f>+P439*$X$1</f>
        <v>816.15</v>
      </c>
      <c r="R439" s="667">
        <f>F439+50</f>
        <v>806.15</v>
      </c>
      <c r="S439" s="287">
        <f t="shared" si="1144"/>
        <v>806.15</v>
      </c>
      <c r="T439" s="103">
        <f>F439+44</f>
        <v>800.15</v>
      </c>
      <c r="U439" s="255">
        <f t="shared" si="1145"/>
        <v>800.15</v>
      </c>
      <c r="V439" s="103">
        <f>F439+38</f>
        <v>794.15</v>
      </c>
      <c r="W439" s="255">
        <f>+V439*$X$1</f>
        <v>794.15</v>
      </c>
      <c r="X439" s="677"/>
      <c r="Y439" s="694"/>
      <c r="Z439" s="694"/>
      <c r="AA439" s="679"/>
      <c r="AB439" s="404">
        <v>2504</v>
      </c>
    </row>
    <row r="440" spans="1:35" ht="12.6" customHeight="1" x14ac:dyDescent="0.2">
      <c r="A440" s="18"/>
      <c r="B440" s="680" t="s">
        <v>982</v>
      </c>
      <c r="C440" s="691"/>
      <c r="D440" s="691"/>
      <c r="E440" s="692"/>
      <c r="F440" s="288">
        <f>0.96*X2</f>
        <v>1022.4</v>
      </c>
      <c r="G440" s="288">
        <f>+F440*$X$1</f>
        <v>1022.4</v>
      </c>
      <c r="H440" s="460">
        <f>F440+500</f>
        <v>1522.4</v>
      </c>
      <c r="I440" s="288">
        <f t="shared" si="1148"/>
        <v>1522.4</v>
      </c>
      <c r="J440" s="460">
        <f>F440+200</f>
        <v>1222.4000000000001</v>
      </c>
      <c r="K440" s="288">
        <f>+J440*$X$1</f>
        <v>1222.4000000000001</v>
      </c>
      <c r="L440" s="460">
        <f>F440+140</f>
        <v>1162.4000000000001</v>
      </c>
      <c r="M440" s="288">
        <f t="shared" si="1143"/>
        <v>1162.4000000000001</v>
      </c>
      <c r="N440" s="460">
        <f>F440+70</f>
        <v>1092.4000000000001</v>
      </c>
      <c r="O440" s="288">
        <f>+N440*$X$1</f>
        <v>1092.4000000000001</v>
      </c>
      <c r="P440" s="460">
        <f>F440+60</f>
        <v>1082.4000000000001</v>
      </c>
      <c r="Q440" s="288">
        <f>+P440*$X$1</f>
        <v>1082.4000000000001</v>
      </c>
      <c r="R440" s="460">
        <f>F440+50</f>
        <v>1072.4000000000001</v>
      </c>
      <c r="S440" s="288">
        <f t="shared" si="1144"/>
        <v>1072.4000000000001</v>
      </c>
      <c r="T440" s="102">
        <f>F440+44</f>
        <v>1066.4000000000001</v>
      </c>
      <c r="U440" s="305">
        <f t="shared" si="1145"/>
        <v>1066.4000000000001</v>
      </c>
      <c r="V440" s="102">
        <f>F440+38</f>
        <v>1060.4000000000001</v>
      </c>
      <c r="W440" s="305">
        <f>+V440*$X$1</f>
        <v>1060.4000000000001</v>
      </c>
      <c r="X440" s="677"/>
      <c r="Y440" s="694"/>
      <c r="Z440" s="694"/>
      <c r="AA440" s="679"/>
      <c r="AB440" s="404">
        <v>2506</v>
      </c>
    </row>
    <row r="441" spans="1:35" ht="12.6" customHeight="1" x14ac:dyDescent="0.2">
      <c r="A441" s="18"/>
      <c r="B441" s="683" t="s">
        <v>492</v>
      </c>
      <c r="C441" s="737"/>
      <c r="D441" s="737"/>
      <c r="E441" s="738"/>
      <c r="F441" s="380">
        <f>3.69*X2</f>
        <v>3929.85</v>
      </c>
      <c r="G441" s="287">
        <f t="shared" ref="G441" si="1149">+F441*$X$1</f>
        <v>3929.85</v>
      </c>
      <c r="H441" s="667"/>
      <c r="I441" s="287"/>
      <c r="J441" s="667">
        <f>F441+200</f>
        <v>4129.8500000000004</v>
      </c>
      <c r="K441" s="287">
        <f>+J441*$X$1</f>
        <v>4129.8500000000004</v>
      </c>
      <c r="L441" s="667">
        <f>F441+140</f>
        <v>4069.85</v>
      </c>
      <c r="M441" s="287">
        <f t="shared" si="1143"/>
        <v>4069.85</v>
      </c>
      <c r="N441" s="667">
        <f>F441+70</f>
        <v>3999.85</v>
      </c>
      <c r="O441" s="287">
        <f>+N441*$X$1</f>
        <v>3999.85</v>
      </c>
      <c r="P441" s="667">
        <f>F441+60</f>
        <v>3989.85</v>
      </c>
      <c r="Q441" s="287">
        <f>+P441*$X$1</f>
        <v>3989.85</v>
      </c>
      <c r="R441" s="667">
        <f>F441+50</f>
        <v>3979.85</v>
      </c>
      <c r="S441" s="287">
        <f t="shared" si="1144"/>
        <v>3979.85</v>
      </c>
      <c r="T441" s="103">
        <f>F441+44</f>
        <v>3973.85</v>
      </c>
      <c r="U441" s="255">
        <f t="shared" si="1145"/>
        <v>3973.85</v>
      </c>
      <c r="V441" s="103">
        <f>F441+38</f>
        <v>3967.85</v>
      </c>
      <c r="W441" s="255">
        <f>+V441*$X$1</f>
        <v>3967.85</v>
      </c>
      <c r="X441" s="161"/>
      <c r="Y441" s="134"/>
      <c r="Z441" s="134"/>
      <c r="AA441" s="137"/>
      <c r="AB441" s="416">
        <v>3001</v>
      </c>
    </row>
    <row r="442" spans="1:35" ht="12.6" customHeight="1" x14ac:dyDescent="0.2">
      <c r="A442" s="104"/>
      <c r="B442" s="739" t="s">
        <v>797</v>
      </c>
      <c r="C442" s="749"/>
      <c r="D442" s="749"/>
      <c r="E442" s="749"/>
      <c r="F442" s="288">
        <v>3790</v>
      </c>
      <c r="G442" s="288">
        <f t="shared" ref="G442" si="1150">+F442*$X$1</f>
        <v>3790</v>
      </c>
      <c r="H442" s="280"/>
      <c r="I442" s="344"/>
      <c r="J442" s="460"/>
      <c r="K442" s="288"/>
      <c r="L442" s="460">
        <f>F442+1100</f>
        <v>4890</v>
      </c>
      <c r="M442" s="288">
        <f t="shared" si="1143"/>
        <v>4890</v>
      </c>
      <c r="N442" s="460">
        <f>F442+820</f>
        <v>4610</v>
      </c>
      <c r="O442" s="288">
        <f t="shared" ref="O442:O443" si="1151">+N442*$X$1</f>
        <v>4610</v>
      </c>
      <c r="P442" s="460">
        <f>F442+790</f>
        <v>4580</v>
      </c>
      <c r="Q442" s="288">
        <f t="shared" ref="Q442:Q443" si="1152">+P442*$X$1</f>
        <v>4580</v>
      </c>
      <c r="R442" s="460">
        <f>F442+750</f>
        <v>4540</v>
      </c>
      <c r="S442" s="288">
        <f t="shared" si="1144"/>
        <v>4540</v>
      </c>
      <c r="T442" s="460">
        <f>F442+720</f>
        <v>4510</v>
      </c>
      <c r="U442" s="288">
        <f t="shared" si="1145"/>
        <v>4510</v>
      </c>
      <c r="V442" s="460"/>
      <c r="W442" s="288"/>
      <c r="X442" s="213"/>
      <c r="Y442" s="215"/>
      <c r="Z442" s="215"/>
      <c r="AA442" s="214"/>
      <c r="AB442" s="404">
        <v>5003</v>
      </c>
      <c r="AC442" s="65"/>
    </row>
    <row r="443" spans="1:35" ht="12.6" customHeight="1" x14ac:dyDescent="0.2">
      <c r="A443" s="104"/>
      <c r="B443" s="700" t="s">
        <v>798</v>
      </c>
      <c r="C443" s="780"/>
      <c r="D443" s="780"/>
      <c r="E443" s="780"/>
      <c r="F443" s="287">
        <v>3790</v>
      </c>
      <c r="G443" s="287">
        <f t="shared" ref="G443" si="1153">+F443*$X$1</f>
        <v>3790</v>
      </c>
      <c r="H443" s="564">
        <f>F443+600</f>
        <v>4390</v>
      </c>
      <c r="I443" s="287">
        <f>+H443*$X$1</f>
        <v>4390</v>
      </c>
      <c r="J443" s="71">
        <f>F443+300</f>
        <v>4090</v>
      </c>
      <c r="K443" s="287">
        <f t="shared" ref="K443" si="1154">+J443*$X$1</f>
        <v>4090</v>
      </c>
      <c r="L443" s="564">
        <f>F443+250</f>
        <v>4040</v>
      </c>
      <c r="M443" s="287">
        <f t="shared" ref="M443" si="1155">+L443*$X$1</f>
        <v>4040</v>
      </c>
      <c r="N443" s="564">
        <f>F443+220</f>
        <v>4010</v>
      </c>
      <c r="O443" s="287">
        <f t="shared" si="1151"/>
        <v>4010</v>
      </c>
      <c r="P443" s="564">
        <f>F443+180</f>
        <v>3970</v>
      </c>
      <c r="Q443" s="287">
        <f t="shared" si="1152"/>
        <v>3970</v>
      </c>
      <c r="R443" s="564">
        <f>F443+150</f>
        <v>3940</v>
      </c>
      <c r="S443" s="287">
        <f t="shared" ref="S443" si="1156">+R443*$X$1</f>
        <v>3940</v>
      </c>
      <c r="T443" s="564">
        <f>F443+110</f>
        <v>3900</v>
      </c>
      <c r="U443" s="287">
        <f t="shared" ref="U443" si="1157">+T443*$X$1</f>
        <v>3900</v>
      </c>
      <c r="V443" s="564"/>
      <c r="W443" s="287"/>
      <c r="X443" s="435"/>
      <c r="Y443" s="433"/>
      <c r="Z443" s="433"/>
      <c r="AA443" s="434"/>
      <c r="AB443" s="404" t="s">
        <v>701</v>
      </c>
      <c r="AC443" s="65"/>
    </row>
    <row r="444" spans="1:35" ht="12.6" customHeight="1" x14ac:dyDescent="0.2">
      <c r="A444" s="18"/>
      <c r="B444" s="689" t="s">
        <v>533</v>
      </c>
      <c r="C444" s="690"/>
      <c r="D444" s="690"/>
      <c r="E444" s="690"/>
      <c r="F444" s="288">
        <v>4992</v>
      </c>
      <c r="G444" s="288">
        <f t="shared" ref="G444:G453" si="1158">+F444*$X$1</f>
        <v>4992</v>
      </c>
      <c r="H444" s="280"/>
      <c r="I444" s="344"/>
      <c r="J444" s="460"/>
      <c r="K444" s="288"/>
      <c r="L444" s="460">
        <f>F444+1300</f>
        <v>6292</v>
      </c>
      <c r="M444" s="288">
        <f t="shared" ref="M444" si="1159">+L444*$X$1</f>
        <v>6292</v>
      </c>
      <c r="N444" s="460">
        <f>F444+1000</f>
        <v>5992</v>
      </c>
      <c r="O444" s="288">
        <f t="shared" ref="O444" si="1160">+N444*$X$1</f>
        <v>5992</v>
      </c>
      <c r="P444" s="460">
        <f>F444+900</f>
        <v>5892</v>
      </c>
      <c r="Q444" s="288">
        <f t="shared" ref="Q444" si="1161">+P444*$X$1</f>
        <v>5892</v>
      </c>
      <c r="R444" s="460">
        <f>F444+860</f>
        <v>5852</v>
      </c>
      <c r="S444" s="288">
        <f>+R444*$X$1</f>
        <v>5852</v>
      </c>
      <c r="T444" s="460">
        <f>F444+830</f>
        <v>5822</v>
      </c>
      <c r="U444" s="288">
        <f>+T444*$X$1</f>
        <v>5822</v>
      </c>
      <c r="V444" s="460"/>
      <c r="W444" s="288"/>
      <c r="X444" s="783"/>
      <c r="Y444" s="784"/>
      <c r="Z444" s="784"/>
      <c r="AA444" s="785"/>
      <c r="AB444" s="192">
        <v>5008</v>
      </c>
      <c r="AC444" s="38"/>
      <c r="AD444" s="38"/>
      <c r="AE444" s="38"/>
      <c r="AF444" s="38"/>
      <c r="AG444" s="38"/>
      <c r="AH444" s="38"/>
      <c r="AI444" s="38"/>
    </row>
    <row r="445" spans="1:35" ht="12.6" customHeight="1" x14ac:dyDescent="0.2">
      <c r="A445" s="18"/>
      <c r="B445" s="683" t="s">
        <v>534</v>
      </c>
      <c r="C445" s="684"/>
      <c r="D445" s="684"/>
      <c r="E445" s="685"/>
      <c r="F445" s="287">
        <v>6786</v>
      </c>
      <c r="G445" s="287">
        <f t="shared" si="1158"/>
        <v>6786</v>
      </c>
      <c r="H445" s="281"/>
      <c r="I445" s="343"/>
      <c r="J445" s="564"/>
      <c r="K445" s="287"/>
      <c r="L445" s="564">
        <f>F445+1300</f>
        <v>8086</v>
      </c>
      <c r="M445" s="287">
        <f t="shared" ref="M445:M447" si="1162">+L445*$X$1</f>
        <v>8086</v>
      </c>
      <c r="N445" s="564">
        <f>F445+1000</f>
        <v>7786</v>
      </c>
      <c r="O445" s="287">
        <f t="shared" ref="O445:O447" si="1163">+N445*$X$1</f>
        <v>7786</v>
      </c>
      <c r="P445" s="564">
        <f>F445+900</f>
        <v>7686</v>
      </c>
      <c r="Q445" s="287">
        <f t="shared" ref="Q445:Q447" si="1164">+P445*$X$1</f>
        <v>7686</v>
      </c>
      <c r="R445" s="564">
        <f>F445+860</f>
        <v>7646</v>
      </c>
      <c r="S445" s="287">
        <f>+R445*$X$1</f>
        <v>7646</v>
      </c>
      <c r="T445" s="564">
        <f>F445+830</f>
        <v>7616</v>
      </c>
      <c r="U445" s="287">
        <f>+T445*$X$1</f>
        <v>7616</v>
      </c>
      <c r="V445" s="564"/>
      <c r="W445" s="287"/>
      <c r="X445" s="783"/>
      <c r="Y445" s="784"/>
      <c r="Z445" s="784"/>
      <c r="AA445" s="785"/>
      <c r="AB445" s="416">
        <v>5010</v>
      </c>
      <c r="AC445" s="38"/>
      <c r="AD445" s="38"/>
      <c r="AE445" s="38"/>
      <c r="AF445" s="38"/>
      <c r="AG445" s="38"/>
      <c r="AH445" s="38"/>
      <c r="AI445" s="38"/>
    </row>
    <row r="446" spans="1:35" ht="12.6" customHeight="1" x14ac:dyDescent="0.2">
      <c r="A446" s="18"/>
      <c r="B446" s="680" t="s">
        <v>535</v>
      </c>
      <c r="C446" s="691"/>
      <c r="D446" s="691"/>
      <c r="E446" s="692"/>
      <c r="F446" s="288">
        <v>3783</v>
      </c>
      <c r="G446" s="288">
        <f t="shared" ref="G446" si="1165">+F446*$X$1</f>
        <v>3783</v>
      </c>
      <c r="H446" s="280"/>
      <c r="I446" s="344"/>
      <c r="J446" s="460"/>
      <c r="K446" s="288"/>
      <c r="L446" s="460">
        <f>F446+1300</f>
        <v>5083</v>
      </c>
      <c r="M446" s="288">
        <f t="shared" si="1162"/>
        <v>5083</v>
      </c>
      <c r="N446" s="460">
        <f>F446+1000</f>
        <v>4783</v>
      </c>
      <c r="O446" s="288">
        <f t="shared" si="1163"/>
        <v>4783</v>
      </c>
      <c r="P446" s="460">
        <f>F446+900</f>
        <v>4683</v>
      </c>
      <c r="Q446" s="288">
        <f t="shared" si="1164"/>
        <v>4683</v>
      </c>
      <c r="R446" s="460">
        <f>F446+860</f>
        <v>4643</v>
      </c>
      <c r="S446" s="288">
        <f>+R446*$X$1</f>
        <v>4643</v>
      </c>
      <c r="T446" s="460">
        <f>F446+830</f>
        <v>4613</v>
      </c>
      <c r="U446" s="288">
        <f>+T446*$X$1</f>
        <v>4613</v>
      </c>
      <c r="V446" s="460"/>
      <c r="W446" s="288"/>
      <c r="X446" s="783"/>
      <c r="Y446" s="784"/>
      <c r="Z446" s="784"/>
      <c r="AA446" s="785"/>
      <c r="AB446" s="416"/>
      <c r="AC446" s="38"/>
      <c r="AD446" s="38"/>
      <c r="AE446" s="38"/>
      <c r="AF446" s="38"/>
      <c r="AG446" s="38"/>
      <c r="AH446" s="38"/>
      <c r="AI446" s="38"/>
    </row>
    <row r="447" spans="1:35" ht="12.6" customHeight="1" x14ac:dyDescent="0.2">
      <c r="A447" s="18"/>
      <c r="B447" s="683" t="s">
        <v>536</v>
      </c>
      <c r="C447" s="684"/>
      <c r="D447" s="684"/>
      <c r="E447" s="685"/>
      <c r="F447" s="287">
        <v>5616</v>
      </c>
      <c r="G447" s="287">
        <f t="shared" ref="G447:G450" si="1166">+F447*$X$1</f>
        <v>5616</v>
      </c>
      <c r="H447" s="281"/>
      <c r="I447" s="343"/>
      <c r="J447" s="564"/>
      <c r="K447" s="287"/>
      <c r="L447" s="564">
        <f>F447+1300</f>
        <v>6916</v>
      </c>
      <c r="M447" s="287">
        <f t="shared" si="1162"/>
        <v>6916</v>
      </c>
      <c r="N447" s="564">
        <f>F447+1000</f>
        <v>6616</v>
      </c>
      <c r="O447" s="287">
        <f t="shared" si="1163"/>
        <v>6616</v>
      </c>
      <c r="P447" s="564">
        <f>F447+900</f>
        <v>6516</v>
      </c>
      <c r="Q447" s="287">
        <f t="shared" si="1164"/>
        <v>6516</v>
      </c>
      <c r="R447" s="564">
        <f>F447+860</f>
        <v>6476</v>
      </c>
      <c r="S447" s="287">
        <f>+R447*$X$1</f>
        <v>6476</v>
      </c>
      <c r="T447" s="564">
        <f>F447+830</f>
        <v>6446</v>
      </c>
      <c r="U447" s="287">
        <f>+T447*$X$1</f>
        <v>6446</v>
      </c>
      <c r="V447" s="564"/>
      <c r="W447" s="287"/>
      <c r="X447" s="783"/>
      <c r="Y447" s="784"/>
      <c r="Z447" s="784"/>
      <c r="AA447" s="785"/>
      <c r="AB447" s="416"/>
      <c r="AC447" s="38"/>
      <c r="AD447" s="38"/>
      <c r="AE447" s="38"/>
      <c r="AF447" s="38"/>
      <c r="AG447" s="38"/>
      <c r="AH447" s="38"/>
      <c r="AI447" s="38"/>
    </row>
    <row r="448" spans="1:35" ht="12.6" customHeight="1" x14ac:dyDescent="0.2">
      <c r="A448" s="18"/>
      <c r="B448" s="689" t="s">
        <v>841</v>
      </c>
      <c r="C448" s="704"/>
      <c r="D448" s="704"/>
      <c r="E448" s="704"/>
      <c r="F448" s="329">
        <v>2100</v>
      </c>
      <c r="G448" s="288">
        <f t="shared" si="1166"/>
        <v>2100</v>
      </c>
      <c r="H448" s="280"/>
      <c r="I448" s="344"/>
      <c r="J448" s="460">
        <f>F448+200</f>
        <v>2300</v>
      </c>
      <c r="K448" s="288">
        <f t="shared" ref="K448" si="1167">+J448*$X$1</f>
        <v>2300</v>
      </c>
      <c r="L448" s="460">
        <f>F448+130</f>
        <v>2230</v>
      </c>
      <c r="M448" s="288">
        <f t="shared" ref="M448" si="1168">+L448*$X$1</f>
        <v>2230</v>
      </c>
      <c r="N448" s="460">
        <f>F448+70</f>
        <v>2170</v>
      </c>
      <c r="O448" s="288">
        <f t="shared" ref="O448" si="1169">+N448*$X$1</f>
        <v>2170</v>
      </c>
      <c r="P448" s="460">
        <f>F448+60</f>
        <v>2160</v>
      </c>
      <c r="Q448" s="288">
        <f t="shared" ref="Q448:Q449" si="1170">+P448*$X$1</f>
        <v>2160</v>
      </c>
      <c r="R448" s="460">
        <f>F448+52</f>
        <v>2152</v>
      </c>
      <c r="S448" s="288">
        <f t="shared" ref="S448" si="1171">+R448*$X$1</f>
        <v>2152</v>
      </c>
      <c r="T448" s="102">
        <f>F448+45</f>
        <v>2145</v>
      </c>
      <c r="U448" s="305">
        <f t="shared" ref="U448" si="1172">+T448*$X$1</f>
        <v>2145</v>
      </c>
      <c r="V448" s="102">
        <f>F448+40</f>
        <v>2140</v>
      </c>
      <c r="W448" s="305">
        <f t="shared" ref="W448" si="1173">+V448*$X$1</f>
        <v>2140</v>
      </c>
      <c r="X448" s="777"/>
      <c r="Y448" s="778"/>
      <c r="Z448" s="778"/>
      <c r="AA448" s="779"/>
      <c r="AB448" s="416">
        <v>11604</v>
      </c>
    </row>
    <row r="449" spans="1:29" ht="12.6" customHeight="1" x14ac:dyDescent="0.2">
      <c r="A449" s="18"/>
      <c r="B449" s="711" t="s">
        <v>532</v>
      </c>
      <c r="C449" s="744"/>
      <c r="D449" s="744"/>
      <c r="E449" s="744"/>
      <c r="F449" s="330">
        <v>2100</v>
      </c>
      <c r="G449" s="287">
        <f t="shared" si="1158"/>
        <v>2100</v>
      </c>
      <c r="H449" s="281"/>
      <c r="I449" s="343"/>
      <c r="J449" s="564">
        <f>F449+300</f>
        <v>2400</v>
      </c>
      <c r="K449" s="287">
        <f t="shared" ref="K449" si="1174">+J449*$X$1</f>
        <v>2400</v>
      </c>
      <c r="L449" s="564">
        <f>F449+240</f>
        <v>2340</v>
      </c>
      <c r="M449" s="287">
        <f>+L449*$X$1</f>
        <v>2340</v>
      </c>
      <c r="N449" s="564">
        <f>F449+204</f>
        <v>2304</v>
      </c>
      <c r="O449" s="287">
        <f>+N449*$X$1</f>
        <v>2304</v>
      </c>
      <c r="P449" s="564">
        <f>F449+170</f>
        <v>2270</v>
      </c>
      <c r="Q449" s="287">
        <f t="shared" si="1170"/>
        <v>2270</v>
      </c>
      <c r="R449" s="564">
        <f>F449+145</f>
        <v>2245</v>
      </c>
      <c r="S449" s="287">
        <f>+R449*$X$1</f>
        <v>2245</v>
      </c>
      <c r="T449" s="564">
        <f>F449+120</f>
        <v>2220</v>
      </c>
      <c r="U449" s="287">
        <f t="shared" ref="U449" si="1175">+T449*$X$1</f>
        <v>2220</v>
      </c>
      <c r="V449" s="564">
        <f>F449+110</f>
        <v>2210</v>
      </c>
      <c r="W449" s="287">
        <f>+V449*$X$1</f>
        <v>2210</v>
      </c>
      <c r="X449" s="777"/>
      <c r="Y449" s="778"/>
      <c r="Z449" s="778"/>
      <c r="AA449" s="779"/>
      <c r="AB449" s="416">
        <v>11605</v>
      </c>
    </row>
    <row r="450" spans="1:29" ht="12.6" customHeight="1" x14ac:dyDescent="0.2">
      <c r="A450" s="18"/>
      <c r="B450" s="911" t="s">
        <v>840</v>
      </c>
      <c r="C450" s="912"/>
      <c r="D450" s="912"/>
      <c r="E450" s="912"/>
      <c r="F450" s="329">
        <v>950</v>
      </c>
      <c r="G450" s="288">
        <f t="shared" si="1166"/>
        <v>950</v>
      </c>
      <c r="H450" s="280"/>
      <c r="I450" s="280"/>
      <c r="J450" s="460"/>
      <c r="K450" s="288"/>
      <c r="L450" s="460"/>
      <c r="M450" s="288"/>
      <c r="N450" s="460"/>
      <c r="O450" s="288"/>
      <c r="P450" s="460"/>
      <c r="Q450" s="288"/>
      <c r="R450" s="460"/>
      <c r="S450" s="288"/>
      <c r="T450" s="102"/>
      <c r="U450" s="305"/>
      <c r="V450" s="102"/>
      <c r="W450" s="305"/>
      <c r="X450" s="777"/>
      <c r="Y450" s="778"/>
      <c r="Z450" s="778"/>
      <c r="AA450" s="779"/>
      <c r="AB450" s="419"/>
    </row>
    <row r="451" spans="1:29" ht="12.6" customHeight="1" x14ac:dyDescent="0.2">
      <c r="A451" s="18"/>
      <c r="B451" s="711" t="s">
        <v>255</v>
      </c>
      <c r="C451" s="744"/>
      <c r="D451" s="744"/>
      <c r="E451" s="744"/>
      <c r="F451" s="287">
        <v>1090</v>
      </c>
      <c r="G451" s="287">
        <f t="shared" si="1158"/>
        <v>1090</v>
      </c>
      <c r="H451" s="281"/>
      <c r="I451" s="281"/>
      <c r="J451" s="564">
        <f>F451+200</f>
        <v>1290</v>
      </c>
      <c r="K451" s="287">
        <f t="shared" ref="K451" si="1176">+J451*$X$1</f>
        <v>1290</v>
      </c>
      <c r="L451" s="564">
        <f>F451+130</f>
        <v>1220</v>
      </c>
      <c r="M451" s="287">
        <f t="shared" ref="M451" si="1177">+L451*$X$1</f>
        <v>1220</v>
      </c>
      <c r="N451" s="564">
        <f>F451+70</f>
        <v>1160</v>
      </c>
      <c r="O451" s="287">
        <f t="shared" ref="O451" si="1178">+N451*$X$1</f>
        <v>1160</v>
      </c>
      <c r="P451" s="564">
        <f>F451+60</f>
        <v>1150</v>
      </c>
      <c r="Q451" s="287">
        <f t="shared" ref="Q451" si="1179">+P451*$X$1</f>
        <v>1150</v>
      </c>
      <c r="R451" s="564">
        <f>F451+52</f>
        <v>1142</v>
      </c>
      <c r="S451" s="287">
        <f t="shared" ref="S451" si="1180">+R451*$X$1</f>
        <v>1142</v>
      </c>
      <c r="T451" s="103">
        <f>F451+45</f>
        <v>1135</v>
      </c>
      <c r="U451" s="255">
        <f t="shared" ref="U451" si="1181">+T451*$X$1</f>
        <v>1135</v>
      </c>
      <c r="V451" s="103">
        <f>F451+40</f>
        <v>1130</v>
      </c>
      <c r="W451" s="255">
        <f t="shared" ref="W451" si="1182">+V451*$X$1</f>
        <v>1130</v>
      </c>
      <c r="X451" s="150"/>
      <c r="Y451" s="131"/>
      <c r="Z451" s="131"/>
      <c r="AA451" s="131"/>
      <c r="AB451" s="420"/>
    </row>
    <row r="452" spans="1:29" ht="12.6" customHeight="1" x14ac:dyDescent="0.2">
      <c r="A452" s="104"/>
      <c r="B452" s="721" t="s">
        <v>256</v>
      </c>
      <c r="C452" s="913"/>
      <c r="D452" s="913"/>
      <c r="E452" s="913"/>
      <c r="F452" s="546">
        <v>60</v>
      </c>
      <c r="G452" s="546">
        <f t="shared" si="1158"/>
        <v>60</v>
      </c>
      <c r="H452" s="548"/>
      <c r="I452" s="548"/>
      <c r="J452" s="548"/>
      <c r="K452" s="548"/>
      <c r="L452" s="548"/>
      <c r="M452" s="548"/>
      <c r="N452" s="548"/>
      <c r="O452" s="546"/>
      <c r="P452" s="548"/>
      <c r="Q452" s="546"/>
      <c r="R452" s="548"/>
      <c r="S452" s="546"/>
      <c r="T452" s="548"/>
      <c r="U452" s="546"/>
      <c r="V452" s="548"/>
      <c r="W452" s="546"/>
      <c r="X452" s="150"/>
      <c r="Y452" s="131"/>
      <c r="Z452" s="131"/>
      <c r="AA452" s="131"/>
      <c r="AB452" s="192">
        <v>11612</v>
      </c>
    </row>
    <row r="453" spans="1:29" ht="12.6" customHeight="1" x14ac:dyDescent="0.2">
      <c r="A453" s="18"/>
      <c r="B453" s="680" t="s">
        <v>834</v>
      </c>
      <c r="C453" s="691"/>
      <c r="D453" s="691"/>
      <c r="E453" s="692"/>
      <c r="F453" s="381">
        <f>1.4*X2</f>
        <v>1491</v>
      </c>
      <c r="G453" s="288">
        <f t="shared" si="1158"/>
        <v>1491</v>
      </c>
      <c r="H453" s="460">
        <f t="shared" ref="H453:H459" si="1183">F453+500</f>
        <v>1991</v>
      </c>
      <c r="I453" s="288">
        <f t="shared" ref="I453:I454" si="1184">+H453*$X$1</f>
        <v>1991</v>
      </c>
      <c r="J453" s="460">
        <f t="shared" ref="J453:J459" si="1185">F453+200</f>
        <v>1691</v>
      </c>
      <c r="K453" s="288">
        <f t="shared" ref="K453:K454" si="1186">+J453*$X$1</f>
        <v>1691</v>
      </c>
      <c r="L453" s="460">
        <f t="shared" ref="L453:L459" si="1187">F453+150</f>
        <v>1641</v>
      </c>
      <c r="M453" s="288">
        <f t="shared" ref="M453:M454" si="1188">+L453*$X$1</f>
        <v>1641</v>
      </c>
      <c r="N453" s="460">
        <f t="shared" ref="N453:N459" si="1189">F453+110</f>
        <v>1601</v>
      </c>
      <c r="O453" s="288">
        <f t="shared" ref="O453:O454" si="1190">+N453*$X$1</f>
        <v>1601</v>
      </c>
      <c r="P453" s="460">
        <f t="shared" ref="P453:P459" si="1191">F453+85</f>
        <v>1576</v>
      </c>
      <c r="Q453" s="288">
        <f t="shared" ref="Q453:Q454" si="1192">+P453*$X$1</f>
        <v>1576</v>
      </c>
      <c r="R453" s="460">
        <f t="shared" ref="R453:R459" si="1193">F453+65</f>
        <v>1556</v>
      </c>
      <c r="S453" s="288">
        <f t="shared" ref="S453:S454" si="1194">+R453*$X$1</f>
        <v>1556</v>
      </c>
      <c r="T453" s="460">
        <f t="shared" ref="T453:T459" si="1195">F453+55</f>
        <v>1546</v>
      </c>
      <c r="U453" s="288">
        <f t="shared" ref="U453:U454" si="1196">+T453*$X$1</f>
        <v>1546</v>
      </c>
      <c r="V453" s="460">
        <f t="shared" ref="V453:V459" si="1197">F453+43</f>
        <v>1534</v>
      </c>
      <c r="W453" s="288">
        <f t="shared" ref="W453:W454" si="1198">+V453*$X$1</f>
        <v>1534</v>
      </c>
      <c r="X453" s="694"/>
      <c r="Y453" s="678"/>
      <c r="Z453" s="678"/>
      <c r="AA453" s="679"/>
      <c r="AB453" s="192" t="s">
        <v>835</v>
      </c>
    </row>
    <row r="454" spans="1:29" ht="12.6" customHeight="1" x14ac:dyDescent="0.2">
      <c r="A454" s="18"/>
      <c r="B454" s="683" t="s">
        <v>833</v>
      </c>
      <c r="C454" s="684"/>
      <c r="D454" s="684"/>
      <c r="E454" s="685"/>
      <c r="F454" s="380">
        <f>1.29*X2</f>
        <v>1373.8500000000001</v>
      </c>
      <c r="G454" s="287">
        <f t="shared" ref="G454" si="1199">+F454*$X$1</f>
        <v>1373.8500000000001</v>
      </c>
      <c r="H454" s="655">
        <f t="shared" si="1183"/>
        <v>1873.8500000000001</v>
      </c>
      <c r="I454" s="287">
        <f t="shared" si="1184"/>
        <v>1873.8500000000001</v>
      </c>
      <c r="J454" s="655">
        <f t="shared" si="1185"/>
        <v>1573.8500000000001</v>
      </c>
      <c r="K454" s="287">
        <f t="shared" si="1186"/>
        <v>1573.8500000000001</v>
      </c>
      <c r="L454" s="655">
        <f t="shared" si="1187"/>
        <v>1523.8500000000001</v>
      </c>
      <c r="M454" s="287">
        <f t="shared" si="1188"/>
        <v>1523.8500000000001</v>
      </c>
      <c r="N454" s="655">
        <f t="shared" si="1189"/>
        <v>1483.8500000000001</v>
      </c>
      <c r="O454" s="287">
        <f t="shared" si="1190"/>
        <v>1483.8500000000001</v>
      </c>
      <c r="P454" s="655">
        <f t="shared" si="1191"/>
        <v>1458.8500000000001</v>
      </c>
      <c r="Q454" s="287">
        <f t="shared" si="1192"/>
        <v>1458.8500000000001</v>
      </c>
      <c r="R454" s="655">
        <f t="shared" si="1193"/>
        <v>1438.8500000000001</v>
      </c>
      <c r="S454" s="287">
        <f t="shared" si="1194"/>
        <v>1438.8500000000001</v>
      </c>
      <c r="T454" s="655">
        <f t="shared" si="1195"/>
        <v>1428.8500000000001</v>
      </c>
      <c r="U454" s="287">
        <f t="shared" si="1196"/>
        <v>1428.8500000000001</v>
      </c>
      <c r="V454" s="655">
        <f t="shared" si="1197"/>
        <v>1416.8500000000001</v>
      </c>
      <c r="W454" s="287">
        <f t="shared" si="1198"/>
        <v>1416.8500000000001</v>
      </c>
      <c r="X454" s="694"/>
      <c r="Y454" s="678"/>
      <c r="Z454" s="678"/>
      <c r="AA454" s="679"/>
      <c r="AB454" s="192" t="s">
        <v>518</v>
      </c>
    </row>
    <row r="455" spans="1:29" ht="12.6" customHeight="1" x14ac:dyDescent="0.2">
      <c r="A455" s="104"/>
      <c r="B455" s="739" t="s">
        <v>909</v>
      </c>
      <c r="C455" s="749"/>
      <c r="D455" s="749"/>
      <c r="E455" s="749"/>
      <c r="F455" s="381">
        <f>1.882*X2</f>
        <v>2004.33</v>
      </c>
      <c r="G455" s="288">
        <f>+F455*$X$1</f>
        <v>2004.33</v>
      </c>
      <c r="H455" s="460">
        <f t="shared" si="1183"/>
        <v>2504.33</v>
      </c>
      <c r="I455" s="288">
        <f t="shared" ref="I455" si="1200">+H455*$X$1</f>
        <v>2504.33</v>
      </c>
      <c r="J455" s="460">
        <f t="shared" si="1185"/>
        <v>2204.33</v>
      </c>
      <c r="K455" s="288">
        <f t="shared" ref="K455" si="1201">+J455*$X$1</f>
        <v>2204.33</v>
      </c>
      <c r="L455" s="460">
        <f t="shared" si="1187"/>
        <v>2154.33</v>
      </c>
      <c r="M455" s="288">
        <f t="shared" ref="M455" si="1202">+L455*$X$1</f>
        <v>2154.33</v>
      </c>
      <c r="N455" s="460">
        <f t="shared" si="1189"/>
        <v>2114.33</v>
      </c>
      <c r="O455" s="288">
        <f t="shared" ref="O455" si="1203">+N455*$X$1</f>
        <v>2114.33</v>
      </c>
      <c r="P455" s="460">
        <f t="shared" si="1191"/>
        <v>2089.33</v>
      </c>
      <c r="Q455" s="288">
        <f t="shared" ref="Q455" si="1204">+P455*$X$1</f>
        <v>2089.33</v>
      </c>
      <c r="R455" s="460">
        <f t="shared" si="1193"/>
        <v>2069.33</v>
      </c>
      <c r="S455" s="288">
        <f t="shared" ref="S455" si="1205">+R455*$X$1</f>
        <v>2069.33</v>
      </c>
      <c r="T455" s="460">
        <f t="shared" si="1195"/>
        <v>2059.33</v>
      </c>
      <c r="U455" s="288">
        <f t="shared" ref="U455" si="1206">+T455*$X$1</f>
        <v>2059.33</v>
      </c>
      <c r="V455" s="460">
        <f t="shared" si="1197"/>
        <v>2047.33</v>
      </c>
      <c r="W455" s="288">
        <f t="shared" ref="W455" si="1207">+V455*$X$1</f>
        <v>2047.33</v>
      </c>
      <c r="X455" s="694"/>
      <c r="Y455" s="694"/>
      <c r="Z455" s="694"/>
      <c r="AA455" s="694"/>
      <c r="AB455" s="404" t="s">
        <v>910</v>
      </c>
      <c r="AC455" s="65"/>
    </row>
    <row r="456" spans="1:29" ht="12.6" customHeight="1" x14ac:dyDescent="0.2">
      <c r="A456" s="104"/>
      <c r="B456" s="700" t="s">
        <v>663</v>
      </c>
      <c r="C456" s="780"/>
      <c r="D456" s="780"/>
      <c r="E456" s="780"/>
      <c r="F456" s="380">
        <f>4.1*X2</f>
        <v>4366.5</v>
      </c>
      <c r="G456" s="287">
        <f>+F456*$X$1</f>
        <v>4366.5</v>
      </c>
      <c r="H456" s="605">
        <f t="shared" si="1183"/>
        <v>4866.5</v>
      </c>
      <c r="I456" s="287">
        <f t="shared" ref="I456:I459" si="1208">+H456*$X$1</f>
        <v>4866.5</v>
      </c>
      <c r="J456" s="605">
        <f t="shared" si="1185"/>
        <v>4566.5</v>
      </c>
      <c r="K456" s="287">
        <f t="shared" ref="K456:K459" si="1209">+J456*$X$1</f>
        <v>4566.5</v>
      </c>
      <c r="L456" s="605">
        <f t="shared" si="1187"/>
        <v>4516.5</v>
      </c>
      <c r="M456" s="287">
        <f t="shared" ref="M456:M459" si="1210">+L456*$X$1</f>
        <v>4516.5</v>
      </c>
      <c r="N456" s="605">
        <f t="shared" si="1189"/>
        <v>4476.5</v>
      </c>
      <c r="O456" s="287">
        <f t="shared" ref="O456:O459" si="1211">+N456*$X$1</f>
        <v>4476.5</v>
      </c>
      <c r="P456" s="605">
        <f t="shared" si="1191"/>
        <v>4451.5</v>
      </c>
      <c r="Q456" s="287">
        <f t="shared" ref="Q456:Q459" si="1212">+P456*$X$1</f>
        <v>4451.5</v>
      </c>
      <c r="R456" s="605">
        <f t="shared" si="1193"/>
        <v>4431.5</v>
      </c>
      <c r="S456" s="287">
        <f t="shared" ref="S456:S459" si="1213">+R456*$X$1</f>
        <v>4431.5</v>
      </c>
      <c r="T456" s="605">
        <f t="shared" si="1195"/>
        <v>4421.5</v>
      </c>
      <c r="U456" s="287">
        <f t="shared" ref="U456:U459" si="1214">+T456*$X$1</f>
        <v>4421.5</v>
      </c>
      <c r="V456" s="605">
        <f t="shared" si="1197"/>
        <v>4409.5</v>
      </c>
      <c r="W456" s="287">
        <f t="shared" ref="W456:W459" si="1215">+V456*$X$1</f>
        <v>4409.5</v>
      </c>
      <c r="X456" s="694"/>
      <c r="Y456" s="694"/>
      <c r="Z456" s="694"/>
      <c r="AA456" s="694"/>
      <c r="AB456" s="404" t="s">
        <v>662</v>
      </c>
      <c r="AC456" s="65"/>
    </row>
    <row r="457" spans="1:29" ht="12.6" customHeight="1" x14ac:dyDescent="0.2">
      <c r="A457" s="104"/>
      <c r="B457" s="739" t="s">
        <v>655</v>
      </c>
      <c r="C457" s="749"/>
      <c r="D457" s="749"/>
      <c r="E457" s="749"/>
      <c r="F457" s="381">
        <f>4.836*X2</f>
        <v>5150.34</v>
      </c>
      <c r="G457" s="288">
        <f t="shared" ref="G457:G459" si="1216">+F457*$X$1</f>
        <v>5150.34</v>
      </c>
      <c r="H457" s="460">
        <f t="shared" si="1183"/>
        <v>5650.34</v>
      </c>
      <c r="I457" s="288">
        <f t="shared" si="1208"/>
        <v>5650.34</v>
      </c>
      <c r="J457" s="460">
        <f t="shared" si="1185"/>
        <v>5350.34</v>
      </c>
      <c r="K457" s="288">
        <f t="shared" si="1209"/>
        <v>5350.34</v>
      </c>
      <c r="L457" s="460">
        <f t="shared" si="1187"/>
        <v>5300.34</v>
      </c>
      <c r="M457" s="288">
        <f t="shared" si="1210"/>
        <v>5300.34</v>
      </c>
      <c r="N457" s="460">
        <f t="shared" si="1189"/>
        <v>5260.34</v>
      </c>
      <c r="O457" s="288">
        <f t="shared" si="1211"/>
        <v>5260.34</v>
      </c>
      <c r="P457" s="460">
        <f t="shared" si="1191"/>
        <v>5235.34</v>
      </c>
      <c r="Q457" s="288">
        <f t="shared" si="1212"/>
        <v>5235.34</v>
      </c>
      <c r="R457" s="460">
        <f t="shared" si="1193"/>
        <v>5215.34</v>
      </c>
      <c r="S457" s="288">
        <f t="shared" si="1213"/>
        <v>5215.34</v>
      </c>
      <c r="T457" s="460">
        <f t="shared" si="1195"/>
        <v>5205.34</v>
      </c>
      <c r="U457" s="288">
        <f t="shared" si="1214"/>
        <v>5205.34</v>
      </c>
      <c r="V457" s="460">
        <f t="shared" si="1197"/>
        <v>5193.34</v>
      </c>
      <c r="W457" s="288">
        <f t="shared" si="1215"/>
        <v>5193.34</v>
      </c>
      <c r="X457" s="694"/>
      <c r="Y457" s="694"/>
      <c r="Z457" s="694"/>
      <c r="AA457" s="694"/>
      <c r="AB457" s="404" t="s">
        <v>654</v>
      </c>
      <c r="AC457" s="65"/>
    </row>
    <row r="458" spans="1:29" ht="12.6" customHeight="1" x14ac:dyDescent="0.2">
      <c r="A458" s="104"/>
      <c r="B458" s="700" t="s">
        <v>658</v>
      </c>
      <c r="C458" s="780"/>
      <c r="D458" s="780"/>
      <c r="E458" s="780"/>
      <c r="F458" s="380">
        <f>4.07*X2</f>
        <v>4334.55</v>
      </c>
      <c r="G458" s="287">
        <f t="shared" si="1216"/>
        <v>4334.55</v>
      </c>
      <c r="H458" s="605">
        <f t="shared" si="1183"/>
        <v>4834.55</v>
      </c>
      <c r="I458" s="287">
        <f t="shared" si="1208"/>
        <v>4834.55</v>
      </c>
      <c r="J458" s="605">
        <f t="shared" si="1185"/>
        <v>4534.55</v>
      </c>
      <c r="K458" s="287">
        <f t="shared" si="1209"/>
        <v>4534.55</v>
      </c>
      <c r="L458" s="605">
        <f t="shared" si="1187"/>
        <v>4484.55</v>
      </c>
      <c r="M458" s="287">
        <f t="shared" si="1210"/>
        <v>4484.55</v>
      </c>
      <c r="N458" s="605">
        <f t="shared" si="1189"/>
        <v>4444.55</v>
      </c>
      <c r="O458" s="287">
        <f t="shared" si="1211"/>
        <v>4444.55</v>
      </c>
      <c r="P458" s="605">
        <f t="shared" si="1191"/>
        <v>4419.55</v>
      </c>
      <c r="Q458" s="287">
        <f t="shared" si="1212"/>
        <v>4419.55</v>
      </c>
      <c r="R458" s="605">
        <f t="shared" si="1193"/>
        <v>4399.55</v>
      </c>
      <c r="S458" s="287">
        <f t="shared" si="1213"/>
        <v>4399.55</v>
      </c>
      <c r="T458" s="605">
        <f t="shared" si="1195"/>
        <v>4389.55</v>
      </c>
      <c r="U458" s="287">
        <f t="shared" si="1214"/>
        <v>4389.55</v>
      </c>
      <c r="V458" s="605">
        <f t="shared" si="1197"/>
        <v>4377.55</v>
      </c>
      <c r="W458" s="287">
        <f t="shared" si="1215"/>
        <v>4377.55</v>
      </c>
      <c r="X458" s="694"/>
      <c r="Y458" s="694"/>
      <c r="Z458" s="694"/>
      <c r="AA458" s="694"/>
      <c r="AB458" s="404" t="s">
        <v>656</v>
      </c>
      <c r="AC458" s="65"/>
    </row>
    <row r="459" spans="1:29" ht="12.6" customHeight="1" x14ac:dyDescent="0.2">
      <c r="A459" s="104"/>
      <c r="B459" s="739" t="s">
        <v>659</v>
      </c>
      <c r="C459" s="749"/>
      <c r="D459" s="749"/>
      <c r="E459" s="749"/>
      <c r="F459" s="381">
        <f>4.07*X2</f>
        <v>4334.55</v>
      </c>
      <c r="G459" s="288">
        <f t="shared" si="1216"/>
        <v>4334.55</v>
      </c>
      <c r="H459" s="460">
        <f t="shared" si="1183"/>
        <v>4834.55</v>
      </c>
      <c r="I459" s="288">
        <f t="shared" si="1208"/>
        <v>4834.55</v>
      </c>
      <c r="J459" s="460">
        <f t="shared" si="1185"/>
        <v>4534.55</v>
      </c>
      <c r="K459" s="288">
        <f t="shared" si="1209"/>
        <v>4534.55</v>
      </c>
      <c r="L459" s="460">
        <f t="shared" si="1187"/>
        <v>4484.55</v>
      </c>
      <c r="M459" s="288">
        <f t="shared" si="1210"/>
        <v>4484.55</v>
      </c>
      <c r="N459" s="460">
        <f t="shared" si="1189"/>
        <v>4444.55</v>
      </c>
      <c r="O459" s="288">
        <f t="shared" si="1211"/>
        <v>4444.55</v>
      </c>
      <c r="P459" s="460">
        <f t="shared" si="1191"/>
        <v>4419.55</v>
      </c>
      <c r="Q459" s="288">
        <f t="shared" si="1212"/>
        <v>4419.55</v>
      </c>
      <c r="R459" s="460">
        <f t="shared" si="1193"/>
        <v>4399.55</v>
      </c>
      <c r="S459" s="288">
        <f t="shared" si="1213"/>
        <v>4399.55</v>
      </c>
      <c r="T459" s="460">
        <f t="shared" si="1195"/>
        <v>4389.55</v>
      </c>
      <c r="U459" s="288">
        <f t="shared" si="1214"/>
        <v>4389.55</v>
      </c>
      <c r="V459" s="460">
        <f t="shared" si="1197"/>
        <v>4377.55</v>
      </c>
      <c r="W459" s="288">
        <f t="shared" si="1215"/>
        <v>4377.55</v>
      </c>
      <c r="X459" s="694"/>
      <c r="Y459" s="694"/>
      <c r="Z459" s="694"/>
      <c r="AA459" s="694"/>
      <c r="AB459" s="404" t="s">
        <v>657</v>
      </c>
      <c r="AC459" s="65"/>
    </row>
    <row r="460" spans="1:29" ht="12.6" customHeight="1" x14ac:dyDescent="0.2">
      <c r="A460" s="104"/>
      <c r="B460" s="720" t="s">
        <v>907</v>
      </c>
      <c r="C460" s="798"/>
      <c r="D460" s="798"/>
      <c r="E460" s="798"/>
      <c r="F460" s="380">
        <f>3.7*X2</f>
        <v>3940.5</v>
      </c>
      <c r="G460" s="287">
        <f t="shared" ref="G460" si="1217">+F460*$X$1</f>
        <v>3940.5</v>
      </c>
      <c r="H460" s="564"/>
      <c r="I460" s="287"/>
      <c r="J460" s="564">
        <f>F460+300</f>
        <v>4240.5</v>
      </c>
      <c r="K460" s="287">
        <f t="shared" ref="K460" si="1218">+J460*$X$1</f>
        <v>4240.5</v>
      </c>
      <c r="L460" s="564">
        <f>F460+240</f>
        <v>4180.5</v>
      </c>
      <c r="M460" s="287">
        <f t="shared" ref="M460" si="1219">+L460*$X$1</f>
        <v>4180.5</v>
      </c>
      <c r="N460" s="564">
        <f>F460+200</f>
        <v>4140.5</v>
      </c>
      <c r="O460" s="287">
        <f t="shared" ref="O460" si="1220">+N460*$X$1</f>
        <v>4140.5</v>
      </c>
      <c r="P460" s="564">
        <f>F460+160</f>
        <v>4100.5</v>
      </c>
      <c r="Q460" s="287">
        <f t="shared" ref="Q460" si="1221">+P460*$X$1</f>
        <v>4100.5</v>
      </c>
      <c r="R460" s="564">
        <f>F460+140</f>
        <v>4080.5</v>
      </c>
      <c r="S460" s="287">
        <f t="shared" ref="S460" si="1222">+R460*$X$1</f>
        <v>4080.5</v>
      </c>
      <c r="T460" s="564">
        <f>F460+110</f>
        <v>4050.5</v>
      </c>
      <c r="U460" s="287">
        <f t="shared" ref="U460" si="1223">+T460*$X$1</f>
        <v>4050.5</v>
      </c>
      <c r="V460" s="564">
        <f>F460+90</f>
        <v>4030.5</v>
      </c>
      <c r="W460" s="287">
        <f t="shared" ref="W460" si="1224">+V460*$X$1</f>
        <v>4030.5</v>
      </c>
      <c r="X460" s="694"/>
      <c r="Y460" s="694"/>
      <c r="Z460" s="694"/>
      <c r="AA460" s="694"/>
      <c r="AB460" s="404" t="s">
        <v>908</v>
      </c>
      <c r="AC460" s="65"/>
    </row>
    <row r="461" spans="1:29" ht="12.6" customHeight="1" x14ac:dyDescent="0.2">
      <c r="A461" s="104"/>
      <c r="B461" s="720" t="s">
        <v>927</v>
      </c>
      <c r="C461" s="798"/>
      <c r="D461" s="798"/>
      <c r="E461" s="798"/>
      <c r="F461" s="381">
        <v>22</v>
      </c>
      <c r="G461" s="288">
        <f t="shared" ref="G461" si="1225">+F461*$X$1</f>
        <v>22</v>
      </c>
      <c r="H461" s="460"/>
      <c r="I461" s="288"/>
      <c r="J461" s="460"/>
      <c r="K461" s="288"/>
      <c r="L461" s="460"/>
      <c r="M461" s="288"/>
      <c r="N461" s="460"/>
      <c r="O461" s="288"/>
      <c r="P461" s="460"/>
      <c r="Q461" s="288"/>
      <c r="R461" s="460"/>
      <c r="S461" s="288"/>
      <c r="T461" s="460"/>
      <c r="U461" s="288"/>
      <c r="V461" s="460"/>
      <c r="W461" s="288"/>
      <c r="X461" s="694"/>
      <c r="Y461" s="694"/>
      <c r="Z461" s="694"/>
      <c r="AA461" s="694"/>
      <c r="AB461" s="404" t="s">
        <v>928</v>
      </c>
      <c r="AC461" s="65"/>
    </row>
    <row r="462" spans="1:29" ht="12.6" customHeight="1" x14ac:dyDescent="0.2">
      <c r="A462" s="104"/>
      <c r="B462" s="720" t="s">
        <v>926</v>
      </c>
      <c r="C462" s="798"/>
      <c r="D462" s="798"/>
      <c r="E462" s="798"/>
      <c r="F462" s="380">
        <v>49</v>
      </c>
      <c r="G462" s="287">
        <f t="shared" ref="G462" si="1226">+F462*$X$1</f>
        <v>49</v>
      </c>
      <c r="H462" s="585"/>
      <c r="I462" s="287"/>
      <c r="J462" s="585"/>
      <c r="K462" s="287"/>
      <c r="L462" s="585"/>
      <c r="M462" s="287"/>
      <c r="N462" s="585"/>
      <c r="O462" s="287"/>
      <c r="P462" s="585"/>
      <c r="Q462" s="287"/>
      <c r="R462" s="585"/>
      <c r="S462" s="287"/>
      <c r="T462" s="585"/>
      <c r="U462" s="287"/>
      <c r="V462" s="585"/>
      <c r="W462" s="287"/>
      <c r="X462" s="694"/>
      <c r="Y462" s="694"/>
      <c r="Z462" s="694"/>
      <c r="AA462" s="694"/>
      <c r="AB462" s="404" t="s">
        <v>929</v>
      </c>
      <c r="AC462" s="65"/>
    </row>
    <row r="463" spans="1:29" ht="12.6" customHeight="1" x14ac:dyDescent="0.2">
      <c r="A463" s="18"/>
      <c r="B463" s="680" t="s">
        <v>343</v>
      </c>
      <c r="C463" s="691"/>
      <c r="D463" s="691"/>
      <c r="E463" s="692"/>
      <c r="F463" s="329">
        <v>1225</v>
      </c>
      <c r="G463" s="288">
        <f t="shared" ref="G463:G473" si="1227">+F463*$X$1</f>
        <v>1225</v>
      </c>
      <c r="H463" s="260"/>
      <c r="I463" s="799" t="s">
        <v>505</v>
      </c>
      <c r="J463" s="800"/>
      <c r="K463" s="800"/>
      <c r="L463" s="800"/>
      <c r="M463" s="801"/>
      <c r="N463" s="460">
        <v>1750</v>
      </c>
      <c r="O463" s="288">
        <f>+N463*$X$1</f>
        <v>1750</v>
      </c>
      <c r="P463" s="105">
        <v>1745</v>
      </c>
      <c r="Q463" s="288">
        <f t="shared" ref="Q463" si="1228">+P463*$X$1</f>
        <v>1745</v>
      </c>
      <c r="R463" s="460">
        <v>1571</v>
      </c>
      <c r="S463" s="288">
        <f>+R463*$X$1</f>
        <v>1571</v>
      </c>
      <c r="T463" s="460">
        <v>1462</v>
      </c>
      <c r="U463" s="288">
        <f>+T463*$X$1</f>
        <v>1462</v>
      </c>
      <c r="V463" s="460">
        <v>1419</v>
      </c>
      <c r="W463" s="288">
        <f t="shared" ref="W463" si="1229">+V463*$X$1</f>
        <v>1419</v>
      </c>
      <c r="X463" s="134"/>
      <c r="Y463" s="134"/>
      <c r="Z463" s="134"/>
      <c r="AA463" s="137"/>
      <c r="AB463" s="29"/>
    </row>
    <row r="464" spans="1:29" ht="12.6" customHeight="1" x14ac:dyDescent="0.2">
      <c r="A464" s="18"/>
      <c r="B464" s="683" t="s">
        <v>344</v>
      </c>
      <c r="C464" s="684"/>
      <c r="D464" s="684"/>
      <c r="E464" s="685"/>
      <c r="F464" s="330">
        <v>1225</v>
      </c>
      <c r="G464" s="287">
        <f t="shared" si="1227"/>
        <v>1225</v>
      </c>
      <c r="H464" s="260"/>
      <c r="I464" s="802"/>
      <c r="J464" s="803"/>
      <c r="K464" s="803"/>
      <c r="L464" s="803"/>
      <c r="M464" s="804"/>
      <c r="N464" s="540">
        <v>1750</v>
      </c>
      <c r="O464" s="287">
        <f>+N464*$X$1</f>
        <v>1750</v>
      </c>
      <c r="P464" s="101">
        <v>1745</v>
      </c>
      <c r="Q464" s="287">
        <f t="shared" ref="Q464:Q465" si="1230">+P464*$X$1</f>
        <v>1745</v>
      </c>
      <c r="R464" s="540">
        <v>1571</v>
      </c>
      <c r="S464" s="287">
        <f>+R464*$X$1</f>
        <v>1571</v>
      </c>
      <c r="T464" s="540">
        <v>1462</v>
      </c>
      <c r="U464" s="287">
        <f>+T464*$X$1</f>
        <v>1462</v>
      </c>
      <c r="V464" s="540">
        <v>1419</v>
      </c>
      <c r="W464" s="287">
        <f t="shared" ref="W464:W465" si="1231">+V464*$X$1</f>
        <v>1419</v>
      </c>
      <c r="X464" s="134"/>
      <c r="Y464" s="134"/>
      <c r="Z464" s="134"/>
      <c r="AA464" s="137"/>
      <c r="AB464" s="192"/>
    </row>
    <row r="465" spans="1:34" ht="12.6" customHeight="1" x14ac:dyDescent="0.2">
      <c r="A465" s="18"/>
      <c r="B465" s="680" t="s">
        <v>345</v>
      </c>
      <c r="C465" s="691"/>
      <c r="D465" s="691"/>
      <c r="E465" s="692"/>
      <c r="F465" s="329">
        <v>1225</v>
      </c>
      <c r="G465" s="288">
        <f t="shared" si="1227"/>
        <v>1225</v>
      </c>
      <c r="H465" s="17"/>
      <c r="I465" s="805"/>
      <c r="J465" s="806"/>
      <c r="K465" s="806"/>
      <c r="L465" s="806"/>
      <c r="M465" s="807"/>
      <c r="N465" s="460">
        <v>1750</v>
      </c>
      <c r="O465" s="288">
        <f>+N465*$X$1</f>
        <v>1750</v>
      </c>
      <c r="P465" s="105">
        <v>1745</v>
      </c>
      <c r="Q465" s="288">
        <f t="shared" si="1230"/>
        <v>1745</v>
      </c>
      <c r="R465" s="460">
        <v>1571</v>
      </c>
      <c r="S465" s="288">
        <f>+R465*$X$1</f>
        <v>1571</v>
      </c>
      <c r="T465" s="460">
        <v>1462</v>
      </c>
      <c r="U465" s="288">
        <f>+T465*$X$1</f>
        <v>1462</v>
      </c>
      <c r="V465" s="460">
        <v>1419</v>
      </c>
      <c r="W465" s="288">
        <f t="shared" si="1231"/>
        <v>1419</v>
      </c>
      <c r="X465" s="134"/>
      <c r="Y465" s="134"/>
      <c r="Z465" s="134"/>
      <c r="AA465" s="137"/>
      <c r="AB465" s="192"/>
      <c r="AG465" s="228"/>
    </row>
    <row r="466" spans="1:34" ht="12.6" customHeight="1" x14ac:dyDescent="0.2">
      <c r="A466" s="18"/>
      <c r="B466" s="938" t="s">
        <v>257</v>
      </c>
      <c r="C466" s="939"/>
      <c r="D466" s="939"/>
      <c r="E466" s="939"/>
      <c r="F466" s="380">
        <f>3.11*X2</f>
        <v>3312.15</v>
      </c>
      <c r="G466" s="287">
        <f t="shared" si="1227"/>
        <v>3312.15</v>
      </c>
      <c r="H466" s="281"/>
      <c r="I466" s="281"/>
      <c r="J466" s="542">
        <f>F466+200</f>
        <v>3512.15</v>
      </c>
      <c r="K466" s="287">
        <f>+J466*$X$1</f>
        <v>3512.15</v>
      </c>
      <c r="L466" s="542">
        <f>F466+140</f>
        <v>3452.15</v>
      </c>
      <c r="M466" s="287">
        <f>+L466*$X$1</f>
        <v>3452.15</v>
      </c>
      <c r="N466" s="542">
        <f>F466+70</f>
        <v>3382.15</v>
      </c>
      <c r="O466" s="287">
        <f>+N466*$X$1</f>
        <v>3382.15</v>
      </c>
      <c r="P466" s="542">
        <f>F466+60</f>
        <v>3372.15</v>
      </c>
      <c r="Q466" s="287">
        <f>+P466*$X$1</f>
        <v>3372.15</v>
      </c>
      <c r="R466" s="542">
        <f>F466+50</f>
        <v>3362.15</v>
      </c>
      <c r="S466" s="287">
        <f>+R466*$X$1</f>
        <v>3362.15</v>
      </c>
      <c r="T466" s="103">
        <f>F466+44</f>
        <v>3356.15</v>
      </c>
      <c r="U466" s="255">
        <f>+T466*$X$1</f>
        <v>3356.15</v>
      </c>
      <c r="V466" s="103">
        <f>F466+38</f>
        <v>3350.15</v>
      </c>
      <c r="W466" s="255">
        <f>+V466*$X$1</f>
        <v>3350.15</v>
      </c>
      <c r="X466" s="687"/>
      <c r="Y466" s="687"/>
      <c r="Z466" s="687"/>
      <c r="AA466" s="688"/>
      <c r="AB466" s="192" t="s">
        <v>258</v>
      </c>
    </row>
    <row r="467" spans="1:34" ht="12.6" customHeight="1" x14ac:dyDescent="0.2">
      <c r="A467" s="18"/>
      <c r="B467" s="689" t="s">
        <v>399</v>
      </c>
      <c r="C467" s="690"/>
      <c r="D467" s="690"/>
      <c r="E467" s="690"/>
      <c r="F467" s="381">
        <f>0.98*X2</f>
        <v>1043.7</v>
      </c>
      <c r="G467" s="288">
        <f t="shared" si="1227"/>
        <v>1043.7</v>
      </c>
      <c r="H467" s="280"/>
      <c r="I467" s="280"/>
      <c r="J467" s="460">
        <f>F467+200</f>
        <v>1243.7</v>
      </c>
      <c r="K467" s="288">
        <f>+J467*$X$1</f>
        <v>1243.7</v>
      </c>
      <c r="L467" s="460">
        <f>F467+140</f>
        <v>1183.7</v>
      </c>
      <c r="M467" s="288">
        <f>+L467*$X$1</f>
        <v>1183.7</v>
      </c>
      <c r="N467" s="460">
        <f>F467+70</f>
        <v>1113.7</v>
      </c>
      <c r="O467" s="288">
        <f>+N467*$X$1</f>
        <v>1113.7</v>
      </c>
      <c r="P467" s="460">
        <f>F467+60</f>
        <v>1103.7</v>
      </c>
      <c r="Q467" s="288">
        <f>+P467*$X$1</f>
        <v>1103.7</v>
      </c>
      <c r="R467" s="460">
        <f>F467+50</f>
        <v>1093.7</v>
      </c>
      <c r="S467" s="288">
        <f>+R467*$X$1</f>
        <v>1093.7</v>
      </c>
      <c r="T467" s="102">
        <f>F467+44</f>
        <v>1087.7</v>
      </c>
      <c r="U467" s="305">
        <f>+T467*$X$1</f>
        <v>1087.7</v>
      </c>
      <c r="V467" s="102">
        <f>F467+38</f>
        <v>1081.7</v>
      </c>
      <c r="W467" s="305">
        <f>+V467*$X$1</f>
        <v>1081.7</v>
      </c>
      <c r="X467" s="687"/>
      <c r="Y467" s="687"/>
      <c r="Z467" s="687"/>
      <c r="AA467" s="688"/>
      <c r="AB467" s="192" t="s">
        <v>435</v>
      </c>
    </row>
    <row r="468" spans="1:34" s="65" customFormat="1" ht="12.6" customHeight="1" x14ac:dyDescent="0.25">
      <c r="A468" s="97"/>
      <c r="B468" s="808" t="s">
        <v>341</v>
      </c>
      <c r="C468" s="809"/>
      <c r="D468" s="809"/>
      <c r="E468" s="809"/>
      <c r="F468" s="330">
        <v>635</v>
      </c>
      <c r="G468" s="287">
        <f t="shared" si="1227"/>
        <v>635</v>
      </c>
      <c r="H468" s="279"/>
      <c r="I468" s="799" t="s">
        <v>501</v>
      </c>
      <c r="J468" s="1222"/>
      <c r="K468" s="1222"/>
      <c r="L468" s="1223"/>
      <c r="M468" s="1224"/>
      <c r="N468" s="540">
        <v>1243</v>
      </c>
      <c r="O468" s="287">
        <f t="shared" ref="O468:O474" si="1232">+N468*$X$1</f>
        <v>1243</v>
      </c>
      <c r="P468" s="296">
        <v>1238</v>
      </c>
      <c r="Q468" s="287">
        <f t="shared" ref="Q468:Q474" si="1233">+P468*$X$1</f>
        <v>1238</v>
      </c>
      <c r="R468" s="540">
        <v>1143</v>
      </c>
      <c r="S468" s="287">
        <f t="shared" ref="S468:S474" si="1234">+R468*$X$1</f>
        <v>1143</v>
      </c>
      <c r="T468" s="540">
        <v>1039</v>
      </c>
      <c r="U468" s="287">
        <f t="shared" ref="U468:U474" si="1235">+T468*$X$1</f>
        <v>1039</v>
      </c>
      <c r="V468" s="540">
        <v>989</v>
      </c>
      <c r="W468" s="287">
        <f t="shared" ref="W468:W474" si="1236">+V468*$X$1</f>
        <v>989</v>
      </c>
      <c r="X468" s="148"/>
      <c r="Y468" s="148"/>
      <c r="Z468" s="148"/>
      <c r="AA468" s="149"/>
      <c r="AB468" s="421" t="s">
        <v>259</v>
      </c>
    </row>
    <row r="469" spans="1:34" s="65" customFormat="1" ht="12.6" customHeight="1" x14ac:dyDescent="0.25">
      <c r="A469" s="97"/>
      <c r="B469" s="689" t="s">
        <v>342</v>
      </c>
      <c r="C469" s="690"/>
      <c r="D469" s="690"/>
      <c r="E469" s="690"/>
      <c r="F469" s="329">
        <v>635</v>
      </c>
      <c r="G469" s="288">
        <f t="shared" si="1227"/>
        <v>635</v>
      </c>
      <c r="H469" s="284"/>
      <c r="I469" s="1225"/>
      <c r="J469" s="1226"/>
      <c r="K469" s="1226"/>
      <c r="L469" s="1227"/>
      <c r="M469" s="1228"/>
      <c r="N469" s="460">
        <v>1562</v>
      </c>
      <c r="O469" s="288">
        <f t="shared" si="1232"/>
        <v>1562</v>
      </c>
      <c r="P469" s="295">
        <v>1557</v>
      </c>
      <c r="Q469" s="288">
        <f t="shared" si="1233"/>
        <v>1557</v>
      </c>
      <c r="R469" s="460">
        <v>1471</v>
      </c>
      <c r="S469" s="288">
        <f t="shared" si="1234"/>
        <v>1471</v>
      </c>
      <c r="T469" s="460">
        <v>1416</v>
      </c>
      <c r="U469" s="288">
        <f t="shared" si="1235"/>
        <v>1416</v>
      </c>
      <c r="V469" s="460">
        <v>1347</v>
      </c>
      <c r="W469" s="288">
        <f t="shared" si="1236"/>
        <v>1347</v>
      </c>
      <c r="X469" s="170"/>
      <c r="Y469" s="134"/>
      <c r="Z469" s="134"/>
      <c r="AA469" s="137"/>
      <c r="AB469" s="422"/>
    </row>
    <row r="470" spans="1:34" s="65" customFormat="1" ht="12.6" customHeight="1" x14ac:dyDescent="0.25">
      <c r="A470" s="97"/>
      <c r="B470" s="711" t="s">
        <v>357</v>
      </c>
      <c r="C470" s="712"/>
      <c r="D470" s="712"/>
      <c r="E470" s="712"/>
      <c r="F470" s="330">
        <v>635</v>
      </c>
      <c r="G470" s="287">
        <f t="shared" si="1227"/>
        <v>635</v>
      </c>
      <c r="H470" s="277"/>
      <c r="I470" s="1225"/>
      <c r="J470" s="1226"/>
      <c r="K470" s="1226"/>
      <c r="L470" s="1227"/>
      <c r="M470" s="1228"/>
      <c r="N470" s="540">
        <v>1243</v>
      </c>
      <c r="O470" s="287">
        <f t="shared" ref="O470:O471" si="1237">+N470*$X$1</f>
        <v>1243</v>
      </c>
      <c r="P470" s="296">
        <v>1238</v>
      </c>
      <c r="Q470" s="287">
        <f t="shared" ref="Q470:Q471" si="1238">+P470*$X$1</f>
        <v>1238</v>
      </c>
      <c r="R470" s="540">
        <v>1143</v>
      </c>
      <c r="S470" s="287">
        <f t="shared" ref="S470:S471" si="1239">+R470*$X$1</f>
        <v>1143</v>
      </c>
      <c r="T470" s="540">
        <v>1039</v>
      </c>
      <c r="U470" s="287">
        <f t="shared" ref="U470:U471" si="1240">+T470*$X$1</f>
        <v>1039</v>
      </c>
      <c r="V470" s="540">
        <v>989</v>
      </c>
      <c r="W470" s="287">
        <f t="shared" ref="W470:W471" si="1241">+V470*$X$1</f>
        <v>989</v>
      </c>
      <c r="X470" s="134"/>
      <c r="Y470" s="134"/>
      <c r="Z470" s="134"/>
      <c r="AA470" s="137"/>
      <c r="AB470" s="421" t="s">
        <v>260</v>
      </c>
    </row>
    <row r="471" spans="1:34" s="65" customFormat="1" ht="12" customHeight="1" x14ac:dyDescent="0.25">
      <c r="A471" s="97"/>
      <c r="B471" s="689" t="s">
        <v>358</v>
      </c>
      <c r="C471" s="690"/>
      <c r="D471" s="690"/>
      <c r="E471" s="690"/>
      <c r="F471" s="329">
        <v>635</v>
      </c>
      <c r="G471" s="288">
        <f t="shared" si="1227"/>
        <v>635</v>
      </c>
      <c r="H471" s="284"/>
      <c r="I471" s="1225"/>
      <c r="J471" s="1226"/>
      <c r="K471" s="1226"/>
      <c r="L471" s="1227"/>
      <c r="M471" s="1228"/>
      <c r="N471" s="460">
        <v>1562</v>
      </c>
      <c r="O471" s="288">
        <f t="shared" si="1237"/>
        <v>1562</v>
      </c>
      <c r="P471" s="295">
        <v>1557</v>
      </c>
      <c r="Q471" s="288">
        <f t="shared" si="1238"/>
        <v>1557</v>
      </c>
      <c r="R471" s="460">
        <v>1471</v>
      </c>
      <c r="S471" s="288">
        <f t="shared" si="1239"/>
        <v>1471</v>
      </c>
      <c r="T471" s="460">
        <v>1416</v>
      </c>
      <c r="U471" s="288">
        <f t="shared" si="1240"/>
        <v>1416</v>
      </c>
      <c r="V471" s="460">
        <v>1347</v>
      </c>
      <c r="W471" s="288">
        <f t="shared" si="1241"/>
        <v>1347</v>
      </c>
      <c r="X471" s="148"/>
      <c r="Y471" s="148"/>
      <c r="Z471" s="134"/>
      <c r="AA471" s="137"/>
      <c r="AB471" s="422"/>
    </row>
    <row r="472" spans="1:34" s="65" customFormat="1" ht="12.6" customHeight="1" x14ac:dyDescent="0.25">
      <c r="A472" s="97"/>
      <c r="B472" s="711" t="s">
        <v>261</v>
      </c>
      <c r="C472" s="712"/>
      <c r="D472" s="712"/>
      <c r="E472" s="712"/>
      <c r="F472" s="330">
        <v>635</v>
      </c>
      <c r="G472" s="287">
        <f t="shared" si="1227"/>
        <v>635</v>
      </c>
      <c r="H472" s="277"/>
      <c r="I472" s="1229"/>
      <c r="J472" s="1230"/>
      <c r="K472" s="1230"/>
      <c r="L472" s="1227"/>
      <c r="M472" s="1228"/>
      <c r="N472" s="540">
        <v>1407</v>
      </c>
      <c r="O472" s="287">
        <f t="shared" ref="O472" si="1242">+N472*$X$1</f>
        <v>1407</v>
      </c>
      <c r="P472" s="296">
        <v>1403</v>
      </c>
      <c r="Q472" s="287">
        <f t="shared" ref="Q472" si="1243">+P472*$X$1</f>
        <v>1403</v>
      </c>
      <c r="R472" s="540">
        <v>1254</v>
      </c>
      <c r="S472" s="287">
        <f t="shared" ref="S472" si="1244">+R472*$X$1</f>
        <v>1254</v>
      </c>
      <c r="T472" s="540">
        <v>1159</v>
      </c>
      <c r="U472" s="287">
        <f t="shared" ref="U472" si="1245">+T472*$X$1</f>
        <v>1159</v>
      </c>
      <c r="V472" s="540">
        <v>1095</v>
      </c>
      <c r="W472" s="287">
        <f t="shared" ref="W472" si="1246">+V472*$X$1</f>
        <v>1095</v>
      </c>
      <c r="X472" s="134"/>
      <c r="Y472" s="134"/>
      <c r="Z472" s="134"/>
      <c r="AA472" s="137"/>
      <c r="AB472" s="421" t="s">
        <v>262</v>
      </c>
      <c r="AE472" s="240"/>
    </row>
    <row r="473" spans="1:34" s="65" customFormat="1" ht="12.6" customHeight="1" x14ac:dyDescent="0.25">
      <c r="A473" s="97"/>
      <c r="B473" s="689" t="s">
        <v>263</v>
      </c>
      <c r="C473" s="690"/>
      <c r="D473" s="690"/>
      <c r="E473" s="690"/>
      <c r="F473" s="329">
        <v>635</v>
      </c>
      <c r="G473" s="288">
        <f t="shared" si="1227"/>
        <v>635</v>
      </c>
      <c r="H473" s="284"/>
      <c r="I473" s="1231"/>
      <c r="J473" s="1232"/>
      <c r="K473" s="1232"/>
      <c r="L473" s="1232"/>
      <c r="M473" s="1233"/>
      <c r="N473" s="460">
        <v>1710</v>
      </c>
      <c r="O473" s="288">
        <f t="shared" si="1232"/>
        <v>1710</v>
      </c>
      <c r="P473" s="295">
        <v>1706</v>
      </c>
      <c r="Q473" s="288">
        <f t="shared" si="1233"/>
        <v>1706</v>
      </c>
      <c r="R473" s="460">
        <v>1616</v>
      </c>
      <c r="S473" s="288">
        <f t="shared" si="1234"/>
        <v>1616</v>
      </c>
      <c r="T473" s="460">
        <v>1568</v>
      </c>
      <c r="U473" s="288">
        <f t="shared" si="1235"/>
        <v>1568</v>
      </c>
      <c r="V473" s="460">
        <v>1501</v>
      </c>
      <c r="W473" s="288">
        <f t="shared" si="1236"/>
        <v>1501</v>
      </c>
      <c r="X473" s="134"/>
      <c r="Y473" s="134"/>
      <c r="Z473" s="134"/>
      <c r="AA473" s="137"/>
      <c r="AB473" s="421" t="s">
        <v>264</v>
      </c>
    </row>
    <row r="474" spans="1:34" ht="12.6" customHeight="1" x14ac:dyDescent="0.2">
      <c r="A474" s="18"/>
      <c r="B474" s="683" t="s">
        <v>265</v>
      </c>
      <c r="C474" s="684"/>
      <c r="D474" s="684"/>
      <c r="E474" s="685"/>
      <c r="F474" s="380">
        <f>2.98*X2</f>
        <v>3173.7</v>
      </c>
      <c r="G474" s="287">
        <f t="shared" ref="G474:G475" si="1247">+F474*$X$1</f>
        <v>3173.7</v>
      </c>
      <c r="H474" s="564">
        <f t="shared" ref="H474:H475" si="1248">F474+500</f>
        <v>3673.7</v>
      </c>
      <c r="I474" s="287">
        <f t="shared" ref="I474:I475" si="1249">+H474*$X$1</f>
        <v>3673.7</v>
      </c>
      <c r="J474" s="564">
        <f t="shared" ref="J474:J475" si="1250">F474+200</f>
        <v>3373.7</v>
      </c>
      <c r="K474" s="287">
        <f t="shared" ref="K474:K475" si="1251">+J474*$X$1</f>
        <v>3373.7</v>
      </c>
      <c r="L474" s="564">
        <f>F474+150</f>
        <v>3323.7</v>
      </c>
      <c r="M474" s="287">
        <f t="shared" ref="M474:M475" si="1252">+L474*$X$1</f>
        <v>3323.7</v>
      </c>
      <c r="N474" s="564">
        <f>F474+110</f>
        <v>3283.7</v>
      </c>
      <c r="O474" s="287">
        <f t="shared" si="1232"/>
        <v>3283.7</v>
      </c>
      <c r="P474" s="564">
        <f>F474+85</f>
        <v>3258.7</v>
      </c>
      <c r="Q474" s="287">
        <f t="shared" si="1233"/>
        <v>3258.7</v>
      </c>
      <c r="R474" s="564">
        <f>F474+65</f>
        <v>3238.7</v>
      </c>
      <c r="S474" s="287">
        <f t="shared" si="1234"/>
        <v>3238.7</v>
      </c>
      <c r="T474" s="564">
        <f>F474+55</f>
        <v>3228.7</v>
      </c>
      <c r="U474" s="287">
        <f t="shared" si="1235"/>
        <v>3228.7</v>
      </c>
      <c r="V474" s="564">
        <f>F474+43</f>
        <v>3216.7</v>
      </c>
      <c r="W474" s="287">
        <f t="shared" si="1236"/>
        <v>3216.7</v>
      </c>
      <c r="X474" s="694"/>
      <c r="Y474" s="694"/>
      <c r="Z474" s="694"/>
      <c r="AA474" s="679"/>
      <c r="AB474" s="192" t="s">
        <v>266</v>
      </c>
    </row>
    <row r="475" spans="1:34" ht="12.6" customHeight="1" x14ac:dyDescent="0.2">
      <c r="A475" s="18"/>
      <c r="B475" s="680" t="s">
        <v>267</v>
      </c>
      <c r="C475" s="691"/>
      <c r="D475" s="691"/>
      <c r="E475" s="692"/>
      <c r="F475" s="381">
        <f>2.26*X2</f>
        <v>2406.8999999999996</v>
      </c>
      <c r="G475" s="288">
        <f t="shared" si="1247"/>
        <v>2406.8999999999996</v>
      </c>
      <c r="H475" s="460">
        <f t="shared" si="1248"/>
        <v>2906.8999999999996</v>
      </c>
      <c r="I475" s="288">
        <f t="shared" si="1249"/>
        <v>2906.8999999999996</v>
      </c>
      <c r="J475" s="460">
        <f t="shared" si="1250"/>
        <v>2606.8999999999996</v>
      </c>
      <c r="K475" s="288">
        <f t="shared" si="1251"/>
        <v>2606.8999999999996</v>
      </c>
      <c r="L475" s="460">
        <f>F475+150</f>
        <v>2556.8999999999996</v>
      </c>
      <c r="M475" s="288">
        <f t="shared" si="1252"/>
        <v>2556.8999999999996</v>
      </c>
      <c r="N475" s="460"/>
      <c r="O475" s="288"/>
      <c r="P475" s="460"/>
      <c r="Q475" s="288"/>
      <c r="R475" s="460"/>
      <c r="S475" s="288"/>
      <c r="T475" s="460"/>
      <c r="U475" s="288"/>
      <c r="V475" s="460"/>
      <c r="W475" s="288"/>
      <c r="X475" s="694"/>
      <c r="Y475" s="694"/>
      <c r="Z475" s="694"/>
      <c r="AA475" s="679"/>
      <c r="AB475" s="192" t="s">
        <v>428</v>
      </c>
    </row>
    <row r="476" spans="1:34" ht="12.6" customHeight="1" x14ac:dyDescent="0.2">
      <c r="A476" s="18"/>
      <c r="B476" s="595"/>
      <c r="C476" s="596"/>
      <c r="D476" s="596"/>
      <c r="E476" s="596"/>
      <c r="F476" s="428"/>
      <c r="G476" s="335"/>
      <c r="H476" s="117"/>
      <c r="I476" s="335"/>
      <c r="J476" s="117"/>
      <c r="K476" s="335"/>
      <c r="L476" s="117"/>
      <c r="M476" s="335"/>
      <c r="N476" s="117"/>
      <c r="O476" s="335"/>
      <c r="P476" s="117"/>
      <c r="Q476" s="335"/>
      <c r="R476" s="117"/>
      <c r="S476" s="335"/>
      <c r="T476" s="117"/>
      <c r="U476" s="335"/>
      <c r="V476" s="117"/>
      <c r="W476" s="335"/>
      <c r="X476" s="624"/>
      <c r="Y476" s="75"/>
      <c r="Z476" s="75"/>
      <c r="AA476" s="75"/>
      <c r="AB476" s="623"/>
    </row>
    <row r="477" spans="1:34" ht="12.6" customHeight="1" x14ac:dyDescent="0.2">
      <c r="A477" s="18"/>
      <c r="B477" s="595"/>
      <c r="C477" s="596"/>
      <c r="D477" s="596"/>
      <c r="E477" s="596"/>
      <c r="F477" s="428"/>
      <c r="G477" s="335"/>
      <c r="H477" s="117"/>
      <c r="I477" s="335"/>
      <c r="J477" s="117"/>
      <c r="K477" s="335"/>
      <c r="L477" s="117"/>
      <c r="M477" s="335"/>
      <c r="N477" s="117"/>
      <c r="O477" s="335"/>
      <c r="P477" s="117"/>
      <c r="Q477" s="335"/>
      <c r="R477" s="117"/>
      <c r="S477" s="335"/>
      <c r="T477" s="117"/>
      <c r="U477" s="335"/>
      <c r="V477" s="117"/>
      <c r="W477" s="335"/>
      <c r="X477" s="624"/>
      <c r="Y477" s="75"/>
      <c r="Z477" s="75"/>
      <c r="AA477" s="75"/>
      <c r="AB477" s="623"/>
    </row>
    <row r="478" spans="1:34" ht="12.6" customHeight="1" x14ac:dyDescent="0.2">
      <c r="A478" s="18"/>
      <c r="B478" s="595"/>
      <c r="C478" s="596"/>
      <c r="D478" s="596"/>
      <c r="E478" s="596"/>
      <c r="F478" s="428"/>
      <c r="G478" s="335"/>
      <c r="H478" s="117"/>
      <c r="I478" s="335"/>
      <c r="J478" s="117"/>
      <c r="K478" s="335"/>
      <c r="L478" s="117"/>
      <c r="M478" s="335"/>
      <c r="N478" s="117"/>
      <c r="O478" s="335"/>
      <c r="P478" s="117"/>
      <c r="Q478" s="335"/>
      <c r="R478" s="117"/>
      <c r="S478" s="335"/>
      <c r="T478" s="117"/>
      <c r="U478" s="335"/>
      <c r="V478" s="117"/>
      <c r="W478" s="335"/>
      <c r="X478" s="624"/>
      <c r="Y478" s="75"/>
      <c r="Z478" s="75"/>
      <c r="AA478" s="75"/>
      <c r="AB478" s="623"/>
    </row>
    <row r="479" spans="1:34" ht="15.75" customHeight="1" x14ac:dyDescent="0.2">
      <c r="A479" s="18"/>
      <c r="B479" s="726" t="s">
        <v>11</v>
      </c>
      <c r="C479" s="732" t="s">
        <v>12</v>
      </c>
      <c r="D479" s="733"/>
      <c r="E479" s="733"/>
      <c r="F479" s="709" t="s">
        <v>13</v>
      </c>
      <c r="G479" s="709" t="s">
        <v>13</v>
      </c>
      <c r="H479" s="730" t="s">
        <v>815</v>
      </c>
      <c r="I479" s="730"/>
      <c r="J479" s="731"/>
      <c r="K479" s="731"/>
      <c r="L479" s="731"/>
      <c r="M479" s="731"/>
      <c r="N479" s="731"/>
      <c r="O479" s="731"/>
      <c r="P479" s="731"/>
      <c r="Q479" s="731"/>
      <c r="R479" s="731"/>
      <c r="S479" s="731"/>
      <c r="T479" s="731"/>
      <c r="U479" s="731"/>
      <c r="V479" s="731"/>
      <c r="W479" s="731"/>
      <c r="X479" s="753" t="s">
        <v>14</v>
      </c>
      <c r="Y479" s="754"/>
      <c r="Z479" s="754"/>
      <c r="AA479" s="1243"/>
      <c r="AB479" s="1245" t="s">
        <v>15</v>
      </c>
      <c r="AE479" s="64"/>
      <c r="AF479" s="789" t="s">
        <v>3</v>
      </c>
      <c r="AG479" s="790"/>
      <c r="AH479" s="790"/>
    </row>
    <row r="480" spans="1:34" ht="12" customHeight="1" x14ac:dyDescent="0.2">
      <c r="A480" s="18"/>
      <c r="B480" s="726"/>
      <c r="C480" s="733"/>
      <c r="D480" s="733"/>
      <c r="E480" s="733"/>
      <c r="F480" s="710"/>
      <c r="G480" s="710"/>
      <c r="H480" s="482"/>
      <c r="I480" s="474" t="s">
        <v>289</v>
      </c>
      <c r="J480" s="476"/>
      <c r="K480" s="474" t="s">
        <v>17</v>
      </c>
      <c r="L480" s="477"/>
      <c r="M480" s="477" t="s">
        <v>18</v>
      </c>
      <c r="N480" s="477"/>
      <c r="O480" s="474" t="s">
        <v>19</v>
      </c>
      <c r="P480" s="477"/>
      <c r="Q480" s="477" t="s">
        <v>291</v>
      </c>
      <c r="R480" s="477"/>
      <c r="S480" s="477" t="s">
        <v>20</v>
      </c>
      <c r="T480" s="477"/>
      <c r="U480" s="477" t="s">
        <v>21</v>
      </c>
      <c r="V480" s="477"/>
      <c r="W480" s="477" t="s">
        <v>22</v>
      </c>
      <c r="X480" s="756"/>
      <c r="Y480" s="757"/>
      <c r="Z480" s="757"/>
      <c r="AA480" s="758"/>
      <c r="AB480" s="792"/>
    </row>
    <row r="481" spans="1:28" ht="12.6" customHeight="1" x14ac:dyDescent="0.2">
      <c r="A481" s="18"/>
      <c r="B481" s="683" t="s">
        <v>785</v>
      </c>
      <c r="C481" s="684"/>
      <c r="D481" s="684"/>
      <c r="E481" s="685"/>
      <c r="F481" s="330">
        <v>3545</v>
      </c>
      <c r="G481" s="287">
        <f t="shared" ref="G481" si="1253">+F481*$X$1</f>
        <v>3545</v>
      </c>
      <c r="H481" s="564"/>
      <c r="I481" s="287"/>
      <c r="J481" s="564">
        <f>F481+200</f>
        <v>3745</v>
      </c>
      <c r="K481" s="287">
        <f>+J481*$X$1</f>
        <v>3745</v>
      </c>
      <c r="L481" s="564">
        <f>F481+150</f>
        <v>3695</v>
      </c>
      <c r="M481" s="287">
        <f>+L481*$X$1</f>
        <v>3695</v>
      </c>
      <c r="N481" s="564">
        <f>F481+110</f>
        <v>3655</v>
      </c>
      <c r="O481" s="287">
        <f>+N481*$X$1</f>
        <v>3655</v>
      </c>
      <c r="P481" s="564">
        <f>F481+85</f>
        <v>3630</v>
      </c>
      <c r="Q481" s="287">
        <f>+P481*$X$1</f>
        <v>3630</v>
      </c>
      <c r="R481" s="564">
        <f>F481+65</f>
        <v>3610</v>
      </c>
      <c r="S481" s="287">
        <f>+R481*$X$1</f>
        <v>3610</v>
      </c>
      <c r="T481" s="564">
        <f>F481+55</f>
        <v>3600</v>
      </c>
      <c r="U481" s="287">
        <f>+T481*$X$1</f>
        <v>3600</v>
      </c>
      <c r="V481" s="564">
        <f>F481+43</f>
        <v>3588</v>
      </c>
      <c r="W481" s="287">
        <f>+V481*$X$1</f>
        <v>3588</v>
      </c>
      <c r="X481" s="694"/>
      <c r="Y481" s="694"/>
      <c r="Z481" s="694"/>
      <c r="AA481" s="679"/>
      <c r="AB481" s="192" t="s">
        <v>784</v>
      </c>
    </row>
    <row r="482" spans="1:28" ht="12.6" customHeight="1" x14ac:dyDescent="0.2">
      <c r="A482" s="18"/>
      <c r="B482" s="680" t="s">
        <v>384</v>
      </c>
      <c r="C482" s="691"/>
      <c r="D482" s="691"/>
      <c r="E482" s="692"/>
      <c r="F482" s="381">
        <f>1.2*X2</f>
        <v>1278</v>
      </c>
      <c r="G482" s="288">
        <f t="shared" ref="G482:G483" si="1254">+F482*$X$1</f>
        <v>1278</v>
      </c>
      <c r="H482" s="460">
        <f>F482+500</f>
        <v>1778</v>
      </c>
      <c r="I482" s="288">
        <f>+H482*$X$1</f>
        <v>1778</v>
      </c>
      <c r="J482" s="460">
        <f>F482+200</f>
        <v>1478</v>
      </c>
      <c r="K482" s="288">
        <f>+J482*$X$1</f>
        <v>1478</v>
      </c>
      <c r="L482" s="460">
        <f>F482+150</f>
        <v>1428</v>
      </c>
      <c r="M482" s="288">
        <f>+L482*$X$1</f>
        <v>1428</v>
      </c>
      <c r="N482" s="460">
        <f>F482+110</f>
        <v>1388</v>
      </c>
      <c r="O482" s="288">
        <f>+N482*$X$1</f>
        <v>1388</v>
      </c>
      <c r="P482" s="460">
        <f>F482+85</f>
        <v>1363</v>
      </c>
      <c r="Q482" s="288">
        <f>+P482*$X$1</f>
        <v>1363</v>
      </c>
      <c r="R482" s="460">
        <f>F482+65</f>
        <v>1343</v>
      </c>
      <c r="S482" s="288">
        <f>+R482*$X$1</f>
        <v>1343</v>
      </c>
      <c r="T482" s="460">
        <f>F482+55</f>
        <v>1333</v>
      </c>
      <c r="U482" s="288">
        <f>+T482*$X$1</f>
        <v>1333</v>
      </c>
      <c r="V482" s="460">
        <f>F482+43</f>
        <v>1321</v>
      </c>
      <c r="W482" s="288">
        <f>+V482*$X$1</f>
        <v>1321</v>
      </c>
      <c r="X482" s="694"/>
      <c r="Y482" s="678"/>
      <c r="Z482" s="678"/>
      <c r="AA482" s="679"/>
      <c r="AB482" s="192" t="s">
        <v>429</v>
      </c>
    </row>
    <row r="483" spans="1:28" ht="12.6" customHeight="1" x14ac:dyDescent="0.2">
      <c r="A483" s="18"/>
      <c r="B483" s="683" t="s">
        <v>906</v>
      </c>
      <c r="C483" s="684"/>
      <c r="D483" s="684"/>
      <c r="E483" s="685"/>
      <c r="F483" s="380">
        <f>3.99*X2</f>
        <v>4249.3500000000004</v>
      </c>
      <c r="G483" s="287">
        <f t="shared" si="1254"/>
        <v>4249.3500000000004</v>
      </c>
      <c r="H483" s="584">
        <f>F483+500</f>
        <v>4749.3500000000004</v>
      </c>
      <c r="I483" s="287">
        <f t="shared" ref="I483" si="1255">+H483*$X$1</f>
        <v>4749.3500000000004</v>
      </c>
      <c r="J483" s="584">
        <f>F483+200</f>
        <v>4449.3500000000004</v>
      </c>
      <c r="K483" s="287">
        <f t="shared" ref="K483" si="1256">+J483*$X$1</f>
        <v>4449.3500000000004</v>
      </c>
      <c r="L483" s="584">
        <f>F483+150</f>
        <v>4399.3500000000004</v>
      </c>
      <c r="M483" s="287">
        <f t="shared" ref="M483" si="1257">+L483*$X$1</f>
        <v>4399.3500000000004</v>
      </c>
      <c r="N483" s="584">
        <f>F483+110</f>
        <v>4359.3500000000004</v>
      </c>
      <c r="O483" s="287">
        <f t="shared" ref="O483" si="1258">+N483*$X$1</f>
        <v>4359.3500000000004</v>
      </c>
      <c r="P483" s="584">
        <f>F483+85</f>
        <v>4334.3500000000004</v>
      </c>
      <c r="Q483" s="287">
        <f t="shared" ref="Q483" si="1259">+P483*$X$1</f>
        <v>4334.3500000000004</v>
      </c>
      <c r="R483" s="584">
        <f>F483+65</f>
        <v>4314.3500000000004</v>
      </c>
      <c r="S483" s="287">
        <f t="shared" ref="S483" si="1260">+R483*$X$1</f>
        <v>4314.3500000000004</v>
      </c>
      <c r="T483" s="584">
        <f>F483+55</f>
        <v>4304.3500000000004</v>
      </c>
      <c r="U483" s="287">
        <f t="shared" ref="U483" si="1261">+T483*$X$1</f>
        <v>4304.3500000000004</v>
      </c>
      <c r="V483" s="584">
        <f>F483+43</f>
        <v>4292.3500000000004</v>
      </c>
      <c r="W483" s="287">
        <f t="shared" ref="W483" si="1262">+V483*$X$1</f>
        <v>4292.3500000000004</v>
      </c>
      <c r="X483" s="694"/>
      <c r="Y483" s="694"/>
      <c r="Z483" s="694"/>
      <c r="AA483" s="679"/>
      <c r="AB483" s="192" t="s">
        <v>817</v>
      </c>
    </row>
    <row r="484" spans="1:28" ht="12.6" customHeight="1" x14ac:dyDescent="0.2">
      <c r="A484" s="18"/>
      <c r="B484" s="702" t="s">
        <v>268</v>
      </c>
      <c r="C484" s="703"/>
      <c r="D484" s="703"/>
      <c r="E484" s="703"/>
      <c r="F484" s="517">
        <v>3820</v>
      </c>
      <c r="G484" s="288">
        <f t="shared" ref="G484:G487" si="1263">+F484*$X$1</f>
        <v>3820</v>
      </c>
      <c r="H484" s="280"/>
      <c r="I484" s="344"/>
      <c r="J484" s="460">
        <f>F484+66</f>
        <v>3886</v>
      </c>
      <c r="K484" s="288"/>
      <c r="L484" s="460">
        <f t="shared" ref="L484:L488" si="1264">F484+340</f>
        <v>4160</v>
      </c>
      <c r="M484" s="288">
        <f t="shared" ref="M484" si="1265">+L484*$X$1</f>
        <v>4160</v>
      </c>
      <c r="N484" s="460">
        <f t="shared" ref="N484:N488" si="1266">F484+310</f>
        <v>4130</v>
      </c>
      <c r="O484" s="288">
        <f t="shared" ref="O484" si="1267">+N484*$X$1</f>
        <v>4130</v>
      </c>
      <c r="P484" s="460">
        <f t="shared" ref="P484:P488" si="1268">F484+280</f>
        <v>4100</v>
      </c>
      <c r="Q484" s="288">
        <f t="shared" ref="Q484" si="1269">+P484*$X$1</f>
        <v>4100</v>
      </c>
      <c r="R484" s="460">
        <f t="shared" ref="R484:R488" si="1270">F484+250</f>
        <v>4070</v>
      </c>
      <c r="S484" s="288">
        <f t="shared" ref="S484" si="1271">+R484*$X$1</f>
        <v>4070</v>
      </c>
      <c r="T484" s="460">
        <f t="shared" ref="T484:T488" si="1272">F484+220</f>
        <v>4040</v>
      </c>
      <c r="U484" s="288">
        <f t="shared" ref="U484" si="1273">+T484*$X$1</f>
        <v>4040</v>
      </c>
      <c r="V484" s="460">
        <f t="shared" ref="V484:V488" si="1274">F484+200</f>
        <v>4020</v>
      </c>
      <c r="W484" s="288">
        <f t="shared" ref="W484" si="1275">+V484*$X$1</f>
        <v>4020</v>
      </c>
      <c r="X484" s="145"/>
      <c r="Y484" s="131"/>
      <c r="Z484" s="131"/>
      <c r="AA484" s="131"/>
      <c r="AB484" s="192" t="s">
        <v>269</v>
      </c>
    </row>
    <row r="485" spans="1:28" ht="12.6" customHeight="1" x14ac:dyDescent="0.2">
      <c r="A485" s="18"/>
      <c r="B485" s="711" t="s">
        <v>270</v>
      </c>
      <c r="C485" s="712"/>
      <c r="D485" s="712"/>
      <c r="E485" s="712"/>
      <c r="F485" s="330">
        <v>5325</v>
      </c>
      <c r="G485" s="287">
        <f t="shared" si="1263"/>
        <v>5325</v>
      </c>
      <c r="H485" s="281"/>
      <c r="I485" s="343"/>
      <c r="J485" s="584">
        <f>F485+66</f>
        <v>5391</v>
      </c>
      <c r="K485" s="287"/>
      <c r="L485" s="584">
        <f t="shared" si="1264"/>
        <v>5665</v>
      </c>
      <c r="M485" s="287">
        <f t="shared" ref="M485:M487" si="1276">+L485*$X$1</f>
        <v>5665</v>
      </c>
      <c r="N485" s="584">
        <f t="shared" si="1266"/>
        <v>5635</v>
      </c>
      <c r="O485" s="287">
        <f t="shared" ref="O485:O487" si="1277">+N485*$X$1</f>
        <v>5635</v>
      </c>
      <c r="P485" s="584">
        <f t="shared" si="1268"/>
        <v>5605</v>
      </c>
      <c r="Q485" s="287">
        <f t="shared" ref="Q485:Q487" si="1278">+P485*$X$1</f>
        <v>5605</v>
      </c>
      <c r="R485" s="584">
        <f t="shared" si="1270"/>
        <v>5575</v>
      </c>
      <c r="S485" s="287">
        <f t="shared" ref="S485:S487" si="1279">+R485*$X$1</f>
        <v>5575</v>
      </c>
      <c r="T485" s="584">
        <f t="shared" si="1272"/>
        <v>5545</v>
      </c>
      <c r="U485" s="287">
        <f t="shared" ref="U485:U487" si="1280">+T485*$X$1</f>
        <v>5545</v>
      </c>
      <c r="V485" s="584">
        <f t="shared" si="1274"/>
        <v>5525</v>
      </c>
      <c r="W485" s="287">
        <f t="shared" ref="W485:W487" si="1281">+V485*$X$1</f>
        <v>5525</v>
      </c>
      <c r="X485" s="145"/>
      <c r="Y485" s="131"/>
      <c r="Z485" s="131"/>
      <c r="AA485" s="131"/>
      <c r="AB485" s="420"/>
    </row>
    <row r="486" spans="1:28" ht="12.6" customHeight="1" x14ac:dyDescent="0.2">
      <c r="A486" s="18"/>
      <c r="B486" s="689" t="s">
        <v>271</v>
      </c>
      <c r="C486" s="690"/>
      <c r="D486" s="690"/>
      <c r="E486" s="690"/>
      <c r="F486" s="329">
        <v>4154</v>
      </c>
      <c r="G486" s="288">
        <f t="shared" si="1263"/>
        <v>4154</v>
      </c>
      <c r="H486" s="280"/>
      <c r="I486" s="344"/>
      <c r="J486" s="460">
        <f>F486+80</f>
        <v>4234</v>
      </c>
      <c r="K486" s="288"/>
      <c r="L486" s="460">
        <f t="shared" si="1264"/>
        <v>4494</v>
      </c>
      <c r="M486" s="288">
        <f t="shared" si="1276"/>
        <v>4494</v>
      </c>
      <c r="N486" s="460">
        <f t="shared" si="1266"/>
        <v>4464</v>
      </c>
      <c r="O486" s="288">
        <f t="shared" si="1277"/>
        <v>4464</v>
      </c>
      <c r="P486" s="460">
        <f t="shared" si="1268"/>
        <v>4434</v>
      </c>
      <c r="Q486" s="288">
        <f t="shared" si="1278"/>
        <v>4434</v>
      </c>
      <c r="R486" s="460">
        <f t="shared" si="1270"/>
        <v>4404</v>
      </c>
      <c r="S486" s="288">
        <f t="shared" si="1279"/>
        <v>4404</v>
      </c>
      <c r="T486" s="460">
        <f t="shared" si="1272"/>
        <v>4374</v>
      </c>
      <c r="U486" s="288">
        <f t="shared" si="1280"/>
        <v>4374</v>
      </c>
      <c r="V486" s="460">
        <f t="shared" si="1274"/>
        <v>4354</v>
      </c>
      <c r="W486" s="288">
        <f t="shared" si="1281"/>
        <v>4354</v>
      </c>
      <c r="X486" s="145"/>
      <c r="Y486" s="131"/>
      <c r="Z486" s="131"/>
      <c r="AA486" s="131"/>
      <c r="AB486" s="192" t="s">
        <v>272</v>
      </c>
    </row>
    <row r="487" spans="1:28" ht="12.6" customHeight="1" x14ac:dyDescent="0.2">
      <c r="A487" s="18"/>
      <c r="B487" s="711" t="s">
        <v>273</v>
      </c>
      <c r="C487" s="712"/>
      <c r="D487" s="712"/>
      <c r="E487" s="712"/>
      <c r="F487" s="330">
        <v>5860</v>
      </c>
      <c r="G487" s="287">
        <f t="shared" si="1263"/>
        <v>5860</v>
      </c>
      <c r="H487" s="281"/>
      <c r="I487" s="343"/>
      <c r="J487" s="584">
        <f>F487+80</f>
        <v>5940</v>
      </c>
      <c r="K487" s="287"/>
      <c r="L487" s="584">
        <f t="shared" si="1264"/>
        <v>6200</v>
      </c>
      <c r="M487" s="287">
        <f t="shared" si="1276"/>
        <v>6200</v>
      </c>
      <c r="N487" s="584">
        <f t="shared" si="1266"/>
        <v>6170</v>
      </c>
      <c r="O487" s="287">
        <f t="shared" si="1277"/>
        <v>6170</v>
      </c>
      <c r="P487" s="584">
        <f t="shared" si="1268"/>
        <v>6140</v>
      </c>
      <c r="Q487" s="287">
        <f t="shared" si="1278"/>
        <v>6140</v>
      </c>
      <c r="R487" s="584">
        <f t="shared" si="1270"/>
        <v>6110</v>
      </c>
      <c r="S487" s="287">
        <f t="shared" si="1279"/>
        <v>6110</v>
      </c>
      <c r="T487" s="584">
        <f t="shared" si="1272"/>
        <v>6080</v>
      </c>
      <c r="U487" s="287">
        <f t="shared" si="1280"/>
        <v>6080</v>
      </c>
      <c r="V487" s="584">
        <f t="shared" si="1274"/>
        <v>6060</v>
      </c>
      <c r="W487" s="287">
        <f t="shared" si="1281"/>
        <v>6060</v>
      </c>
      <c r="X487" s="145"/>
      <c r="Y487" s="131"/>
      <c r="Z487" s="131"/>
      <c r="AA487" s="131"/>
      <c r="AB487" s="420"/>
    </row>
    <row r="488" spans="1:28" ht="12.6" customHeight="1" x14ac:dyDescent="0.2">
      <c r="A488" s="18"/>
      <c r="B488" s="695" t="s">
        <v>912</v>
      </c>
      <c r="C488" s="696"/>
      <c r="D488" s="696"/>
      <c r="E488" s="696"/>
      <c r="F488" s="329">
        <v>9870</v>
      </c>
      <c r="G488" s="288">
        <f t="shared" ref="G488" si="1282">+F488*$X$1</f>
        <v>9870</v>
      </c>
      <c r="H488" s="280"/>
      <c r="I488" s="344"/>
      <c r="J488" s="460">
        <f>F488+390</f>
        <v>10260</v>
      </c>
      <c r="K488" s="288">
        <f t="shared" ref="K488" si="1283">+J488*$X$1</f>
        <v>10260</v>
      </c>
      <c r="L488" s="460">
        <f t="shared" si="1264"/>
        <v>10210</v>
      </c>
      <c r="M488" s="288">
        <f t="shared" ref="M488" si="1284">+L488*$X$1</f>
        <v>10210</v>
      </c>
      <c r="N488" s="460">
        <f t="shared" si="1266"/>
        <v>10180</v>
      </c>
      <c r="O488" s="288">
        <f t="shared" ref="O488" si="1285">+N488*$X$1</f>
        <v>10180</v>
      </c>
      <c r="P488" s="460">
        <f t="shared" si="1268"/>
        <v>10150</v>
      </c>
      <c r="Q488" s="288">
        <f t="shared" ref="Q488" si="1286">+P488*$X$1</f>
        <v>10150</v>
      </c>
      <c r="R488" s="460">
        <f t="shared" si="1270"/>
        <v>10120</v>
      </c>
      <c r="S488" s="288">
        <f t="shared" ref="S488" si="1287">+R488*$X$1</f>
        <v>10120</v>
      </c>
      <c r="T488" s="460">
        <f t="shared" si="1272"/>
        <v>10090</v>
      </c>
      <c r="U488" s="288">
        <f t="shared" ref="U488" si="1288">+T488*$X$1</f>
        <v>10090</v>
      </c>
      <c r="V488" s="460">
        <f t="shared" si="1274"/>
        <v>10070</v>
      </c>
      <c r="W488" s="288">
        <f t="shared" ref="W488" si="1289">+V488*$X$1</f>
        <v>10070</v>
      </c>
      <c r="X488" s="145"/>
      <c r="Y488" s="131"/>
      <c r="Z488" s="131"/>
      <c r="AA488" s="131"/>
      <c r="AB488" s="192" t="s">
        <v>913</v>
      </c>
    </row>
    <row r="489" spans="1:28" ht="12.6" customHeight="1" x14ac:dyDescent="0.2">
      <c r="A489" s="18"/>
      <c r="B489" s="711" t="s">
        <v>641</v>
      </c>
      <c r="C489" s="712"/>
      <c r="D489" s="712"/>
      <c r="E489" s="712"/>
      <c r="F489" s="330">
        <v>5430</v>
      </c>
      <c r="G489" s="287">
        <f>+F489*$X$1</f>
        <v>5430</v>
      </c>
      <c r="H489" s="281"/>
      <c r="I489" s="343"/>
      <c r="J489" s="584">
        <f>F489+66</f>
        <v>5496</v>
      </c>
      <c r="K489" s="287"/>
      <c r="L489" s="584">
        <f>F489+340</f>
        <v>5770</v>
      </c>
      <c r="M489" s="287">
        <f>+L489*$X$1</f>
        <v>5770</v>
      </c>
      <c r="N489" s="584">
        <f>F489+310</f>
        <v>5740</v>
      </c>
      <c r="O489" s="287">
        <f>+N489*$X$1</f>
        <v>5740</v>
      </c>
      <c r="P489" s="584">
        <f>F489+280</f>
        <v>5710</v>
      </c>
      <c r="Q489" s="287">
        <f>+P489*$X$1</f>
        <v>5710</v>
      </c>
      <c r="R489" s="584">
        <f>F489+250</f>
        <v>5680</v>
      </c>
      <c r="S489" s="287">
        <f>+R489*$X$1</f>
        <v>5680</v>
      </c>
      <c r="T489" s="584">
        <f>F489+220</f>
        <v>5650</v>
      </c>
      <c r="U489" s="287">
        <f>+T489*$X$1</f>
        <v>5650</v>
      </c>
      <c r="V489" s="584">
        <f>F489+200</f>
        <v>5630</v>
      </c>
      <c r="W489" s="287">
        <f>+V489*$X$1</f>
        <v>5630</v>
      </c>
      <c r="X489" s="145"/>
      <c r="Y489" s="131"/>
      <c r="Z489" s="131"/>
      <c r="AA489" s="131"/>
      <c r="AB489" s="192" t="s">
        <v>274</v>
      </c>
    </row>
    <row r="490" spans="1:28" ht="12.6" customHeight="1" x14ac:dyDescent="0.2">
      <c r="A490" s="18"/>
      <c r="B490" s="689" t="s">
        <v>642</v>
      </c>
      <c r="C490" s="690"/>
      <c r="D490" s="690"/>
      <c r="E490" s="690"/>
      <c r="F490" s="329">
        <v>5990</v>
      </c>
      <c r="G490" s="288">
        <f>+F490*$X$1</f>
        <v>5990</v>
      </c>
      <c r="H490" s="280"/>
      <c r="I490" s="344"/>
      <c r="J490" s="460">
        <f>F490+80</f>
        <v>6070</v>
      </c>
      <c r="K490" s="288"/>
      <c r="L490" s="460">
        <f>F490+340</f>
        <v>6330</v>
      </c>
      <c r="M490" s="288">
        <f>+L490*$X$1</f>
        <v>6330</v>
      </c>
      <c r="N490" s="460">
        <f>F490+310</f>
        <v>6300</v>
      </c>
      <c r="O490" s="288">
        <f>+N490*$X$1</f>
        <v>6300</v>
      </c>
      <c r="P490" s="460">
        <f>F490+280</f>
        <v>6270</v>
      </c>
      <c r="Q490" s="288">
        <f>+P490*$X$1</f>
        <v>6270</v>
      </c>
      <c r="R490" s="460">
        <f>F490+250</f>
        <v>6240</v>
      </c>
      <c r="S490" s="288">
        <f>+R490*$X$1</f>
        <v>6240</v>
      </c>
      <c r="T490" s="460">
        <f>F490+220</f>
        <v>6210</v>
      </c>
      <c r="U490" s="288">
        <f>+T490*$X$1</f>
        <v>6210</v>
      </c>
      <c r="V490" s="460">
        <f>F490+200</f>
        <v>6190</v>
      </c>
      <c r="W490" s="288">
        <f>+V490*$X$1</f>
        <v>6190</v>
      </c>
      <c r="X490" s="145"/>
      <c r="Y490" s="131"/>
      <c r="Z490" s="131"/>
      <c r="AA490" s="131"/>
      <c r="AB490" s="192" t="s">
        <v>275</v>
      </c>
    </row>
    <row r="491" spans="1:28" ht="12.6" customHeight="1" x14ac:dyDescent="0.25">
      <c r="A491" s="18"/>
      <c r="B491" s="711" t="s">
        <v>329</v>
      </c>
      <c r="C491" s="712"/>
      <c r="D491" s="712"/>
      <c r="E491" s="712"/>
      <c r="F491" s="330">
        <v>7523</v>
      </c>
      <c r="G491" s="287">
        <f>+F491*$X$1</f>
        <v>7523</v>
      </c>
      <c r="H491" s="584">
        <f t="shared" ref="H491:H496" si="1290">F491+500</f>
        <v>8023</v>
      </c>
      <c r="I491" s="287">
        <f t="shared" ref="I491:I497" si="1291">+H491*$X$1</f>
        <v>8023</v>
      </c>
      <c r="J491" s="584">
        <f t="shared" ref="J491:J496" si="1292">F491+360</f>
        <v>7883</v>
      </c>
      <c r="K491" s="287">
        <f t="shared" ref="K491:K497" si="1293">+J491*$X$1</f>
        <v>7883</v>
      </c>
      <c r="L491" s="584">
        <f t="shared" ref="L491:L496" si="1294">F491+310</f>
        <v>7833</v>
      </c>
      <c r="M491" s="287">
        <f>+L491*$X$1</f>
        <v>7833</v>
      </c>
      <c r="N491" s="584">
        <f t="shared" ref="N491:N496" si="1295">F491+280</f>
        <v>7803</v>
      </c>
      <c r="O491" s="287">
        <f t="shared" ref="O491" si="1296">+N491*$X$1</f>
        <v>7803</v>
      </c>
      <c r="P491" s="584">
        <f t="shared" ref="P491:P496" si="1297">F491+250</f>
        <v>7773</v>
      </c>
      <c r="Q491" s="287">
        <f t="shared" ref="Q491" si="1298">+P491*$X$1</f>
        <v>7773</v>
      </c>
      <c r="R491" s="584">
        <f t="shared" ref="R491:R496" si="1299">F491+230</f>
        <v>7753</v>
      </c>
      <c r="S491" s="287">
        <f t="shared" ref="S491" si="1300">+R491*$X$1</f>
        <v>7753</v>
      </c>
      <c r="T491" s="584">
        <f t="shared" ref="T491:T496" si="1301">F491+210</f>
        <v>7733</v>
      </c>
      <c r="U491" s="287">
        <f t="shared" ref="U491" si="1302">+T491*$X$1</f>
        <v>7733</v>
      </c>
      <c r="V491" s="584">
        <f t="shared" ref="V491:V496" si="1303">F491+190</f>
        <v>7713</v>
      </c>
      <c r="W491" s="287">
        <f t="shared" ref="W491" si="1304">+V491*$X$1</f>
        <v>7713</v>
      </c>
      <c r="X491" s="772"/>
      <c r="Y491" s="773"/>
      <c r="Z491" s="773"/>
      <c r="AA491" s="773"/>
      <c r="AB491" s="192" t="s">
        <v>276</v>
      </c>
    </row>
    <row r="492" spans="1:28" ht="12.6" customHeight="1" x14ac:dyDescent="0.25">
      <c r="A492" s="18"/>
      <c r="B492" s="991" t="s">
        <v>509</v>
      </c>
      <c r="C492" s="691"/>
      <c r="D492" s="691"/>
      <c r="E492" s="692"/>
      <c r="F492" s="329">
        <v>3510</v>
      </c>
      <c r="G492" s="288">
        <f t="shared" ref="G492" si="1305">+F492*$X$1</f>
        <v>3510</v>
      </c>
      <c r="H492" s="460">
        <f t="shared" si="1290"/>
        <v>4010</v>
      </c>
      <c r="I492" s="288">
        <f t="shared" ref="I492:I496" si="1306">+H492*$X$1</f>
        <v>4010</v>
      </c>
      <c r="J492" s="460">
        <f t="shared" si="1292"/>
        <v>3870</v>
      </c>
      <c r="K492" s="288">
        <f t="shared" ref="K492:K496" si="1307">+J492*$X$1</f>
        <v>3870</v>
      </c>
      <c r="L492" s="460">
        <f t="shared" si="1294"/>
        <v>3820</v>
      </c>
      <c r="M492" s="288">
        <f t="shared" ref="M492:M497" si="1308">+L492*$X$1</f>
        <v>3820</v>
      </c>
      <c r="N492" s="460">
        <f t="shared" si="1295"/>
        <v>3790</v>
      </c>
      <c r="O492" s="288">
        <f t="shared" ref="O492:O497" si="1309">+N492*$X$1</f>
        <v>3790</v>
      </c>
      <c r="P492" s="460">
        <f t="shared" si="1297"/>
        <v>3760</v>
      </c>
      <c r="Q492" s="288">
        <f t="shared" ref="Q492:Q497" si="1310">+P492*$X$1</f>
        <v>3760</v>
      </c>
      <c r="R492" s="460">
        <f t="shared" si="1299"/>
        <v>3740</v>
      </c>
      <c r="S492" s="288">
        <f t="shared" ref="S492:S497" si="1311">+R492*$X$1</f>
        <v>3740</v>
      </c>
      <c r="T492" s="460">
        <f t="shared" si="1301"/>
        <v>3720</v>
      </c>
      <c r="U492" s="288">
        <f t="shared" ref="U492:U497" si="1312">+T492*$X$1</f>
        <v>3720</v>
      </c>
      <c r="V492" s="460">
        <f t="shared" si="1303"/>
        <v>3700</v>
      </c>
      <c r="W492" s="288">
        <f t="shared" ref="W492:W497" si="1313">+V492*$X$1</f>
        <v>3700</v>
      </c>
      <c r="X492" s="772"/>
      <c r="Y492" s="773"/>
      <c r="Z492" s="773"/>
      <c r="AA492" s="773"/>
      <c r="AB492" s="192" t="s">
        <v>443</v>
      </c>
    </row>
    <row r="493" spans="1:28" ht="12.6" customHeight="1" x14ac:dyDescent="0.2">
      <c r="A493" s="18"/>
      <c r="B493" s="711" t="s">
        <v>381</v>
      </c>
      <c r="C493" s="712"/>
      <c r="D493" s="712"/>
      <c r="E493" s="712"/>
      <c r="F493" s="330">
        <v>4124</v>
      </c>
      <c r="G493" s="287">
        <f>+F493*$X$1</f>
        <v>4124</v>
      </c>
      <c r="H493" s="584">
        <f t="shared" si="1290"/>
        <v>4624</v>
      </c>
      <c r="I493" s="287">
        <f t="shared" si="1306"/>
        <v>4624</v>
      </c>
      <c r="J493" s="584">
        <f t="shared" si="1292"/>
        <v>4484</v>
      </c>
      <c r="K493" s="287">
        <f t="shared" si="1307"/>
        <v>4484</v>
      </c>
      <c r="L493" s="584">
        <f t="shared" si="1294"/>
        <v>4434</v>
      </c>
      <c r="M493" s="287">
        <f t="shared" si="1308"/>
        <v>4434</v>
      </c>
      <c r="N493" s="584">
        <f t="shared" si="1295"/>
        <v>4404</v>
      </c>
      <c r="O493" s="287">
        <f t="shared" si="1309"/>
        <v>4404</v>
      </c>
      <c r="P493" s="584">
        <f t="shared" si="1297"/>
        <v>4374</v>
      </c>
      <c r="Q493" s="287">
        <f t="shared" si="1310"/>
        <v>4374</v>
      </c>
      <c r="R493" s="584">
        <f t="shared" si="1299"/>
        <v>4354</v>
      </c>
      <c r="S493" s="287">
        <f t="shared" si="1311"/>
        <v>4354</v>
      </c>
      <c r="T493" s="584">
        <f t="shared" si="1301"/>
        <v>4334</v>
      </c>
      <c r="U493" s="287">
        <f t="shared" si="1312"/>
        <v>4334</v>
      </c>
      <c r="V493" s="584">
        <f t="shared" si="1303"/>
        <v>4314</v>
      </c>
      <c r="W493" s="287">
        <f t="shared" si="1313"/>
        <v>4314</v>
      </c>
      <c r="X493" s="769"/>
      <c r="Y493" s="770"/>
      <c r="Z493" s="770"/>
      <c r="AA493" s="771"/>
      <c r="AB493" s="192" t="s">
        <v>277</v>
      </c>
    </row>
    <row r="494" spans="1:28" ht="12.6" customHeight="1" x14ac:dyDescent="0.25">
      <c r="A494" s="18"/>
      <c r="B494" s="796" t="s">
        <v>839</v>
      </c>
      <c r="C494" s="797"/>
      <c r="D494" s="797"/>
      <c r="E494" s="797"/>
      <c r="F494" s="329">
        <v>4124</v>
      </c>
      <c r="G494" s="288">
        <f t="shared" ref="G494:G496" si="1314">+F494*$X$1</f>
        <v>4124</v>
      </c>
      <c r="H494" s="460">
        <f t="shared" si="1290"/>
        <v>4624</v>
      </c>
      <c r="I494" s="288">
        <f t="shared" si="1306"/>
        <v>4624</v>
      </c>
      <c r="J494" s="460">
        <f t="shared" si="1292"/>
        <v>4484</v>
      </c>
      <c r="K494" s="288">
        <f t="shared" si="1307"/>
        <v>4484</v>
      </c>
      <c r="L494" s="460">
        <f t="shared" si="1294"/>
        <v>4434</v>
      </c>
      <c r="M494" s="288">
        <f t="shared" si="1308"/>
        <v>4434</v>
      </c>
      <c r="N494" s="460">
        <f t="shared" si="1295"/>
        <v>4404</v>
      </c>
      <c r="O494" s="288">
        <f t="shared" si="1309"/>
        <v>4404</v>
      </c>
      <c r="P494" s="460">
        <f t="shared" si="1297"/>
        <v>4374</v>
      </c>
      <c r="Q494" s="288">
        <f t="shared" si="1310"/>
        <v>4374</v>
      </c>
      <c r="R494" s="460">
        <f t="shared" si="1299"/>
        <v>4354</v>
      </c>
      <c r="S494" s="288">
        <f t="shared" si="1311"/>
        <v>4354</v>
      </c>
      <c r="T494" s="460">
        <f t="shared" si="1301"/>
        <v>4334</v>
      </c>
      <c r="U494" s="288">
        <f t="shared" si="1312"/>
        <v>4334</v>
      </c>
      <c r="V494" s="460">
        <f t="shared" si="1303"/>
        <v>4314</v>
      </c>
      <c r="W494" s="288">
        <f t="shared" si="1313"/>
        <v>4314</v>
      </c>
      <c r="X494" s="772"/>
      <c r="Y494" s="773"/>
      <c r="Z494" s="773"/>
      <c r="AA494" s="773"/>
      <c r="AB494" s="192" t="s">
        <v>278</v>
      </c>
    </row>
    <row r="495" spans="1:28" ht="12.6" customHeight="1" x14ac:dyDescent="0.25">
      <c r="A495" s="18"/>
      <c r="B495" s="907" t="s">
        <v>541</v>
      </c>
      <c r="C495" s="684"/>
      <c r="D495" s="684"/>
      <c r="E495" s="685"/>
      <c r="F495" s="456">
        <v>3510</v>
      </c>
      <c r="G495" s="287">
        <f>+F495*$X$1</f>
        <v>3510</v>
      </c>
      <c r="H495" s="584">
        <f t="shared" si="1290"/>
        <v>4010</v>
      </c>
      <c r="I495" s="287">
        <f t="shared" si="1306"/>
        <v>4010</v>
      </c>
      <c r="J495" s="584">
        <f t="shared" si="1292"/>
        <v>3870</v>
      </c>
      <c r="K495" s="287">
        <f t="shared" si="1307"/>
        <v>3870</v>
      </c>
      <c r="L495" s="584">
        <f t="shared" si="1294"/>
        <v>3820</v>
      </c>
      <c r="M495" s="287">
        <f t="shared" si="1308"/>
        <v>3820</v>
      </c>
      <c r="N495" s="584">
        <f t="shared" si="1295"/>
        <v>3790</v>
      </c>
      <c r="O495" s="287">
        <f t="shared" si="1309"/>
        <v>3790</v>
      </c>
      <c r="P495" s="584">
        <f t="shared" si="1297"/>
        <v>3760</v>
      </c>
      <c r="Q495" s="287">
        <f t="shared" si="1310"/>
        <v>3760</v>
      </c>
      <c r="R495" s="584">
        <f t="shared" si="1299"/>
        <v>3740</v>
      </c>
      <c r="S495" s="287">
        <f t="shared" si="1311"/>
        <v>3740</v>
      </c>
      <c r="T495" s="584">
        <f t="shared" si="1301"/>
        <v>3720</v>
      </c>
      <c r="U495" s="287">
        <f t="shared" si="1312"/>
        <v>3720</v>
      </c>
      <c r="V495" s="584">
        <f t="shared" si="1303"/>
        <v>3700</v>
      </c>
      <c r="W495" s="287">
        <f t="shared" si="1313"/>
        <v>3700</v>
      </c>
      <c r="X495" s="772"/>
      <c r="Y495" s="773"/>
      <c r="Z495" s="773"/>
      <c r="AA495" s="773"/>
      <c r="AB495" s="29"/>
    </row>
    <row r="496" spans="1:28" ht="12.6" customHeight="1" x14ac:dyDescent="0.25">
      <c r="A496" s="18"/>
      <c r="B496" s="689" t="s">
        <v>328</v>
      </c>
      <c r="C496" s="690"/>
      <c r="D496" s="690"/>
      <c r="E496" s="690"/>
      <c r="F496" s="329">
        <v>6990</v>
      </c>
      <c r="G496" s="288">
        <f t="shared" si="1314"/>
        <v>6990</v>
      </c>
      <c r="H496" s="460">
        <f t="shared" si="1290"/>
        <v>7490</v>
      </c>
      <c r="I496" s="288">
        <f t="shared" si="1306"/>
        <v>7490</v>
      </c>
      <c r="J496" s="460">
        <f t="shared" si="1292"/>
        <v>7350</v>
      </c>
      <c r="K496" s="288">
        <f t="shared" si="1307"/>
        <v>7350</v>
      </c>
      <c r="L496" s="460">
        <f t="shared" si="1294"/>
        <v>7300</v>
      </c>
      <c r="M496" s="288">
        <f t="shared" si="1308"/>
        <v>7300</v>
      </c>
      <c r="N496" s="460">
        <f t="shared" si="1295"/>
        <v>7270</v>
      </c>
      <c r="O496" s="288">
        <f t="shared" si="1309"/>
        <v>7270</v>
      </c>
      <c r="P496" s="460">
        <f t="shared" si="1297"/>
        <v>7240</v>
      </c>
      <c r="Q496" s="288">
        <f t="shared" si="1310"/>
        <v>7240</v>
      </c>
      <c r="R496" s="460">
        <f t="shared" si="1299"/>
        <v>7220</v>
      </c>
      <c r="S496" s="288">
        <f t="shared" si="1311"/>
        <v>7220</v>
      </c>
      <c r="T496" s="460">
        <f t="shared" si="1301"/>
        <v>7200</v>
      </c>
      <c r="U496" s="288">
        <f t="shared" si="1312"/>
        <v>7200</v>
      </c>
      <c r="V496" s="460">
        <f t="shared" si="1303"/>
        <v>7180</v>
      </c>
      <c r="W496" s="288">
        <f t="shared" si="1313"/>
        <v>7180</v>
      </c>
      <c r="X496" s="772"/>
      <c r="Y496" s="773"/>
      <c r="Z496" s="773"/>
      <c r="AA496" s="773"/>
      <c r="AB496" s="192" t="s">
        <v>279</v>
      </c>
    </row>
    <row r="497" spans="1:34" ht="12.6" customHeight="1" x14ac:dyDescent="0.2">
      <c r="A497" s="18"/>
      <c r="B497" s="711" t="s">
        <v>765</v>
      </c>
      <c r="C497" s="990"/>
      <c r="D497" s="990"/>
      <c r="E497" s="990"/>
      <c r="F497" s="330">
        <v>12023</v>
      </c>
      <c r="G497" s="287">
        <f>+F497*$X$1</f>
        <v>12023</v>
      </c>
      <c r="H497" s="584">
        <f t="shared" ref="H497:H502" si="1315">F497+550</f>
        <v>12573</v>
      </c>
      <c r="I497" s="287">
        <f t="shared" si="1291"/>
        <v>12573</v>
      </c>
      <c r="J497" s="584">
        <f>F497+390</f>
        <v>12413</v>
      </c>
      <c r="K497" s="287">
        <f t="shared" si="1293"/>
        <v>12413</v>
      </c>
      <c r="L497" s="584">
        <f t="shared" ref="L497:L502" si="1316">F497+340</f>
        <v>12363</v>
      </c>
      <c r="M497" s="287">
        <f t="shared" si="1308"/>
        <v>12363</v>
      </c>
      <c r="N497" s="584">
        <f t="shared" ref="N497:N502" si="1317">F497+310</f>
        <v>12333</v>
      </c>
      <c r="O497" s="287">
        <f t="shared" si="1309"/>
        <v>12333</v>
      </c>
      <c r="P497" s="584">
        <f t="shared" ref="P497:P502" si="1318">F497+280</f>
        <v>12303</v>
      </c>
      <c r="Q497" s="287">
        <f t="shared" si="1310"/>
        <v>12303</v>
      </c>
      <c r="R497" s="584">
        <f t="shared" ref="R497:R502" si="1319">F497+250</f>
        <v>12273</v>
      </c>
      <c r="S497" s="287">
        <f t="shared" si="1311"/>
        <v>12273</v>
      </c>
      <c r="T497" s="584">
        <f t="shared" ref="T497:T502" si="1320">F497+220</f>
        <v>12243</v>
      </c>
      <c r="U497" s="287">
        <f t="shared" si="1312"/>
        <v>12243</v>
      </c>
      <c r="V497" s="584">
        <f t="shared" ref="V497:V502" si="1321">F497+200</f>
        <v>12223</v>
      </c>
      <c r="W497" s="287">
        <f t="shared" si="1313"/>
        <v>12223</v>
      </c>
      <c r="X497" s="146"/>
      <c r="Y497" s="134"/>
      <c r="Z497" s="134"/>
      <c r="AA497" s="137"/>
      <c r="AB497" s="192" t="s">
        <v>280</v>
      </c>
    </row>
    <row r="498" spans="1:34" ht="12.6" customHeight="1" x14ac:dyDescent="0.2">
      <c r="A498" s="18"/>
      <c r="B498" s="689" t="s">
        <v>766</v>
      </c>
      <c r="C498" s="937"/>
      <c r="D498" s="937"/>
      <c r="E498" s="937"/>
      <c r="F498" s="329">
        <v>12076</v>
      </c>
      <c r="G498" s="288">
        <f t="shared" ref="G498" si="1322">+F498*$X$1</f>
        <v>12076</v>
      </c>
      <c r="H498" s="460">
        <f t="shared" si="1315"/>
        <v>12626</v>
      </c>
      <c r="I498" s="288">
        <f>+H498*$X$1</f>
        <v>12626</v>
      </c>
      <c r="J498" s="460">
        <f t="shared" ref="J498:J503" si="1323">F498+390</f>
        <v>12466</v>
      </c>
      <c r="K498" s="288">
        <f>+J498*$X$1</f>
        <v>12466</v>
      </c>
      <c r="L498" s="460">
        <f t="shared" si="1316"/>
        <v>12416</v>
      </c>
      <c r="M498" s="288">
        <f>+L498*$X$1</f>
        <v>12416</v>
      </c>
      <c r="N498" s="460">
        <f t="shared" si="1317"/>
        <v>12386</v>
      </c>
      <c r="O498" s="288">
        <f>+N498*$X$1</f>
        <v>12386</v>
      </c>
      <c r="P498" s="460">
        <f t="shared" si="1318"/>
        <v>12356</v>
      </c>
      <c r="Q498" s="288">
        <f>+P498*$X$1</f>
        <v>12356</v>
      </c>
      <c r="R498" s="460">
        <f t="shared" si="1319"/>
        <v>12326</v>
      </c>
      <c r="S498" s="288">
        <f>+R498*$X$1</f>
        <v>12326</v>
      </c>
      <c r="T498" s="460">
        <f t="shared" si="1320"/>
        <v>12296</v>
      </c>
      <c r="U498" s="288">
        <f>+T498*$X$1</f>
        <v>12296</v>
      </c>
      <c r="V498" s="460">
        <f t="shared" si="1321"/>
        <v>12276</v>
      </c>
      <c r="W498" s="288">
        <f>+V498*$X$1</f>
        <v>12276</v>
      </c>
      <c r="X498" s="146"/>
      <c r="Y498" s="134"/>
      <c r="Z498" s="134"/>
      <c r="AA498" s="137"/>
      <c r="AB498" s="192" t="s">
        <v>281</v>
      </c>
    </row>
    <row r="499" spans="1:34" ht="12.6" customHeight="1" x14ac:dyDescent="0.2">
      <c r="A499" s="18"/>
      <c r="B499" s="695" t="s">
        <v>934</v>
      </c>
      <c r="C499" s="986"/>
      <c r="D499" s="986"/>
      <c r="E499" s="986"/>
      <c r="F499" s="380">
        <f>9.18*X2</f>
        <v>9776.6999999999989</v>
      </c>
      <c r="G499" s="287">
        <f t="shared" ref="G499" si="1324">+F499*$X$1</f>
        <v>9776.6999999999989</v>
      </c>
      <c r="H499" s="586">
        <f t="shared" si="1315"/>
        <v>10326.699999999999</v>
      </c>
      <c r="I499" s="287">
        <f>+H499*$X$1</f>
        <v>10326.699999999999</v>
      </c>
      <c r="J499" s="586">
        <f t="shared" si="1323"/>
        <v>10166.699999999999</v>
      </c>
      <c r="K499" s="287">
        <f>+J499*$X$1</f>
        <v>10166.699999999999</v>
      </c>
      <c r="L499" s="586">
        <f t="shared" si="1316"/>
        <v>10116.699999999999</v>
      </c>
      <c r="M499" s="287">
        <f>+L499*$X$1</f>
        <v>10116.699999999999</v>
      </c>
      <c r="N499" s="586">
        <f t="shared" si="1317"/>
        <v>10086.699999999999</v>
      </c>
      <c r="O499" s="287">
        <f>+N499*$X$1</f>
        <v>10086.699999999999</v>
      </c>
      <c r="P499" s="586">
        <f t="shared" si="1318"/>
        <v>10056.699999999999</v>
      </c>
      <c r="Q499" s="287">
        <f>+P499*$X$1</f>
        <v>10056.699999999999</v>
      </c>
      <c r="R499" s="586">
        <f t="shared" si="1319"/>
        <v>10026.699999999999</v>
      </c>
      <c r="S499" s="287">
        <f>+R499*$X$1</f>
        <v>10026.699999999999</v>
      </c>
      <c r="T499" s="586">
        <f t="shared" si="1320"/>
        <v>9996.6999999999989</v>
      </c>
      <c r="U499" s="287">
        <f>+T499*$X$1</f>
        <v>9996.6999999999989</v>
      </c>
      <c r="V499" s="586">
        <f t="shared" si="1321"/>
        <v>9976.6999999999989</v>
      </c>
      <c r="W499" s="287">
        <f>+V499*$X$1</f>
        <v>9976.6999999999989</v>
      </c>
      <c r="X499" s="146"/>
      <c r="Y499" s="134"/>
      <c r="Z499" s="134"/>
      <c r="AA499" s="137"/>
      <c r="AB499" s="192" t="s">
        <v>935</v>
      </c>
    </row>
    <row r="500" spans="1:34" ht="12.6" customHeight="1" x14ac:dyDescent="0.2">
      <c r="A500" s="18"/>
      <c r="B500" s="695" t="s">
        <v>936</v>
      </c>
      <c r="C500" s="986"/>
      <c r="D500" s="986"/>
      <c r="E500" s="986"/>
      <c r="F500" s="381">
        <f>9.4*X2</f>
        <v>10011</v>
      </c>
      <c r="G500" s="288">
        <f t="shared" ref="G500" si="1325">+F500*$X$1</f>
        <v>10011</v>
      </c>
      <c r="H500" s="460">
        <f t="shared" si="1315"/>
        <v>10561</v>
      </c>
      <c r="I500" s="288">
        <f t="shared" ref="I500" si="1326">+H500*$X$1</f>
        <v>10561</v>
      </c>
      <c r="J500" s="460">
        <f t="shared" si="1323"/>
        <v>10401</v>
      </c>
      <c r="K500" s="288">
        <f t="shared" ref="K500" si="1327">+J500*$X$1</f>
        <v>10401</v>
      </c>
      <c r="L500" s="460">
        <f t="shared" si="1316"/>
        <v>10351</v>
      </c>
      <c r="M500" s="288">
        <f t="shared" ref="M500" si="1328">+L500*$X$1</f>
        <v>10351</v>
      </c>
      <c r="N500" s="460">
        <f t="shared" si="1317"/>
        <v>10321</v>
      </c>
      <c r="O500" s="288">
        <f t="shared" ref="O500" si="1329">+N500*$X$1</f>
        <v>10321</v>
      </c>
      <c r="P500" s="460">
        <f t="shared" si="1318"/>
        <v>10291</v>
      </c>
      <c r="Q500" s="288">
        <f t="shared" ref="Q500" si="1330">+P500*$X$1</f>
        <v>10291</v>
      </c>
      <c r="R500" s="460">
        <f t="shared" si="1319"/>
        <v>10261</v>
      </c>
      <c r="S500" s="288">
        <f t="shared" ref="S500" si="1331">+R500*$X$1</f>
        <v>10261</v>
      </c>
      <c r="T500" s="460">
        <f t="shared" si="1320"/>
        <v>10231</v>
      </c>
      <c r="U500" s="288">
        <f t="shared" ref="U500" si="1332">+T500*$X$1</f>
        <v>10231</v>
      </c>
      <c r="V500" s="460">
        <f t="shared" si="1321"/>
        <v>10211</v>
      </c>
      <c r="W500" s="288">
        <f t="shared" ref="W500" si="1333">+V500*$X$1</f>
        <v>10211</v>
      </c>
      <c r="X500" s="146"/>
      <c r="Y500" s="134"/>
      <c r="Z500" s="134"/>
      <c r="AA500" s="137"/>
      <c r="AB500" s="192" t="s">
        <v>937</v>
      </c>
    </row>
    <row r="501" spans="1:34" ht="12.6" customHeight="1" x14ac:dyDescent="0.2">
      <c r="A501" s="18"/>
      <c r="B501" s="711" t="s">
        <v>282</v>
      </c>
      <c r="C501" s="712"/>
      <c r="D501" s="712"/>
      <c r="E501" s="712"/>
      <c r="F501" s="330">
        <v>8316</v>
      </c>
      <c r="G501" s="287">
        <f>+F501*$X$1</f>
        <v>8316</v>
      </c>
      <c r="H501" s="586">
        <f t="shared" si="1315"/>
        <v>8866</v>
      </c>
      <c r="I501" s="287">
        <f>+H501*$X$1</f>
        <v>8866</v>
      </c>
      <c r="J501" s="586">
        <f t="shared" si="1323"/>
        <v>8706</v>
      </c>
      <c r="K501" s="287">
        <f>+J501*$X$1</f>
        <v>8706</v>
      </c>
      <c r="L501" s="586">
        <f t="shared" si="1316"/>
        <v>8656</v>
      </c>
      <c r="M501" s="287">
        <f>+L501*$X$1</f>
        <v>8656</v>
      </c>
      <c r="N501" s="586">
        <f t="shared" si="1317"/>
        <v>8626</v>
      </c>
      <c r="O501" s="287">
        <f>+N501*$X$1</f>
        <v>8626</v>
      </c>
      <c r="P501" s="586">
        <f t="shared" si="1318"/>
        <v>8596</v>
      </c>
      <c r="Q501" s="287">
        <f>+P501*$X$1</f>
        <v>8596</v>
      </c>
      <c r="R501" s="586">
        <f t="shared" si="1319"/>
        <v>8566</v>
      </c>
      <c r="S501" s="287">
        <f>+R501*$X$1</f>
        <v>8566</v>
      </c>
      <c r="T501" s="586">
        <f t="shared" si="1320"/>
        <v>8536</v>
      </c>
      <c r="U501" s="287">
        <f>+T501*$X$1</f>
        <v>8536</v>
      </c>
      <c r="V501" s="586">
        <f t="shared" si="1321"/>
        <v>8516</v>
      </c>
      <c r="W501" s="287">
        <f>+V501*$X$1</f>
        <v>8516</v>
      </c>
      <c r="X501" s="146"/>
      <c r="Y501" s="134"/>
      <c r="Z501" s="134"/>
      <c r="AA501" s="137"/>
      <c r="AB501" s="192" t="s">
        <v>283</v>
      </c>
    </row>
    <row r="502" spans="1:34" ht="12.6" customHeight="1" x14ac:dyDescent="0.2">
      <c r="A502" s="18"/>
      <c r="B502" s="689" t="s">
        <v>284</v>
      </c>
      <c r="C502" s="690"/>
      <c r="D502" s="690"/>
      <c r="E502" s="690"/>
      <c r="F502" s="329">
        <v>9240</v>
      </c>
      <c r="G502" s="288">
        <f>+F502*$X$1</f>
        <v>9240</v>
      </c>
      <c r="H502" s="460">
        <f t="shared" si="1315"/>
        <v>9790</v>
      </c>
      <c r="I502" s="288">
        <f t="shared" ref="I502" si="1334">+H502*$X$1</f>
        <v>9790</v>
      </c>
      <c r="J502" s="460">
        <f t="shared" si="1323"/>
        <v>9630</v>
      </c>
      <c r="K502" s="288">
        <f t="shared" ref="K502:K503" si="1335">+J502*$X$1</f>
        <v>9630</v>
      </c>
      <c r="L502" s="460">
        <f t="shared" si="1316"/>
        <v>9580</v>
      </c>
      <c r="M502" s="288">
        <f t="shared" ref="M502:M503" si="1336">+L502*$X$1</f>
        <v>9580</v>
      </c>
      <c r="N502" s="460">
        <f t="shared" si="1317"/>
        <v>9550</v>
      </c>
      <c r="O502" s="288">
        <f t="shared" ref="O502:O503" si="1337">+N502*$X$1</f>
        <v>9550</v>
      </c>
      <c r="P502" s="460">
        <f t="shared" si="1318"/>
        <v>9520</v>
      </c>
      <c r="Q502" s="288">
        <f t="shared" ref="Q502:Q503" si="1338">+P502*$X$1</f>
        <v>9520</v>
      </c>
      <c r="R502" s="460">
        <f t="shared" si="1319"/>
        <v>9490</v>
      </c>
      <c r="S502" s="288">
        <f t="shared" ref="S502:S503" si="1339">+R502*$X$1</f>
        <v>9490</v>
      </c>
      <c r="T502" s="460">
        <f t="shared" si="1320"/>
        <v>9460</v>
      </c>
      <c r="U502" s="288">
        <f t="shared" ref="U502:U503" si="1340">+T502*$X$1</f>
        <v>9460</v>
      </c>
      <c r="V502" s="460">
        <f t="shared" si="1321"/>
        <v>9440</v>
      </c>
      <c r="W502" s="288">
        <f t="shared" ref="W502:W503" si="1341">+V502*$X$1</f>
        <v>9440</v>
      </c>
      <c r="X502" s="146"/>
      <c r="Y502" s="134"/>
      <c r="Z502" s="134"/>
      <c r="AA502" s="137"/>
      <c r="AB502" s="192" t="s">
        <v>285</v>
      </c>
    </row>
    <row r="503" spans="1:34" ht="12.6" customHeight="1" x14ac:dyDescent="0.2">
      <c r="A503" s="18"/>
      <c r="B503" s="695" t="s">
        <v>939</v>
      </c>
      <c r="C503" s="986"/>
      <c r="D503" s="986"/>
      <c r="E503" s="986"/>
      <c r="F503" s="330">
        <v>11390</v>
      </c>
      <c r="G503" s="287">
        <f t="shared" ref="G503" si="1342">+F503*$X$1</f>
        <v>11390</v>
      </c>
      <c r="H503" s="586"/>
      <c r="I503" s="287"/>
      <c r="J503" s="586">
        <f t="shared" si="1323"/>
        <v>11780</v>
      </c>
      <c r="K503" s="287">
        <f t="shared" si="1335"/>
        <v>11780</v>
      </c>
      <c r="L503" s="586">
        <f t="shared" ref="L503" si="1343">F503+340</f>
        <v>11730</v>
      </c>
      <c r="M503" s="287">
        <f t="shared" si="1336"/>
        <v>11730</v>
      </c>
      <c r="N503" s="586">
        <f t="shared" ref="N503" si="1344">F503+310</f>
        <v>11700</v>
      </c>
      <c r="O503" s="287">
        <f t="shared" si="1337"/>
        <v>11700</v>
      </c>
      <c r="P503" s="586">
        <f t="shared" ref="P503" si="1345">F503+280</f>
        <v>11670</v>
      </c>
      <c r="Q503" s="287">
        <f t="shared" si="1338"/>
        <v>11670</v>
      </c>
      <c r="R503" s="586">
        <f t="shared" ref="R503" si="1346">F503+250</f>
        <v>11640</v>
      </c>
      <c r="S503" s="287">
        <f t="shared" si="1339"/>
        <v>11640</v>
      </c>
      <c r="T503" s="586">
        <f t="shared" ref="T503" si="1347">F503+220</f>
        <v>11610</v>
      </c>
      <c r="U503" s="287">
        <f t="shared" si="1340"/>
        <v>11610</v>
      </c>
      <c r="V503" s="586">
        <f t="shared" ref="V503" si="1348">F503+200</f>
        <v>11590</v>
      </c>
      <c r="W503" s="287">
        <f t="shared" si="1341"/>
        <v>11590</v>
      </c>
      <c r="X503" s="146"/>
      <c r="Y503" s="134"/>
      <c r="Z503" s="134"/>
      <c r="AA503" s="137"/>
      <c r="AB503" s="192" t="s">
        <v>938</v>
      </c>
    </row>
    <row r="504" spans="1:34" ht="12.6" customHeight="1" x14ac:dyDescent="0.2">
      <c r="A504" s="18"/>
      <c r="B504" s="689" t="s">
        <v>570</v>
      </c>
      <c r="C504" s="690"/>
      <c r="D504" s="690"/>
      <c r="E504" s="690"/>
      <c r="F504" s="381">
        <f>3.82*X2</f>
        <v>4068.2999999999997</v>
      </c>
      <c r="G504" s="288">
        <f t="shared" ref="G504" si="1349">+F504*$X$1</f>
        <v>4068.2999999999997</v>
      </c>
      <c r="H504" s="460">
        <f>F504+500</f>
        <v>4568.2999999999993</v>
      </c>
      <c r="I504" s="288">
        <f t="shared" ref="I504:I507" si="1350">+H504*$X$1</f>
        <v>4568.2999999999993</v>
      </c>
      <c r="J504" s="460">
        <f>F504+300</f>
        <v>4368.2999999999993</v>
      </c>
      <c r="K504" s="288">
        <f t="shared" ref="K504:K507" si="1351">+J504*$X$1</f>
        <v>4368.2999999999993</v>
      </c>
      <c r="L504" s="460">
        <f>F504+210</f>
        <v>4278.2999999999993</v>
      </c>
      <c r="M504" s="288">
        <f t="shared" ref="M504:M507" si="1352">+L504*$X$1</f>
        <v>4278.2999999999993</v>
      </c>
      <c r="N504" s="460">
        <f>F504+180</f>
        <v>4248.2999999999993</v>
      </c>
      <c r="O504" s="288">
        <f>+N504*$X$1</f>
        <v>4248.2999999999993</v>
      </c>
      <c r="P504" s="460">
        <f>F504+160</f>
        <v>4228.2999999999993</v>
      </c>
      <c r="Q504" s="288">
        <f t="shared" ref="Q504:Q507" si="1353">+P504*$X$1</f>
        <v>4228.2999999999993</v>
      </c>
      <c r="R504" s="460">
        <f>F504+140</f>
        <v>4208.2999999999993</v>
      </c>
      <c r="S504" s="288">
        <f t="shared" ref="S504:S507" si="1354">+R504*$X$1</f>
        <v>4208.2999999999993</v>
      </c>
      <c r="T504" s="460">
        <f>F504+120</f>
        <v>4188.2999999999993</v>
      </c>
      <c r="U504" s="288">
        <f t="shared" ref="U504:U507" si="1355">+T504*$X$1</f>
        <v>4188.2999999999993</v>
      </c>
      <c r="V504" s="460">
        <f>F504+90</f>
        <v>4158.2999999999993</v>
      </c>
      <c r="W504" s="288">
        <f t="shared" ref="W504:W507" si="1356">+V504*$X$1</f>
        <v>4158.2999999999993</v>
      </c>
      <c r="X504" s="769"/>
      <c r="Y504" s="770"/>
      <c r="Z504" s="770"/>
      <c r="AA504" s="771"/>
      <c r="AB504" s="192" t="s">
        <v>286</v>
      </c>
    </row>
    <row r="505" spans="1:34" ht="12.6" customHeight="1" x14ac:dyDescent="0.2">
      <c r="A505" s="18"/>
      <c r="B505" s="711" t="s">
        <v>648</v>
      </c>
      <c r="C505" s="712"/>
      <c r="D505" s="712"/>
      <c r="E505" s="712"/>
      <c r="F505" s="380">
        <f>3.82*X2</f>
        <v>4068.2999999999997</v>
      </c>
      <c r="G505" s="287">
        <f t="shared" ref="G505" si="1357">+F505*$X$1</f>
        <v>4068.2999999999997</v>
      </c>
      <c r="H505" s="586">
        <f>F505+500</f>
        <v>4568.2999999999993</v>
      </c>
      <c r="I505" s="287">
        <f t="shared" si="1350"/>
        <v>4568.2999999999993</v>
      </c>
      <c r="J505" s="586">
        <f>F505+360</f>
        <v>4428.2999999999993</v>
      </c>
      <c r="K505" s="287">
        <f t="shared" si="1351"/>
        <v>4428.2999999999993</v>
      </c>
      <c r="L505" s="586">
        <f>F505+310</f>
        <v>4378.2999999999993</v>
      </c>
      <c r="M505" s="287">
        <f t="shared" si="1352"/>
        <v>4378.2999999999993</v>
      </c>
      <c r="N505" s="586">
        <f>F505+280</f>
        <v>4348.2999999999993</v>
      </c>
      <c r="O505" s="287">
        <f t="shared" ref="O505:O507" si="1358">+N505*$X$1</f>
        <v>4348.2999999999993</v>
      </c>
      <c r="P505" s="586">
        <f>F505+250</f>
        <v>4318.2999999999993</v>
      </c>
      <c r="Q505" s="287">
        <f t="shared" si="1353"/>
        <v>4318.2999999999993</v>
      </c>
      <c r="R505" s="586">
        <f>F505+230</f>
        <v>4298.2999999999993</v>
      </c>
      <c r="S505" s="287">
        <f t="shared" si="1354"/>
        <v>4298.2999999999993</v>
      </c>
      <c r="T505" s="586">
        <f>F505+210</f>
        <v>4278.2999999999993</v>
      </c>
      <c r="U505" s="287">
        <f t="shared" si="1355"/>
        <v>4278.2999999999993</v>
      </c>
      <c r="V505" s="586">
        <f>F505+190</f>
        <v>4258.2999999999993</v>
      </c>
      <c r="W505" s="287">
        <f t="shared" si="1356"/>
        <v>4258.2999999999993</v>
      </c>
      <c r="X505" s="769"/>
      <c r="Y505" s="770"/>
      <c r="Z505" s="770"/>
      <c r="AA505" s="771"/>
      <c r="AB505" s="192" t="s">
        <v>649</v>
      </c>
    </row>
    <row r="506" spans="1:34" ht="12.6" customHeight="1" x14ac:dyDescent="0.2">
      <c r="A506" s="18"/>
      <c r="B506" s="689" t="s">
        <v>394</v>
      </c>
      <c r="C506" s="707"/>
      <c r="D506" s="707"/>
      <c r="E506" s="707"/>
      <c r="F506" s="381">
        <f>3.116*X2</f>
        <v>3318.54</v>
      </c>
      <c r="G506" s="288">
        <f t="shared" ref="G506" si="1359">+F506*$X$1</f>
        <v>3318.54</v>
      </c>
      <c r="H506" s="460">
        <f>F506+500</f>
        <v>3818.54</v>
      </c>
      <c r="I506" s="288">
        <f t="shared" si="1350"/>
        <v>3818.54</v>
      </c>
      <c r="J506" s="460">
        <f>F506+360</f>
        <v>3678.54</v>
      </c>
      <c r="K506" s="288">
        <f t="shared" si="1351"/>
        <v>3678.54</v>
      </c>
      <c r="L506" s="460">
        <f>F506+310</f>
        <v>3628.54</v>
      </c>
      <c r="M506" s="288">
        <f t="shared" si="1352"/>
        <v>3628.54</v>
      </c>
      <c r="N506" s="460">
        <f>F506+280</f>
        <v>3598.54</v>
      </c>
      <c r="O506" s="288">
        <f t="shared" si="1358"/>
        <v>3598.54</v>
      </c>
      <c r="P506" s="460">
        <f>F506+250</f>
        <v>3568.54</v>
      </c>
      <c r="Q506" s="288">
        <f t="shared" si="1353"/>
        <v>3568.54</v>
      </c>
      <c r="R506" s="460">
        <f>F506+230</f>
        <v>3548.54</v>
      </c>
      <c r="S506" s="288">
        <f t="shared" si="1354"/>
        <v>3548.54</v>
      </c>
      <c r="T506" s="460">
        <f>F506+210</f>
        <v>3528.54</v>
      </c>
      <c r="U506" s="288">
        <f t="shared" si="1355"/>
        <v>3528.54</v>
      </c>
      <c r="V506" s="460">
        <f>F506+190</f>
        <v>3508.54</v>
      </c>
      <c r="W506" s="288">
        <f t="shared" si="1356"/>
        <v>3508.54</v>
      </c>
      <c r="X506" s="769"/>
      <c r="Y506" s="770"/>
      <c r="Z506" s="770"/>
      <c r="AA506" s="771"/>
      <c r="AB506" s="192" t="s">
        <v>468</v>
      </c>
    </row>
    <row r="507" spans="1:34" ht="12.6" customHeight="1" x14ac:dyDescent="0.2">
      <c r="A507" s="18"/>
      <c r="B507" s="711" t="s">
        <v>694</v>
      </c>
      <c r="C507" s="795"/>
      <c r="D507" s="795"/>
      <c r="E507" s="795"/>
      <c r="F507" s="380">
        <f>5*X2</f>
        <v>5325</v>
      </c>
      <c r="G507" s="287">
        <f t="shared" ref="G507" si="1360">+F507*$X$1</f>
        <v>5325</v>
      </c>
      <c r="H507" s="586">
        <f>F507+500</f>
        <v>5825</v>
      </c>
      <c r="I507" s="287">
        <f t="shared" si="1350"/>
        <v>5825</v>
      </c>
      <c r="J507" s="586">
        <f>F507+360</f>
        <v>5685</v>
      </c>
      <c r="K507" s="287">
        <f t="shared" si="1351"/>
        <v>5685</v>
      </c>
      <c r="L507" s="586">
        <f>F507+310</f>
        <v>5635</v>
      </c>
      <c r="M507" s="287">
        <f t="shared" si="1352"/>
        <v>5635</v>
      </c>
      <c r="N507" s="586">
        <f>F507+280</f>
        <v>5605</v>
      </c>
      <c r="O507" s="287">
        <f t="shared" si="1358"/>
        <v>5605</v>
      </c>
      <c r="P507" s="586">
        <f>F507+250</f>
        <v>5575</v>
      </c>
      <c r="Q507" s="287">
        <f t="shared" si="1353"/>
        <v>5575</v>
      </c>
      <c r="R507" s="586">
        <f>F507+230</f>
        <v>5555</v>
      </c>
      <c r="S507" s="287">
        <f t="shared" si="1354"/>
        <v>5555</v>
      </c>
      <c r="T507" s="586">
        <f>F507+210</f>
        <v>5535</v>
      </c>
      <c r="U507" s="287">
        <f t="shared" si="1355"/>
        <v>5535</v>
      </c>
      <c r="V507" s="586">
        <f>F507+190</f>
        <v>5515</v>
      </c>
      <c r="W507" s="287">
        <f t="shared" si="1356"/>
        <v>5515</v>
      </c>
      <c r="X507" s="769"/>
      <c r="Y507" s="770"/>
      <c r="Z507" s="770"/>
      <c r="AA507" s="771"/>
      <c r="AB507" s="192" t="s">
        <v>695</v>
      </c>
    </row>
    <row r="508" spans="1:34" ht="15" customHeight="1" x14ac:dyDescent="0.2">
      <c r="A508" s="104"/>
      <c r="B508" s="229"/>
      <c r="C508" s="62"/>
      <c r="D508" s="62"/>
      <c r="E508" s="62"/>
      <c r="F508" s="129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230"/>
      <c r="Y508" s="231"/>
      <c r="Z508" s="231"/>
      <c r="AA508" s="230"/>
      <c r="AB508" s="39"/>
      <c r="AC508" s="65"/>
    </row>
    <row r="509" spans="1:34" ht="14.25" customHeight="1" x14ac:dyDescent="0.2">
      <c r="B509" s="793" t="s">
        <v>499</v>
      </c>
      <c r="C509" s="794"/>
      <c r="D509" s="794"/>
      <c r="E509" s="794"/>
      <c r="F509" s="794"/>
      <c r="G509" s="794"/>
      <c r="H509" s="794"/>
      <c r="I509" s="794"/>
      <c r="J509" s="794"/>
      <c r="K509" s="794"/>
      <c r="L509" s="794"/>
      <c r="M509" s="794"/>
      <c r="N509" s="794"/>
      <c r="O509" s="794"/>
      <c r="P509" s="794"/>
      <c r="Q509" s="794"/>
      <c r="R509" s="794"/>
      <c r="S509" s="794"/>
      <c r="T509" s="794"/>
      <c r="U509" s="794"/>
      <c r="V509" s="794"/>
      <c r="W509" s="794"/>
      <c r="AB509" s="4"/>
      <c r="AF509" s="789"/>
      <c r="AG509" s="790"/>
      <c r="AH509" s="790"/>
    </row>
    <row r="510" spans="1:34" ht="13.5" customHeight="1" x14ac:dyDescent="0.2">
      <c r="B510" s="830" t="s">
        <v>11</v>
      </c>
      <c r="C510" s="830" t="s">
        <v>12</v>
      </c>
      <c r="D510" s="831"/>
      <c r="E510" s="831"/>
      <c r="F510" s="709" t="s">
        <v>287</v>
      </c>
      <c r="G510" s="709" t="s">
        <v>13</v>
      </c>
      <c r="H510" s="730" t="s">
        <v>925</v>
      </c>
      <c r="I510" s="730"/>
      <c r="J510" s="731"/>
      <c r="K510" s="731"/>
      <c r="L510" s="731"/>
      <c r="M510" s="731"/>
      <c r="N510" s="731"/>
      <c r="O510" s="731"/>
      <c r="P510" s="731"/>
      <c r="Q510" s="731"/>
      <c r="R510" s="731"/>
      <c r="S510" s="731"/>
      <c r="T510" s="731"/>
      <c r="U510" s="731"/>
      <c r="V510" s="731"/>
      <c r="W510" s="731"/>
      <c r="X510" s="753" t="s">
        <v>14</v>
      </c>
      <c r="Y510" s="754"/>
      <c r="Z510" s="754"/>
      <c r="AA510" s="755"/>
      <c r="AB510" s="791" t="s">
        <v>15</v>
      </c>
      <c r="AF510" s="789" t="s">
        <v>3</v>
      </c>
      <c r="AG510" s="790"/>
      <c r="AH510" s="790"/>
    </row>
    <row r="511" spans="1:34" ht="9.75" customHeight="1" x14ac:dyDescent="0.2">
      <c r="B511" s="831"/>
      <c r="C511" s="831"/>
      <c r="D511" s="831"/>
      <c r="E511" s="831"/>
      <c r="F511" s="710"/>
      <c r="G511" s="710"/>
      <c r="H511" s="475"/>
      <c r="I511" s="474" t="s">
        <v>565</v>
      </c>
      <c r="J511" s="475"/>
      <c r="K511" s="474" t="s">
        <v>288</v>
      </c>
      <c r="L511" s="475"/>
      <c r="M511" s="474" t="s">
        <v>289</v>
      </c>
      <c r="N511" s="475"/>
      <c r="O511" s="474" t="s">
        <v>567</v>
      </c>
      <c r="P511" s="475"/>
      <c r="Q511" s="474" t="s">
        <v>17</v>
      </c>
      <c r="R511" s="475"/>
      <c r="S511" s="474" t="s">
        <v>18</v>
      </c>
      <c r="T511" s="475"/>
      <c r="U511" s="474" t="s">
        <v>19</v>
      </c>
      <c r="V511" s="475"/>
      <c r="W511" s="474" t="s">
        <v>568</v>
      </c>
      <c r="X511" s="756"/>
      <c r="Y511" s="757"/>
      <c r="Z511" s="757"/>
      <c r="AA511" s="758"/>
      <c r="AB511" s="792"/>
    </row>
    <row r="512" spans="1:34" ht="12" customHeight="1" x14ac:dyDescent="0.2">
      <c r="A512" s="4"/>
      <c r="B512" s="832" t="s">
        <v>758</v>
      </c>
      <c r="C512" s="703"/>
      <c r="D512" s="703"/>
      <c r="E512" s="703"/>
      <c r="F512" s="384">
        <f>8.8*X2</f>
        <v>9372</v>
      </c>
      <c r="G512" s="319">
        <f t="shared" ref="G512" si="1361">+F512*$X$1</f>
        <v>9372</v>
      </c>
      <c r="H512" s="102">
        <f>F512+5000</f>
        <v>14372</v>
      </c>
      <c r="I512" s="319">
        <f t="shared" ref="I512" si="1362">+H512*$X$1</f>
        <v>14372</v>
      </c>
      <c r="J512" s="102">
        <f>F512+1100</f>
        <v>10472</v>
      </c>
      <c r="K512" s="319">
        <f t="shared" ref="K512" si="1363">+J512*$X$1</f>
        <v>10472</v>
      </c>
      <c r="L512" s="102">
        <f>F512+990</f>
        <v>10362</v>
      </c>
      <c r="M512" s="319">
        <f t="shared" ref="M512" si="1364">+L512*$X$1</f>
        <v>10362</v>
      </c>
      <c r="N512" s="102">
        <f>F512+920</f>
        <v>10292</v>
      </c>
      <c r="O512" s="319">
        <f t="shared" ref="O512" si="1365">+N512*$X$1</f>
        <v>10292</v>
      </c>
      <c r="P512" s="102">
        <f>F512+860</f>
        <v>10232</v>
      </c>
      <c r="Q512" s="319">
        <f t="shared" ref="Q512" si="1366">+P512*$X$1</f>
        <v>10232</v>
      </c>
      <c r="R512" s="102">
        <f>F512+800</f>
        <v>10172</v>
      </c>
      <c r="S512" s="319">
        <f t="shared" ref="S512" si="1367">+R512*$X$1</f>
        <v>10172</v>
      </c>
      <c r="T512" s="102">
        <f>F512+750</f>
        <v>10122</v>
      </c>
      <c r="U512" s="319">
        <f t="shared" ref="U512" si="1368">+T512*$X$1</f>
        <v>10122</v>
      </c>
      <c r="V512" s="102">
        <f>F512+710</f>
        <v>10082</v>
      </c>
      <c r="W512" s="319">
        <f t="shared" ref="W512" si="1369">+V512*$X$1</f>
        <v>10082</v>
      </c>
      <c r="X512" s="139"/>
      <c r="Y512" s="134"/>
      <c r="Z512" s="140"/>
      <c r="AA512" s="141"/>
      <c r="AB512" s="418" t="s">
        <v>762</v>
      </c>
    </row>
    <row r="513" spans="1:28" ht="12" customHeight="1" x14ac:dyDescent="0.2">
      <c r="A513" s="4"/>
      <c r="B513" s="815" t="s">
        <v>757</v>
      </c>
      <c r="C513" s="816"/>
      <c r="D513" s="816"/>
      <c r="E513" s="816"/>
      <c r="F513" s="385">
        <f>8.8*X2</f>
        <v>9372</v>
      </c>
      <c r="G513" s="306">
        <f t="shared" ref="G513" si="1370">+F513*$X$1</f>
        <v>9372</v>
      </c>
      <c r="H513" s="103">
        <f>F513+4000</f>
        <v>13372</v>
      </c>
      <c r="I513" s="306">
        <f t="shared" ref="I513" si="1371">+H513*$X$1</f>
        <v>13372</v>
      </c>
      <c r="J513" s="103">
        <f>F513+800</f>
        <v>10172</v>
      </c>
      <c r="K513" s="306">
        <f t="shared" ref="K513" si="1372">+J513*$X$1</f>
        <v>10172</v>
      </c>
      <c r="L513" s="103">
        <f>F513+600</f>
        <v>9972</v>
      </c>
      <c r="M513" s="306">
        <f t="shared" ref="M513" si="1373">+L513*$X$1</f>
        <v>9972</v>
      </c>
      <c r="N513" s="103">
        <f>F513+500</f>
        <v>9872</v>
      </c>
      <c r="O513" s="306">
        <f t="shared" ref="O513" si="1374">+N513*$X$1</f>
        <v>9872</v>
      </c>
      <c r="P513" s="103">
        <f>F513+460</f>
        <v>9832</v>
      </c>
      <c r="Q513" s="306">
        <f t="shared" ref="Q513" si="1375">+P513*$X$1</f>
        <v>9832</v>
      </c>
      <c r="R513" s="103">
        <f>F513+440</f>
        <v>9812</v>
      </c>
      <c r="S513" s="306">
        <f t="shared" ref="S513" si="1376">+R513*$X$1</f>
        <v>9812</v>
      </c>
      <c r="T513" s="103">
        <f>F513+400</f>
        <v>9772</v>
      </c>
      <c r="U513" s="306">
        <f t="shared" ref="U513" si="1377">+T513*$X$1</f>
        <v>9772</v>
      </c>
      <c r="V513" s="103">
        <f>F513+370</f>
        <v>9742</v>
      </c>
      <c r="W513" s="306">
        <f t="shared" ref="W513" si="1378">+V513*$X$1</f>
        <v>9742</v>
      </c>
      <c r="X513" s="139"/>
      <c r="Y513" s="134"/>
      <c r="Z513" s="140"/>
      <c r="AA513" s="141"/>
      <c r="AB513" s="404">
        <v>873</v>
      </c>
    </row>
    <row r="514" spans="1:28" ht="12" customHeight="1" x14ac:dyDescent="0.2">
      <c r="A514" s="4"/>
      <c r="B514" s="832" t="s">
        <v>711</v>
      </c>
      <c r="C514" s="703"/>
      <c r="D514" s="703"/>
      <c r="E514" s="703"/>
      <c r="F514" s="384">
        <f>17.6*X2</f>
        <v>18744</v>
      </c>
      <c r="G514" s="319">
        <f t="shared" ref="G514" si="1379">+F514*$X$1</f>
        <v>18744</v>
      </c>
      <c r="H514" s="102">
        <f>F514+4000</f>
        <v>22744</v>
      </c>
      <c r="I514" s="319">
        <f t="shared" ref="I514:I515" si="1380">+H514*$X$1</f>
        <v>22744</v>
      </c>
      <c r="J514" s="102">
        <f>F514+800</f>
        <v>19544</v>
      </c>
      <c r="K514" s="319">
        <f t="shared" ref="K514" si="1381">+J514*$X$1</f>
        <v>19544</v>
      </c>
      <c r="L514" s="102">
        <f>F514+600</f>
        <v>19344</v>
      </c>
      <c r="M514" s="319">
        <f t="shared" ref="M514" si="1382">+L514*$X$1</f>
        <v>19344</v>
      </c>
      <c r="N514" s="102">
        <f>F514+500</f>
        <v>19244</v>
      </c>
      <c r="O514" s="319">
        <f t="shared" ref="O514:O515" si="1383">+N514*$X$1</f>
        <v>19244</v>
      </c>
      <c r="P514" s="102">
        <f>F514+460</f>
        <v>19204</v>
      </c>
      <c r="Q514" s="319">
        <f t="shared" ref="Q514:Q515" si="1384">+P514*$X$1</f>
        <v>19204</v>
      </c>
      <c r="R514" s="102">
        <f>F514+440</f>
        <v>19184</v>
      </c>
      <c r="S514" s="319">
        <f t="shared" ref="S514:S515" si="1385">+R514*$X$1</f>
        <v>19184</v>
      </c>
      <c r="T514" s="102">
        <f>F514+400</f>
        <v>19144</v>
      </c>
      <c r="U514" s="319">
        <f t="shared" ref="U514:U515" si="1386">+T514*$X$1</f>
        <v>19144</v>
      </c>
      <c r="V514" s="102">
        <f>F514+370</f>
        <v>19114</v>
      </c>
      <c r="W514" s="319">
        <f t="shared" ref="W514:W515" si="1387">+V514*$X$1</f>
        <v>19114</v>
      </c>
      <c r="X514" s="139"/>
      <c r="Y514" s="134"/>
      <c r="Z514" s="140"/>
      <c r="AA514" s="141"/>
      <c r="AB514" s="404">
        <v>874</v>
      </c>
    </row>
    <row r="515" spans="1:28" ht="12.6" customHeight="1" x14ac:dyDescent="0.2">
      <c r="A515" s="4"/>
      <c r="B515" s="815" t="s">
        <v>678</v>
      </c>
      <c r="C515" s="816"/>
      <c r="D515" s="816"/>
      <c r="E515" s="816"/>
      <c r="F515" s="385">
        <f>11*X2</f>
        <v>11715</v>
      </c>
      <c r="G515" s="306">
        <f t="shared" ref="G515:G516" si="1388">+F515*$X$1</f>
        <v>11715</v>
      </c>
      <c r="H515" s="103">
        <f>F515+5000</f>
        <v>16715</v>
      </c>
      <c r="I515" s="306">
        <f t="shared" si="1380"/>
        <v>16715</v>
      </c>
      <c r="J515" s="103">
        <f>F515+1100</f>
        <v>12815</v>
      </c>
      <c r="K515" s="306">
        <f t="shared" ref="K515:K517" si="1389">+J515*$X$1</f>
        <v>12815</v>
      </c>
      <c r="L515" s="103">
        <f>F515+990</f>
        <v>12705</v>
      </c>
      <c r="M515" s="306">
        <f t="shared" ref="M515:M517" si="1390">+L515*$X$1</f>
        <v>12705</v>
      </c>
      <c r="N515" s="103">
        <f>F515+920</f>
        <v>12635</v>
      </c>
      <c r="O515" s="306">
        <f t="shared" si="1383"/>
        <v>12635</v>
      </c>
      <c r="P515" s="103">
        <f>F515+860</f>
        <v>12575</v>
      </c>
      <c r="Q515" s="306">
        <f t="shared" si="1384"/>
        <v>12575</v>
      </c>
      <c r="R515" s="103">
        <f>F515+800</f>
        <v>12515</v>
      </c>
      <c r="S515" s="306">
        <f t="shared" si="1385"/>
        <v>12515</v>
      </c>
      <c r="T515" s="103">
        <f>F515+750</f>
        <v>12465</v>
      </c>
      <c r="U515" s="306">
        <f t="shared" si="1386"/>
        <v>12465</v>
      </c>
      <c r="V515" s="103">
        <f>F515+710</f>
        <v>12425</v>
      </c>
      <c r="W515" s="306">
        <f t="shared" si="1387"/>
        <v>12425</v>
      </c>
      <c r="X515" s="139"/>
      <c r="Y515" s="134"/>
      <c r="Z515" s="140"/>
      <c r="AA515" s="141"/>
      <c r="AB515" s="404" t="s">
        <v>688</v>
      </c>
    </row>
    <row r="516" spans="1:28" ht="12" customHeight="1" x14ac:dyDescent="0.2">
      <c r="A516" s="4"/>
      <c r="B516" s="826" t="s">
        <v>679</v>
      </c>
      <c r="C516" s="690"/>
      <c r="D516" s="690"/>
      <c r="E516" s="690"/>
      <c r="F516" s="384">
        <f>11*X2</f>
        <v>11715</v>
      </c>
      <c r="G516" s="319">
        <f t="shared" si="1388"/>
        <v>11715</v>
      </c>
      <c r="H516" s="102">
        <f>F516+4000</f>
        <v>15715</v>
      </c>
      <c r="I516" s="319">
        <f t="shared" ref="I516:I518" si="1391">+H516*$X$1</f>
        <v>15715</v>
      </c>
      <c r="J516" s="102">
        <f>F516+800</f>
        <v>12515</v>
      </c>
      <c r="K516" s="319">
        <f t="shared" si="1389"/>
        <v>12515</v>
      </c>
      <c r="L516" s="102">
        <f>F516+600</f>
        <v>12315</v>
      </c>
      <c r="M516" s="319">
        <f t="shared" si="1390"/>
        <v>12315</v>
      </c>
      <c r="N516" s="102">
        <f>F516+500</f>
        <v>12215</v>
      </c>
      <c r="O516" s="319">
        <f t="shared" ref="O516:O518" si="1392">+N516*$X$1</f>
        <v>12215</v>
      </c>
      <c r="P516" s="102">
        <f>F516+460</f>
        <v>12175</v>
      </c>
      <c r="Q516" s="319">
        <f t="shared" ref="Q516:Q518" si="1393">+P516*$X$1</f>
        <v>12175</v>
      </c>
      <c r="R516" s="102">
        <f>F516+440</f>
        <v>12155</v>
      </c>
      <c r="S516" s="319">
        <f t="shared" ref="S516:S518" si="1394">+R516*$X$1</f>
        <v>12155</v>
      </c>
      <c r="T516" s="102">
        <f>F516+400</f>
        <v>12115</v>
      </c>
      <c r="U516" s="319">
        <f t="shared" ref="U516:U518" si="1395">+T516*$X$1</f>
        <v>12115</v>
      </c>
      <c r="V516" s="102">
        <f>F516+370</f>
        <v>12085</v>
      </c>
      <c r="W516" s="319">
        <f t="shared" ref="W516:W518" si="1396">+V516*$X$1</f>
        <v>12085</v>
      </c>
      <c r="X516" s="139"/>
      <c r="Y516" s="134"/>
      <c r="Z516" s="140"/>
      <c r="AA516" s="141"/>
      <c r="AB516" s="404">
        <v>875</v>
      </c>
    </row>
    <row r="517" spans="1:28" ht="12.6" customHeight="1" x14ac:dyDescent="0.2">
      <c r="A517" s="4"/>
      <c r="B517" s="815" t="s">
        <v>759</v>
      </c>
      <c r="C517" s="816"/>
      <c r="D517" s="816"/>
      <c r="E517" s="816"/>
      <c r="F517" s="385">
        <f>18.1*X2</f>
        <v>19276.5</v>
      </c>
      <c r="G517" s="306">
        <f t="shared" ref="G517" si="1397">+F517*$X$1</f>
        <v>19276.5</v>
      </c>
      <c r="H517" s="103">
        <f>F517+4000</f>
        <v>23276.5</v>
      </c>
      <c r="I517" s="306">
        <f t="shared" si="1391"/>
        <v>23276.5</v>
      </c>
      <c r="J517" s="103">
        <f>F517+800</f>
        <v>20076.5</v>
      </c>
      <c r="K517" s="306">
        <f t="shared" si="1389"/>
        <v>20076.5</v>
      </c>
      <c r="L517" s="103">
        <f>F517+600</f>
        <v>19876.5</v>
      </c>
      <c r="M517" s="306">
        <f t="shared" si="1390"/>
        <v>19876.5</v>
      </c>
      <c r="N517" s="103">
        <f>F517+500</f>
        <v>19776.5</v>
      </c>
      <c r="O517" s="306">
        <f t="shared" si="1392"/>
        <v>19776.5</v>
      </c>
      <c r="P517" s="103">
        <f>F517+460</f>
        <v>19736.5</v>
      </c>
      <c r="Q517" s="306">
        <f t="shared" si="1393"/>
        <v>19736.5</v>
      </c>
      <c r="R517" s="103">
        <f>F517+440</f>
        <v>19716.5</v>
      </c>
      <c r="S517" s="306">
        <f t="shared" si="1394"/>
        <v>19716.5</v>
      </c>
      <c r="T517" s="103">
        <f>F517+400</f>
        <v>19676.5</v>
      </c>
      <c r="U517" s="306">
        <f t="shared" si="1395"/>
        <v>19676.5</v>
      </c>
      <c r="V517" s="103">
        <f>F517+370</f>
        <v>19646.5</v>
      </c>
      <c r="W517" s="306">
        <f t="shared" si="1396"/>
        <v>19646.5</v>
      </c>
      <c r="X517" s="139"/>
      <c r="Y517" s="134"/>
      <c r="Z517" s="140"/>
      <c r="AA517" s="141"/>
      <c r="AB517" s="404">
        <v>876</v>
      </c>
    </row>
    <row r="518" spans="1:28" ht="12.6" customHeight="1" x14ac:dyDescent="0.2">
      <c r="A518" s="4"/>
      <c r="B518" s="832" t="s">
        <v>712</v>
      </c>
      <c r="C518" s="703"/>
      <c r="D518" s="703"/>
      <c r="E518" s="703"/>
      <c r="F518" s="384">
        <f>15.37*X2</f>
        <v>16369.05</v>
      </c>
      <c r="G518" s="319">
        <f t="shared" ref="G518" si="1398">+F518*$X$1</f>
        <v>16369.05</v>
      </c>
      <c r="H518" s="102">
        <f>F518+5000</f>
        <v>21369.05</v>
      </c>
      <c r="I518" s="319">
        <f t="shared" si="1391"/>
        <v>21369.05</v>
      </c>
      <c r="J518" s="102">
        <f>F518+1100</f>
        <v>17469.05</v>
      </c>
      <c r="K518" s="319">
        <f t="shared" ref="K518:K519" si="1399">+J518*$X$1</f>
        <v>17469.05</v>
      </c>
      <c r="L518" s="102">
        <f>F518+990</f>
        <v>17359.05</v>
      </c>
      <c r="M518" s="319">
        <f t="shared" ref="M518:M519" si="1400">+L518*$X$1</f>
        <v>17359.05</v>
      </c>
      <c r="N518" s="102">
        <f>F518+920</f>
        <v>17289.05</v>
      </c>
      <c r="O518" s="319">
        <f t="shared" si="1392"/>
        <v>17289.05</v>
      </c>
      <c r="P518" s="102">
        <f>F518+860</f>
        <v>17229.05</v>
      </c>
      <c r="Q518" s="319">
        <f t="shared" si="1393"/>
        <v>17229.05</v>
      </c>
      <c r="R518" s="102">
        <f>F518+800</f>
        <v>17169.05</v>
      </c>
      <c r="S518" s="319">
        <f t="shared" si="1394"/>
        <v>17169.05</v>
      </c>
      <c r="T518" s="102">
        <f>F518+750</f>
        <v>17119.05</v>
      </c>
      <c r="U518" s="319">
        <f t="shared" si="1395"/>
        <v>17119.05</v>
      </c>
      <c r="V518" s="102">
        <f>F518+710</f>
        <v>17079.05</v>
      </c>
      <c r="W518" s="319">
        <f t="shared" si="1396"/>
        <v>17079.05</v>
      </c>
      <c r="X518" s="139"/>
      <c r="Y518" s="134"/>
      <c r="Z518" s="140"/>
      <c r="AA518" s="141"/>
      <c r="AB518" s="404" t="s">
        <v>635</v>
      </c>
    </row>
    <row r="519" spans="1:28" ht="12.6" customHeight="1" x14ac:dyDescent="0.2">
      <c r="A519" s="4"/>
      <c r="B519" s="815" t="s">
        <v>713</v>
      </c>
      <c r="C519" s="816"/>
      <c r="D519" s="816"/>
      <c r="E519" s="816"/>
      <c r="F519" s="385">
        <f>15.37*X2</f>
        <v>16369.05</v>
      </c>
      <c r="G519" s="306">
        <f t="shared" ref="G519" si="1401">+F519*$X$1</f>
        <v>16369.05</v>
      </c>
      <c r="H519" s="103">
        <f>F519+4000</f>
        <v>20369.05</v>
      </c>
      <c r="I519" s="306">
        <f t="shared" ref="I519:I520" si="1402">+H519*$X$1</f>
        <v>20369.05</v>
      </c>
      <c r="J519" s="103">
        <f>F519+800</f>
        <v>17169.05</v>
      </c>
      <c r="K519" s="306">
        <f t="shared" si="1399"/>
        <v>17169.05</v>
      </c>
      <c r="L519" s="103">
        <f>F519+600</f>
        <v>16969.05</v>
      </c>
      <c r="M519" s="306">
        <f t="shared" si="1400"/>
        <v>16969.05</v>
      </c>
      <c r="N519" s="103">
        <f>F519+500</f>
        <v>16869.05</v>
      </c>
      <c r="O519" s="306">
        <f t="shared" ref="O519:O520" si="1403">+N519*$X$1</f>
        <v>16869.05</v>
      </c>
      <c r="P519" s="103">
        <f>F519+460</f>
        <v>16829.05</v>
      </c>
      <c r="Q519" s="306">
        <f t="shared" ref="Q519:Q520" si="1404">+P519*$X$1</f>
        <v>16829.05</v>
      </c>
      <c r="R519" s="103">
        <f>F519+440</f>
        <v>16809.05</v>
      </c>
      <c r="S519" s="306">
        <f t="shared" ref="S519:S520" si="1405">+R519*$X$1</f>
        <v>16809.05</v>
      </c>
      <c r="T519" s="103">
        <f>F519+400</f>
        <v>16769.05</v>
      </c>
      <c r="U519" s="306">
        <f t="shared" ref="U519:U520" si="1406">+T519*$X$1</f>
        <v>16769.05</v>
      </c>
      <c r="V519" s="103">
        <f>F519+370</f>
        <v>16739.05</v>
      </c>
      <c r="W519" s="306">
        <f t="shared" ref="W519:W520" si="1407">+V519*$X$1</f>
        <v>16739.05</v>
      </c>
      <c r="X519" s="139"/>
      <c r="Y519" s="134"/>
      <c r="Z519" s="140"/>
      <c r="AA519" s="141"/>
      <c r="AB519" s="404">
        <v>878</v>
      </c>
    </row>
    <row r="520" spans="1:28" ht="12.6" customHeight="1" x14ac:dyDescent="0.2">
      <c r="A520" s="4"/>
      <c r="B520" s="832" t="s">
        <v>680</v>
      </c>
      <c r="C520" s="703"/>
      <c r="D520" s="703"/>
      <c r="E520" s="703"/>
      <c r="F520" s="384">
        <f>22.75*X2</f>
        <v>24228.75</v>
      </c>
      <c r="G520" s="319">
        <f t="shared" ref="G520" si="1408">+F520*$X$1</f>
        <v>24228.75</v>
      </c>
      <c r="H520" s="102">
        <f>F520+5000</f>
        <v>29228.75</v>
      </c>
      <c r="I520" s="319">
        <f t="shared" si="1402"/>
        <v>29228.75</v>
      </c>
      <c r="J520" s="102">
        <f>F520+1100</f>
        <v>25328.75</v>
      </c>
      <c r="K520" s="319">
        <f t="shared" ref="K520:K521" si="1409">+J520*$X$1</f>
        <v>25328.75</v>
      </c>
      <c r="L520" s="102">
        <f>F520+990</f>
        <v>25218.75</v>
      </c>
      <c r="M520" s="319">
        <f t="shared" ref="M520:M521" si="1410">+L520*$X$1</f>
        <v>25218.75</v>
      </c>
      <c r="N520" s="102">
        <f>F520+920</f>
        <v>25148.75</v>
      </c>
      <c r="O520" s="319">
        <f t="shared" si="1403"/>
        <v>25148.75</v>
      </c>
      <c r="P520" s="102">
        <f>F520+860</f>
        <v>25088.75</v>
      </c>
      <c r="Q520" s="319">
        <f t="shared" si="1404"/>
        <v>25088.75</v>
      </c>
      <c r="R520" s="102">
        <f>F520+800</f>
        <v>25028.75</v>
      </c>
      <c r="S520" s="319">
        <f t="shared" si="1405"/>
        <v>25028.75</v>
      </c>
      <c r="T520" s="102">
        <f>F520+750</f>
        <v>24978.75</v>
      </c>
      <c r="U520" s="319">
        <f t="shared" si="1406"/>
        <v>24978.75</v>
      </c>
      <c r="V520" s="102">
        <f>F520+710</f>
        <v>24938.75</v>
      </c>
      <c r="W520" s="319">
        <f t="shared" si="1407"/>
        <v>24938.75</v>
      </c>
      <c r="X520" s="139"/>
      <c r="Y520" s="134"/>
      <c r="Z520" s="140"/>
      <c r="AA520" s="141"/>
      <c r="AB520" s="404" t="s">
        <v>597</v>
      </c>
    </row>
    <row r="521" spans="1:28" ht="12.6" customHeight="1" x14ac:dyDescent="0.2">
      <c r="A521" s="4"/>
      <c r="B521" s="825" t="s">
        <v>681</v>
      </c>
      <c r="C521" s="795"/>
      <c r="D521" s="795"/>
      <c r="E521" s="795"/>
      <c r="F521" s="385">
        <f>22.75*X2</f>
        <v>24228.75</v>
      </c>
      <c r="G521" s="306">
        <f t="shared" ref="G521:G522" si="1411">+F521*$X$1</f>
        <v>24228.75</v>
      </c>
      <c r="H521" s="103">
        <f>F521+4000</f>
        <v>28228.75</v>
      </c>
      <c r="I521" s="306">
        <f t="shared" ref="I521:I522" si="1412">+H521*$X$1</f>
        <v>28228.75</v>
      </c>
      <c r="J521" s="103">
        <f>F521+800</f>
        <v>25028.75</v>
      </c>
      <c r="K521" s="306">
        <f t="shared" si="1409"/>
        <v>25028.75</v>
      </c>
      <c r="L521" s="103">
        <f>F521+600</f>
        <v>24828.75</v>
      </c>
      <c r="M521" s="306">
        <f t="shared" si="1410"/>
        <v>24828.75</v>
      </c>
      <c r="N521" s="103">
        <f>F521+500</f>
        <v>24728.75</v>
      </c>
      <c r="O521" s="306">
        <f t="shared" ref="O521:O522" si="1413">+N521*$X$1</f>
        <v>24728.75</v>
      </c>
      <c r="P521" s="103">
        <f>F521+460</f>
        <v>24688.75</v>
      </c>
      <c r="Q521" s="306">
        <f t="shared" ref="Q521:Q522" si="1414">+P521*$X$1</f>
        <v>24688.75</v>
      </c>
      <c r="R521" s="103">
        <f>F521+440</f>
        <v>24668.75</v>
      </c>
      <c r="S521" s="306">
        <f t="shared" ref="S521:S522" si="1415">+R521*$X$1</f>
        <v>24668.75</v>
      </c>
      <c r="T521" s="103">
        <f>F521+400</f>
        <v>24628.75</v>
      </c>
      <c r="U521" s="306">
        <f t="shared" ref="U521:U522" si="1416">+T521*$X$1</f>
        <v>24628.75</v>
      </c>
      <c r="V521" s="103">
        <f>F521+370</f>
        <v>24598.75</v>
      </c>
      <c r="W521" s="306">
        <f t="shared" ref="W521:W522" si="1417">+V521*$X$1</f>
        <v>24598.75</v>
      </c>
      <c r="X521" s="139"/>
      <c r="Y521" s="134"/>
      <c r="Z521" s="140"/>
      <c r="AA521" s="141"/>
      <c r="AB521" s="404">
        <v>880</v>
      </c>
    </row>
    <row r="522" spans="1:28" ht="12.6" customHeight="1" x14ac:dyDescent="0.2">
      <c r="A522" s="4"/>
      <c r="B522" s="832" t="s">
        <v>682</v>
      </c>
      <c r="C522" s="703"/>
      <c r="D522" s="703"/>
      <c r="E522" s="703"/>
      <c r="F522" s="384">
        <f>31.386*X2</f>
        <v>33426.089999999997</v>
      </c>
      <c r="G522" s="319">
        <f t="shared" si="1411"/>
        <v>33426.089999999997</v>
      </c>
      <c r="H522" s="102">
        <f>F522+5000</f>
        <v>38426.089999999997</v>
      </c>
      <c r="I522" s="319">
        <f t="shared" si="1412"/>
        <v>38426.089999999997</v>
      </c>
      <c r="J522" s="102">
        <f>F522+1100</f>
        <v>34526.089999999997</v>
      </c>
      <c r="K522" s="319">
        <f t="shared" ref="K522:K523" si="1418">+J522*$X$1</f>
        <v>34526.089999999997</v>
      </c>
      <c r="L522" s="102">
        <f>F522+990</f>
        <v>34416.089999999997</v>
      </c>
      <c r="M522" s="319">
        <f t="shared" ref="M522:M523" si="1419">+L522*$X$1</f>
        <v>34416.089999999997</v>
      </c>
      <c r="N522" s="102">
        <f>F522+920</f>
        <v>34346.089999999997</v>
      </c>
      <c r="O522" s="319">
        <f t="shared" si="1413"/>
        <v>34346.089999999997</v>
      </c>
      <c r="P522" s="102">
        <f>F522+860</f>
        <v>34286.089999999997</v>
      </c>
      <c r="Q522" s="319">
        <f t="shared" si="1414"/>
        <v>34286.089999999997</v>
      </c>
      <c r="R522" s="102">
        <f>F522+800</f>
        <v>34226.089999999997</v>
      </c>
      <c r="S522" s="319">
        <f t="shared" si="1415"/>
        <v>34226.089999999997</v>
      </c>
      <c r="T522" s="102">
        <f>F522+750</f>
        <v>34176.089999999997</v>
      </c>
      <c r="U522" s="319">
        <f t="shared" si="1416"/>
        <v>34176.089999999997</v>
      </c>
      <c r="V522" s="102">
        <f>F522+710</f>
        <v>34136.089999999997</v>
      </c>
      <c r="W522" s="319">
        <f t="shared" si="1417"/>
        <v>34136.089999999997</v>
      </c>
      <c r="X522" s="139"/>
      <c r="Y522" s="134"/>
      <c r="Z522" s="140"/>
      <c r="AA522" s="141"/>
      <c r="AB522" s="404" t="s">
        <v>598</v>
      </c>
    </row>
    <row r="523" spans="1:28" ht="12.6" customHeight="1" x14ac:dyDescent="0.2">
      <c r="A523" s="4"/>
      <c r="B523" s="825" t="s">
        <v>683</v>
      </c>
      <c r="C523" s="712"/>
      <c r="D523" s="712"/>
      <c r="E523" s="712"/>
      <c r="F523" s="385">
        <f>31.386*X2</f>
        <v>33426.089999999997</v>
      </c>
      <c r="G523" s="306">
        <f t="shared" ref="G523:G524" si="1420">+F523*$X$1</f>
        <v>33426.089999999997</v>
      </c>
      <c r="H523" s="103">
        <f>F523+4000</f>
        <v>37426.089999999997</v>
      </c>
      <c r="I523" s="306">
        <f t="shared" ref="I523:I526" si="1421">+H523*$X$1</f>
        <v>37426.089999999997</v>
      </c>
      <c r="J523" s="103">
        <f>F523+800</f>
        <v>34226.089999999997</v>
      </c>
      <c r="K523" s="306">
        <f t="shared" si="1418"/>
        <v>34226.089999999997</v>
      </c>
      <c r="L523" s="103">
        <f>F523+600</f>
        <v>34026.089999999997</v>
      </c>
      <c r="M523" s="306">
        <f t="shared" si="1419"/>
        <v>34026.089999999997</v>
      </c>
      <c r="N523" s="103">
        <f>F523+500</f>
        <v>33926.089999999997</v>
      </c>
      <c r="O523" s="306">
        <f t="shared" ref="O523:O526" si="1422">+N523*$X$1</f>
        <v>33926.089999999997</v>
      </c>
      <c r="P523" s="103">
        <f>F523+460</f>
        <v>33886.089999999997</v>
      </c>
      <c r="Q523" s="306">
        <f t="shared" ref="Q523:Q526" si="1423">+P523*$X$1</f>
        <v>33886.089999999997</v>
      </c>
      <c r="R523" s="103">
        <f>F523+440</f>
        <v>33866.089999999997</v>
      </c>
      <c r="S523" s="306">
        <f t="shared" ref="S523:S526" si="1424">+R523*$X$1</f>
        <v>33866.089999999997</v>
      </c>
      <c r="T523" s="103">
        <f>F523+400</f>
        <v>33826.089999999997</v>
      </c>
      <c r="U523" s="306">
        <f t="shared" ref="U523:U526" si="1425">+T523*$X$1</f>
        <v>33826.089999999997</v>
      </c>
      <c r="V523" s="103">
        <f>F523+370</f>
        <v>33796.089999999997</v>
      </c>
      <c r="W523" s="306">
        <f t="shared" ref="W523:W526" si="1426">+V523*$X$1</f>
        <v>33796.089999999997</v>
      </c>
      <c r="X523" s="139"/>
      <c r="Y523" s="134"/>
      <c r="Z523" s="140"/>
      <c r="AA523" s="141"/>
      <c r="AB523" s="404">
        <v>881</v>
      </c>
    </row>
    <row r="524" spans="1:28" ht="12.6" customHeight="1" x14ac:dyDescent="0.2">
      <c r="A524" s="4"/>
      <c r="B524" s="832" t="s">
        <v>684</v>
      </c>
      <c r="C524" s="703"/>
      <c r="D524" s="703"/>
      <c r="E524" s="703"/>
      <c r="F524" s="384">
        <f>19.4*X2</f>
        <v>20661</v>
      </c>
      <c r="G524" s="319">
        <f t="shared" si="1420"/>
        <v>20661</v>
      </c>
      <c r="H524" s="102">
        <f>F524+4000</f>
        <v>24661</v>
      </c>
      <c r="I524" s="319">
        <f t="shared" si="1421"/>
        <v>24661</v>
      </c>
      <c r="J524" s="102">
        <f t="shared" ref="J524:J525" si="1427">F524+800</f>
        <v>21461</v>
      </c>
      <c r="K524" s="319">
        <f t="shared" ref="K524:K525" si="1428">+J524*$X$1</f>
        <v>21461</v>
      </c>
      <c r="L524" s="102">
        <f t="shared" ref="L524:L525" si="1429">F524+600</f>
        <v>21261</v>
      </c>
      <c r="M524" s="319">
        <f t="shared" ref="M524:M525" si="1430">+L524*$X$1</f>
        <v>21261</v>
      </c>
      <c r="N524" s="102">
        <f>F524+500</f>
        <v>21161</v>
      </c>
      <c r="O524" s="319">
        <f t="shared" si="1422"/>
        <v>21161</v>
      </c>
      <c r="P524" s="102">
        <f>F524+460</f>
        <v>21121</v>
      </c>
      <c r="Q524" s="319">
        <f t="shared" si="1423"/>
        <v>21121</v>
      </c>
      <c r="R524" s="102">
        <f>F524+440</f>
        <v>21101</v>
      </c>
      <c r="S524" s="319">
        <f t="shared" si="1424"/>
        <v>21101</v>
      </c>
      <c r="T524" s="102">
        <f>F524+400</f>
        <v>21061</v>
      </c>
      <c r="U524" s="319">
        <f t="shared" si="1425"/>
        <v>21061</v>
      </c>
      <c r="V524" s="102">
        <f>F524+370</f>
        <v>21031</v>
      </c>
      <c r="W524" s="319">
        <f t="shared" si="1426"/>
        <v>21031</v>
      </c>
      <c r="X524" s="139"/>
      <c r="Y524" s="134"/>
      <c r="Z524" s="140"/>
      <c r="AA524" s="141"/>
      <c r="AB524" s="404">
        <v>882</v>
      </c>
    </row>
    <row r="525" spans="1:28" ht="12.6" customHeight="1" x14ac:dyDescent="0.2">
      <c r="A525" s="4"/>
      <c r="B525" s="815" t="s">
        <v>467</v>
      </c>
      <c r="C525" s="816"/>
      <c r="D525" s="816"/>
      <c r="E525" s="816"/>
      <c r="F525" s="385">
        <f>24*X2</f>
        <v>25560</v>
      </c>
      <c r="G525" s="306">
        <f t="shared" ref="G525:G527" si="1431">+F525*$X$1</f>
        <v>25560</v>
      </c>
      <c r="H525" s="103">
        <f>F525+4000</f>
        <v>29560</v>
      </c>
      <c r="I525" s="306">
        <f t="shared" si="1421"/>
        <v>29560</v>
      </c>
      <c r="J525" s="103">
        <f t="shared" si="1427"/>
        <v>26360</v>
      </c>
      <c r="K525" s="306">
        <f t="shared" si="1428"/>
        <v>26360</v>
      </c>
      <c r="L525" s="103">
        <f t="shared" si="1429"/>
        <v>26160</v>
      </c>
      <c r="M525" s="306">
        <f t="shared" si="1430"/>
        <v>26160</v>
      </c>
      <c r="N525" s="103">
        <f>F525+500</f>
        <v>26060</v>
      </c>
      <c r="O525" s="306">
        <f t="shared" si="1422"/>
        <v>26060</v>
      </c>
      <c r="P525" s="103">
        <f>F525+460</f>
        <v>26020</v>
      </c>
      <c r="Q525" s="306">
        <f t="shared" si="1423"/>
        <v>26020</v>
      </c>
      <c r="R525" s="103">
        <f>F525+440</f>
        <v>26000</v>
      </c>
      <c r="S525" s="306">
        <f t="shared" si="1424"/>
        <v>26000</v>
      </c>
      <c r="T525" s="103">
        <f>F525+400</f>
        <v>25960</v>
      </c>
      <c r="U525" s="306">
        <f t="shared" si="1425"/>
        <v>25960</v>
      </c>
      <c r="V525" s="103">
        <f>F525+370</f>
        <v>25930</v>
      </c>
      <c r="W525" s="306">
        <f t="shared" si="1426"/>
        <v>25930</v>
      </c>
      <c r="X525" s="139"/>
      <c r="Y525" s="134"/>
      <c r="Z525" s="140"/>
      <c r="AA525" s="141"/>
      <c r="AB525" s="404">
        <v>883</v>
      </c>
    </row>
    <row r="526" spans="1:28" ht="12.6" customHeight="1" x14ac:dyDescent="0.2">
      <c r="A526" s="4"/>
      <c r="B526" s="786" t="s">
        <v>769</v>
      </c>
      <c r="C526" s="691"/>
      <c r="D526" s="691"/>
      <c r="E526" s="692"/>
      <c r="F526" s="384">
        <f>16.15*X2</f>
        <v>17199.75</v>
      </c>
      <c r="G526" s="319">
        <f t="shared" si="1431"/>
        <v>17199.75</v>
      </c>
      <c r="H526" s="102">
        <f>F526+5000</f>
        <v>22199.75</v>
      </c>
      <c r="I526" s="319">
        <f t="shared" si="1421"/>
        <v>22199.75</v>
      </c>
      <c r="J526" s="102">
        <f>F526+1100</f>
        <v>18299.75</v>
      </c>
      <c r="K526" s="319">
        <f t="shared" ref="K526:K527" si="1432">+J526*$X$1</f>
        <v>18299.75</v>
      </c>
      <c r="L526" s="102">
        <f>F526+990</f>
        <v>18189.75</v>
      </c>
      <c r="M526" s="319">
        <f t="shared" ref="M526:M527" si="1433">+L526*$X$1</f>
        <v>18189.75</v>
      </c>
      <c r="N526" s="102">
        <f>F526+920</f>
        <v>18119.75</v>
      </c>
      <c r="O526" s="319">
        <f t="shared" si="1422"/>
        <v>18119.75</v>
      </c>
      <c r="P526" s="102">
        <f>F526+860</f>
        <v>18059.75</v>
      </c>
      <c r="Q526" s="319">
        <f t="shared" si="1423"/>
        <v>18059.75</v>
      </c>
      <c r="R526" s="102">
        <f>F526+800</f>
        <v>17999.75</v>
      </c>
      <c r="S526" s="319">
        <f t="shared" si="1424"/>
        <v>17999.75</v>
      </c>
      <c r="T526" s="102">
        <f>F526+750</f>
        <v>17949.75</v>
      </c>
      <c r="U526" s="319">
        <f t="shared" si="1425"/>
        <v>17949.75</v>
      </c>
      <c r="V526" s="102">
        <f>F526+710</f>
        <v>17909.75</v>
      </c>
      <c r="W526" s="319">
        <f t="shared" si="1426"/>
        <v>17909.75</v>
      </c>
      <c r="X526" s="139"/>
      <c r="Y526" s="134"/>
      <c r="Z526" s="140"/>
      <c r="AA526" s="141"/>
      <c r="AB526" s="404" t="s">
        <v>768</v>
      </c>
    </row>
    <row r="527" spans="1:28" ht="12.6" customHeight="1" x14ac:dyDescent="0.2">
      <c r="A527" s="4"/>
      <c r="B527" s="1241" t="s">
        <v>770</v>
      </c>
      <c r="C527" s="844"/>
      <c r="D527" s="844"/>
      <c r="E527" s="845"/>
      <c r="F527" s="385">
        <f>16.15*X2</f>
        <v>17199.75</v>
      </c>
      <c r="G527" s="306">
        <f t="shared" si="1431"/>
        <v>17199.75</v>
      </c>
      <c r="H527" s="103">
        <f>F527+4000</f>
        <v>21199.75</v>
      </c>
      <c r="I527" s="306">
        <f t="shared" ref="I527:I528" si="1434">+H527*$X$1</f>
        <v>21199.75</v>
      </c>
      <c r="J527" s="103">
        <f t="shared" ref="J527" si="1435">F527+800</f>
        <v>17999.75</v>
      </c>
      <c r="K527" s="306">
        <f t="shared" si="1432"/>
        <v>17999.75</v>
      </c>
      <c r="L527" s="103">
        <f t="shared" ref="L527" si="1436">F527+600</f>
        <v>17799.75</v>
      </c>
      <c r="M527" s="306">
        <f t="shared" si="1433"/>
        <v>17799.75</v>
      </c>
      <c r="N527" s="103">
        <f>F527+500</f>
        <v>17699.75</v>
      </c>
      <c r="O527" s="306">
        <f t="shared" ref="O527:O528" si="1437">+N527*$X$1</f>
        <v>17699.75</v>
      </c>
      <c r="P527" s="103">
        <f>F527+460</f>
        <v>17659.75</v>
      </c>
      <c r="Q527" s="306">
        <f t="shared" ref="Q527:Q528" si="1438">+P527*$X$1</f>
        <v>17659.75</v>
      </c>
      <c r="R527" s="103">
        <f>F527+440</f>
        <v>17639.75</v>
      </c>
      <c r="S527" s="306">
        <f t="shared" ref="S527:S528" si="1439">+R527*$X$1</f>
        <v>17639.75</v>
      </c>
      <c r="T527" s="103">
        <f>F527+400</f>
        <v>17599.75</v>
      </c>
      <c r="U527" s="306">
        <f t="shared" ref="U527:U528" si="1440">+T527*$X$1</f>
        <v>17599.75</v>
      </c>
      <c r="V527" s="103">
        <f>F527+370</f>
        <v>17569.75</v>
      </c>
      <c r="W527" s="306">
        <f t="shared" ref="W527:W528" si="1441">+V527*$X$1</f>
        <v>17569.75</v>
      </c>
      <c r="X527" s="139"/>
      <c r="Y527" s="134"/>
      <c r="Z527" s="140"/>
      <c r="AA527" s="141"/>
      <c r="AB527" s="404">
        <v>886</v>
      </c>
    </row>
    <row r="528" spans="1:28" ht="12.6" customHeight="1" x14ac:dyDescent="0.2">
      <c r="A528" s="4"/>
      <c r="B528" s="832" t="s">
        <v>715</v>
      </c>
      <c r="C528" s="703"/>
      <c r="D528" s="703"/>
      <c r="E528" s="703"/>
      <c r="F528" s="381">
        <f>22.33*X2</f>
        <v>23781.449999999997</v>
      </c>
      <c r="G528" s="288">
        <f t="shared" ref="G528" si="1442">+F528*$X$1</f>
        <v>23781.449999999997</v>
      </c>
      <c r="H528" s="102">
        <f>F528+5000</f>
        <v>28781.449999999997</v>
      </c>
      <c r="I528" s="319">
        <f t="shared" si="1434"/>
        <v>28781.449999999997</v>
      </c>
      <c r="J528" s="102">
        <f>F528+1100</f>
        <v>24881.449999999997</v>
      </c>
      <c r="K528" s="319">
        <f t="shared" ref="K528:K531" si="1443">+J528*$X$1</f>
        <v>24881.449999999997</v>
      </c>
      <c r="L528" s="102">
        <f>F528+990</f>
        <v>24771.449999999997</v>
      </c>
      <c r="M528" s="319">
        <f t="shared" ref="M528:M531" si="1444">+L528*$X$1</f>
        <v>24771.449999999997</v>
      </c>
      <c r="N528" s="102">
        <f>F528+920</f>
        <v>24701.449999999997</v>
      </c>
      <c r="O528" s="319">
        <f t="shared" si="1437"/>
        <v>24701.449999999997</v>
      </c>
      <c r="P528" s="102">
        <f>F528+860</f>
        <v>24641.449999999997</v>
      </c>
      <c r="Q528" s="319">
        <f t="shared" si="1438"/>
        <v>24641.449999999997</v>
      </c>
      <c r="R528" s="102">
        <f>F528+800</f>
        <v>24581.449999999997</v>
      </c>
      <c r="S528" s="319">
        <f t="shared" si="1439"/>
        <v>24581.449999999997</v>
      </c>
      <c r="T528" s="102">
        <f>F528+750</f>
        <v>24531.449999999997</v>
      </c>
      <c r="U528" s="319">
        <f t="shared" si="1440"/>
        <v>24531.449999999997</v>
      </c>
      <c r="V528" s="102">
        <f>F528+710</f>
        <v>24491.449999999997</v>
      </c>
      <c r="W528" s="319">
        <f t="shared" si="1441"/>
        <v>24491.449999999997</v>
      </c>
      <c r="X528" s="139"/>
      <c r="Y528" s="134"/>
      <c r="Z528" s="140"/>
      <c r="AA528" s="141"/>
      <c r="AB528" s="404" t="s">
        <v>698</v>
      </c>
    </row>
    <row r="529" spans="1:28" ht="12.6" customHeight="1" x14ac:dyDescent="0.2">
      <c r="A529" s="4"/>
      <c r="B529" s="815" t="s">
        <v>714</v>
      </c>
      <c r="C529" s="816"/>
      <c r="D529" s="816"/>
      <c r="E529" s="816"/>
      <c r="F529" s="380">
        <f>22.33*X2</f>
        <v>23781.449999999997</v>
      </c>
      <c r="G529" s="287">
        <f t="shared" ref="G529" si="1445">+F529*$X$1</f>
        <v>23781.449999999997</v>
      </c>
      <c r="H529" s="103">
        <f>F529+4000</f>
        <v>27781.449999999997</v>
      </c>
      <c r="I529" s="306">
        <f t="shared" ref="I529:I532" si="1446">+H529*$X$1</f>
        <v>27781.449999999997</v>
      </c>
      <c r="J529" s="103">
        <f t="shared" ref="J529:J531" si="1447">F529+800</f>
        <v>24581.449999999997</v>
      </c>
      <c r="K529" s="306">
        <f t="shared" si="1443"/>
        <v>24581.449999999997</v>
      </c>
      <c r="L529" s="103">
        <f t="shared" ref="L529:L531" si="1448">F529+600</f>
        <v>24381.449999999997</v>
      </c>
      <c r="M529" s="306">
        <f t="shared" si="1444"/>
        <v>24381.449999999997</v>
      </c>
      <c r="N529" s="103">
        <f>F529+500</f>
        <v>24281.449999999997</v>
      </c>
      <c r="O529" s="306">
        <f t="shared" ref="O529:O532" si="1449">+N529*$X$1</f>
        <v>24281.449999999997</v>
      </c>
      <c r="P529" s="103">
        <f>F529+460</f>
        <v>24241.449999999997</v>
      </c>
      <c r="Q529" s="306">
        <f t="shared" ref="Q529:Q532" si="1450">+P529*$X$1</f>
        <v>24241.449999999997</v>
      </c>
      <c r="R529" s="103">
        <f>F529+440</f>
        <v>24221.449999999997</v>
      </c>
      <c r="S529" s="306">
        <f t="shared" ref="S529:S532" si="1451">+R529*$X$1</f>
        <v>24221.449999999997</v>
      </c>
      <c r="T529" s="103">
        <f>F529+400</f>
        <v>24181.449999999997</v>
      </c>
      <c r="U529" s="306">
        <f t="shared" ref="U529:U532" si="1452">+T529*$X$1</f>
        <v>24181.449999999997</v>
      </c>
      <c r="V529" s="103">
        <f>F529+370</f>
        <v>24151.449999999997</v>
      </c>
      <c r="W529" s="306">
        <f t="shared" ref="W529:W532" si="1453">+V529*$X$1</f>
        <v>24151.449999999997</v>
      </c>
      <c r="X529" s="139"/>
      <c r="Y529" s="134"/>
      <c r="Z529" s="140"/>
      <c r="AA529" s="141"/>
      <c r="AB529" s="404">
        <v>887</v>
      </c>
    </row>
    <row r="530" spans="1:28" ht="12.6" customHeight="1" x14ac:dyDescent="0.2">
      <c r="A530" s="4"/>
      <c r="B530" s="826" t="s">
        <v>634</v>
      </c>
      <c r="C530" s="690"/>
      <c r="D530" s="690"/>
      <c r="E530" s="690"/>
      <c r="F530" s="381">
        <f>14.7*X2</f>
        <v>15655.5</v>
      </c>
      <c r="G530" s="288">
        <f t="shared" ref="G530" si="1454">+F530*$X$1</f>
        <v>15655.5</v>
      </c>
      <c r="H530" s="102">
        <f>F530+4000</f>
        <v>19655.5</v>
      </c>
      <c r="I530" s="319">
        <f t="shared" si="1446"/>
        <v>19655.5</v>
      </c>
      <c r="J530" s="102">
        <f t="shared" si="1447"/>
        <v>16455.5</v>
      </c>
      <c r="K530" s="319">
        <f t="shared" si="1443"/>
        <v>16455.5</v>
      </c>
      <c r="L530" s="102">
        <f t="shared" si="1448"/>
        <v>16255.5</v>
      </c>
      <c r="M530" s="319">
        <f t="shared" si="1444"/>
        <v>16255.5</v>
      </c>
      <c r="N530" s="102">
        <f>F530+500</f>
        <v>16155.5</v>
      </c>
      <c r="O530" s="319">
        <f t="shared" si="1449"/>
        <v>16155.5</v>
      </c>
      <c r="P530" s="102">
        <f>F530+460</f>
        <v>16115.5</v>
      </c>
      <c r="Q530" s="319">
        <f t="shared" si="1450"/>
        <v>16115.5</v>
      </c>
      <c r="R530" s="102">
        <f>F530+440</f>
        <v>16095.5</v>
      </c>
      <c r="S530" s="319">
        <f t="shared" si="1451"/>
        <v>16095.5</v>
      </c>
      <c r="T530" s="102">
        <f>F530+400</f>
        <v>16055.5</v>
      </c>
      <c r="U530" s="319">
        <f t="shared" si="1452"/>
        <v>16055.5</v>
      </c>
      <c r="V530" s="102">
        <f>F530+370</f>
        <v>16025.5</v>
      </c>
      <c r="W530" s="319">
        <f t="shared" si="1453"/>
        <v>16025.5</v>
      </c>
      <c r="X530" s="139"/>
      <c r="Y530" s="134"/>
      <c r="Z530" s="140"/>
      <c r="AA530" s="141"/>
      <c r="AB530" s="404">
        <v>888</v>
      </c>
    </row>
    <row r="531" spans="1:28" ht="12.6" customHeight="1" x14ac:dyDescent="0.2">
      <c r="A531" s="4"/>
      <c r="B531" s="825" t="s">
        <v>427</v>
      </c>
      <c r="C531" s="744"/>
      <c r="D531" s="744"/>
      <c r="E531" s="744"/>
      <c r="F531" s="380">
        <f>16.75*X2</f>
        <v>17838.75</v>
      </c>
      <c r="G531" s="287">
        <f t="shared" ref="G531" si="1455">+F531*$X$1</f>
        <v>17838.75</v>
      </c>
      <c r="H531" s="103">
        <f>F531+4000</f>
        <v>21838.75</v>
      </c>
      <c r="I531" s="306">
        <f t="shared" si="1446"/>
        <v>21838.75</v>
      </c>
      <c r="J531" s="103">
        <f t="shared" si="1447"/>
        <v>18638.75</v>
      </c>
      <c r="K531" s="306">
        <f t="shared" si="1443"/>
        <v>18638.75</v>
      </c>
      <c r="L531" s="103">
        <f t="shared" si="1448"/>
        <v>18438.75</v>
      </c>
      <c r="M531" s="306">
        <f t="shared" si="1444"/>
        <v>18438.75</v>
      </c>
      <c r="N531" s="103">
        <f>F531+500</f>
        <v>18338.75</v>
      </c>
      <c r="O531" s="306">
        <f t="shared" si="1449"/>
        <v>18338.75</v>
      </c>
      <c r="P531" s="103">
        <f>F531+460</f>
        <v>18298.75</v>
      </c>
      <c r="Q531" s="306">
        <f t="shared" si="1450"/>
        <v>18298.75</v>
      </c>
      <c r="R531" s="103">
        <f>F531+440</f>
        <v>18278.75</v>
      </c>
      <c r="S531" s="306">
        <f t="shared" si="1451"/>
        <v>18278.75</v>
      </c>
      <c r="T531" s="103">
        <f>F531+400</f>
        <v>18238.75</v>
      </c>
      <c r="U531" s="306">
        <f t="shared" si="1452"/>
        <v>18238.75</v>
      </c>
      <c r="V531" s="103">
        <f>F531+370</f>
        <v>18208.75</v>
      </c>
      <c r="W531" s="306">
        <f t="shared" si="1453"/>
        <v>18208.75</v>
      </c>
      <c r="X531" s="139"/>
      <c r="Y531" s="134"/>
      <c r="Z531" s="140"/>
      <c r="AA531" s="141"/>
      <c r="AB531" s="404">
        <v>894</v>
      </c>
    </row>
    <row r="532" spans="1:28" ht="12.6" customHeight="1" x14ac:dyDescent="0.2">
      <c r="A532" s="4"/>
      <c r="B532" s="826" t="s">
        <v>676</v>
      </c>
      <c r="C532" s="690"/>
      <c r="D532" s="690"/>
      <c r="E532" s="690"/>
      <c r="F532" s="381">
        <f>15.8*X2</f>
        <v>16827</v>
      </c>
      <c r="G532" s="288">
        <f t="shared" ref="G532:G536" si="1456">+F532*$X$1</f>
        <v>16827</v>
      </c>
      <c r="H532" s="102">
        <f>F532+5000</f>
        <v>21827</v>
      </c>
      <c r="I532" s="319">
        <f t="shared" si="1446"/>
        <v>21827</v>
      </c>
      <c r="J532" s="102">
        <f>F532+1100</f>
        <v>17927</v>
      </c>
      <c r="K532" s="319">
        <f t="shared" ref="K532:K534" si="1457">+J532*$X$1</f>
        <v>17927</v>
      </c>
      <c r="L532" s="102">
        <f>F532+990</f>
        <v>17817</v>
      </c>
      <c r="M532" s="319">
        <f t="shared" ref="M532:M534" si="1458">+L532*$X$1</f>
        <v>17817</v>
      </c>
      <c r="N532" s="102">
        <f>F532+920</f>
        <v>17747</v>
      </c>
      <c r="O532" s="319">
        <f t="shared" si="1449"/>
        <v>17747</v>
      </c>
      <c r="P532" s="102">
        <f>F532+860</f>
        <v>17687</v>
      </c>
      <c r="Q532" s="319">
        <f t="shared" si="1450"/>
        <v>17687</v>
      </c>
      <c r="R532" s="102">
        <f>F532+800</f>
        <v>17627</v>
      </c>
      <c r="S532" s="319">
        <f t="shared" si="1451"/>
        <v>17627</v>
      </c>
      <c r="T532" s="102">
        <f>F532+750</f>
        <v>17577</v>
      </c>
      <c r="U532" s="319">
        <f t="shared" si="1452"/>
        <v>17577</v>
      </c>
      <c r="V532" s="102">
        <f>F532+710</f>
        <v>17537</v>
      </c>
      <c r="W532" s="319">
        <f t="shared" si="1453"/>
        <v>17537</v>
      </c>
      <c r="X532" s="139"/>
      <c r="Y532" s="134"/>
      <c r="Z532" s="140"/>
      <c r="AA532" s="141"/>
      <c r="AB532" s="404">
        <v>896</v>
      </c>
    </row>
    <row r="533" spans="1:28" ht="12.6" customHeight="1" x14ac:dyDescent="0.2">
      <c r="A533" s="4"/>
      <c r="B533" s="825" t="s">
        <v>633</v>
      </c>
      <c r="C533" s="712"/>
      <c r="D533" s="712"/>
      <c r="E533" s="712"/>
      <c r="F533" s="380">
        <f>15.8*X2</f>
        <v>16827</v>
      </c>
      <c r="G533" s="287">
        <f t="shared" si="1456"/>
        <v>16827</v>
      </c>
      <c r="H533" s="103">
        <f>F533+4000</f>
        <v>20827</v>
      </c>
      <c r="I533" s="306">
        <f t="shared" ref="I533:I535" si="1459">+H533*$X$1</f>
        <v>20827</v>
      </c>
      <c r="J533" s="103">
        <f t="shared" ref="J533" si="1460">F533+800</f>
        <v>17627</v>
      </c>
      <c r="K533" s="306">
        <f t="shared" si="1457"/>
        <v>17627</v>
      </c>
      <c r="L533" s="103">
        <f t="shared" ref="L533" si="1461">F533+600</f>
        <v>17427</v>
      </c>
      <c r="M533" s="306">
        <f t="shared" si="1458"/>
        <v>17427</v>
      </c>
      <c r="N533" s="103">
        <f>F533+500</f>
        <v>17327</v>
      </c>
      <c r="O533" s="306">
        <f t="shared" ref="O533:O538" si="1462">+N533*$X$1</f>
        <v>17327</v>
      </c>
      <c r="P533" s="103">
        <f>F533+460</f>
        <v>17287</v>
      </c>
      <c r="Q533" s="306">
        <f t="shared" ref="Q533:Q537" si="1463">+P533*$X$1</f>
        <v>17287</v>
      </c>
      <c r="R533" s="103">
        <f>F533+440</f>
        <v>17267</v>
      </c>
      <c r="S533" s="306">
        <f t="shared" ref="S533:S537" si="1464">+R533*$X$1</f>
        <v>17267</v>
      </c>
      <c r="T533" s="103">
        <f>F533+400</f>
        <v>17227</v>
      </c>
      <c r="U533" s="306">
        <f t="shared" ref="U533:U537" si="1465">+T533*$X$1</f>
        <v>17227</v>
      </c>
      <c r="V533" s="103">
        <f>F533+370</f>
        <v>17197</v>
      </c>
      <c r="W533" s="306">
        <f t="shared" ref="W533:W537" si="1466">+V533*$X$1</f>
        <v>17197</v>
      </c>
      <c r="X533" s="139"/>
      <c r="Y533" s="134"/>
      <c r="Z533" s="140"/>
      <c r="AA533" s="141"/>
      <c r="AB533" s="404">
        <v>896</v>
      </c>
    </row>
    <row r="534" spans="1:28" ht="12.6" customHeight="1" x14ac:dyDescent="0.2">
      <c r="A534" s="4"/>
      <c r="B534" s="826" t="s">
        <v>922</v>
      </c>
      <c r="C534" s="707"/>
      <c r="D534" s="707"/>
      <c r="E534" s="707"/>
      <c r="F534" s="329">
        <v>20475</v>
      </c>
      <c r="G534" s="288">
        <f t="shared" ref="G534" si="1467">+F534*$X$1</f>
        <v>20475</v>
      </c>
      <c r="H534" s="102">
        <f>F534+5000</f>
        <v>25475</v>
      </c>
      <c r="I534" s="319">
        <f t="shared" ref="I534" si="1468">+H534*$X$1</f>
        <v>25475</v>
      </c>
      <c r="J534" s="102">
        <f>F534+1100</f>
        <v>21575</v>
      </c>
      <c r="K534" s="319">
        <f t="shared" si="1457"/>
        <v>21575</v>
      </c>
      <c r="L534" s="102">
        <f>F534+990</f>
        <v>21465</v>
      </c>
      <c r="M534" s="319">
        <f t="shared" si="1458"/>
        <v>21465</v>
      </c>
      <c r="N534" s="102">
        <f>F534+920</f>
        <v>21395</v>
      </c>
      <c r="O534" s="319">
        <f t="shared" ref="O534" si="1469">+N534*$X$1</f>
        <v>21395</v>
      </c>
      <c r="P534" s="102">
        <f>F534+860</f>
        <v>21335</v>
      </c>
      <c r="Q534" s="319">
        <f t="shared" ref="Q534" si="1470">+P534*$X$1</f>
        <v>21335</v>
      </c>
      <c r="R534" s="102">
        <f>F534+800</f>
        <v>21275</v>
      </c>
      <c r="S534" s="319">
        <f t="shared" ref="S534" si="1471">+R534*$X$1</f>
        <v>21275</v>
      </c>
      <c r="T534" s="102">
        <f>F534+750</f>
        <v>21225</v>
      </c>
      <c r="U534" s="319">
        <f t="shared" ref="U534" si="1472">+T534*$X$1</f>
        <v>21225</v>
      </c>
      <c r="V534" s="102">
        <f>F534+710</f>
        <v>21185</v>
      </c>
      <c r="W534" s="319">
        <f t="shared" ref="W534" si="1473">+V534*$X$1</f>
        <v>21185</v>
      </c>
      <c r="X534" s="139"/>
      <c r="Y534" s="134"/>
      <c r="Z534" s="140"/>
      <c r="AA534" s="141"/>
      <c r="AB534" s="404"/>
    </row>
    <row r="535" spans="1:28" ht="12.6" customHeight="1" x14ac:dyDescent="0.2">
      <c r="A535" s="4"/>
      <c r="B535" s="825" t="s">
        <v>636</v>
      </c>
      <c r="C535" s="795"/>
      <c r="D535" s="795"/>
      <c r="E535" s="795"/>
      <c r="F535" s="380">
        <f>19*X2</f>
        <v>20235</v>
      </c>
      <c r="G535" s="287">
        <f t="shared" si="1456"/>
        <v>20235</v>
      </c>
      <c r="H535" s="103">
        <f>F535+5000</f>
        <v>25235</v>
      </c>
      <c r="I535" s="306">
        <f t="shared" si="1459"/>
        <v>25235</v>
      </c>
      <c r="J535" s="103">
        <f>F535+1100</f>
        <v>21335</v>
      </c>
      <c r="K535" s="306">
        <f t="shared" ref="K535:K539" si="1474">+J535*$X$1</f>
        <v>21335</v>
      </c>
      <c r="L535" s="103">
        <f>F535+990</f>
        <v>21225</v>
      </c>
      <c r="M535" s="306">
        <f t="shared" ref="M535:M539" si="1475">+L535*$X$1</f>
        <v>21225</v>
      </c>
      <c r="N535" s="103">
        <f>F535+920</f>
        <v>21155</v>
      </c>
      <c r="O535" s="306">
        <f t="shared" si="1462"/>
        <v>21155</v>
      </c>
      <c r="P535" s="103">
        <f>F535+860</f>
        <v>21095</v>
      </c>
      <c r="Q535" s="306">
        <f t="shared" si="1463"/>
        <v>21095</v>
      </c>
      <c r="R535" s="103">
        <f>F535+800</f>
        <v>21035</v>
      </c>
      <c r="S535" s="306">
        <f t="shared" si="1464"/>
        <v>21035</v>
      </c>
      <c r="T535" s="103">
        <f>F535+750</f>
        <v>20985</v>
      </c>
      <c r="U535" s="306">
        <f t="shared" si="1465"/>
        <v>20985</v>
      </c>
      <c r="V535" s="103">
        <f>F535+710</f>
        <v>20945</v>
      </c>
      <c r="W535" s="306">
        <f t="shared" si="1466"/>
        <v>20945</v>
      </c>
      <c r="X535" s="139"/>
      <c r="Y535" s="134"/>
      <c r="Z535" s="140"/>
      <c r="AA535" s="141"/>
      <c r="AB535" s="404">
        <v>899</v>
      </c>
    </row>
    <row r="536" spans="1:28" ht="12.6" customHeight="1" x14ac:dyDescent="0.2">
      <c r="A536" s="4"/>
      <c r="B536" s="826" t="s">
        <v>644</v>
      </c>
      <c r="C536" s="707"/>
      <c r="D536" s="707"/>
      <c r="E536" s="707"/>
      <c r="F536" s="381">
        <f>19*X2</f>
        <v>20235</v>
      </c>
      <c r="G536" s="288">
        <f t="shared" si="1456"/>
        <v>20235</v>
      </c>
      <c r="H536" s="102">
        <f>F536+4000</f>
        <v>24235</v>
      </c>
      <c r="I536" s="319">
        <f t="shared" ref="I536:I538" si="1476">+H536*$X$1</f>
        <v>24235</v>
      </c>
      <c r="J536" s="102">
        <f t="shared" ref="J536" si="1477">F536+800</f>
        <v>21035</v>
      </c>
      <c r="K536" s="319">
        <f t="shared" si="1474"/>
        <v>21035</v>
      </c>
      <c r="L536" s="102">
        <f t="shared" ref="L536" si="1478">F536+600</f>
        <v>20835</v>
      </c>
      <c r="M536" s="319">
        <f t="shared" si="1475"/>
        <v>20835</v>
      </c>
      <c r="N536" s="102">
        <f>F536+500</f>
        <v>20735</v>
      </c>
      <c r="O536" s="319">
        <f t="shared" si="1462"/>
        <v>20735</v>
      </c>
      <c r="P536" s="102">
        <f>F536+460</f>
        <v>20695</v>
      </c>
      <c r="Q536" s="319">
        <f t="shared" si="1463"/>
        <v>20695</v>
      </c>
      <c r="R536" s="102">
        <f>F536+440</f>
        <v>20675</v>
      </c>
      <c r="S536" s="319">
        <f t="shared" si="1464"/>
        <v>20675</v>
      </c>
      <c r="T536" s="102">
        <f>F536+400</f>
        <v>20635</v>
      </c>
      <c r="U536" s="319">
        <f t="shared" si="1465"/>
        <v>20635</v>
      </c>
      <c r="V536" s="102">
        <f>F536+370</f>
        <v>20605</v>
      </c>
      <c r="W536" s="319">
        <f t="shared" si="1466"/>
        <v>20605</v>
      </c>
      <c r="X536" s="139"/>
      <c r="Y536" s="134"/>
      <c r="Z536" s="140"/>
      <c r="AA536" s="141"/>
      <c r="AB536" s="404" t="s">
        <v>645</v>
      </c>
    </row>
    <row r="537" spans="1:28" ht="12.6" customHeight="1" x14ac:dyDescent="0.2">
      <c r="A537" s="4"/>
      <c r="B537" s="825" t="s">
        <v>498</v>
      </c>
      <c r="C537" s="744"/>
      <c r="D537" s="744"/>
      <c r="E537" s="744"/>
      <c r="F537" s="380">
        <f>20*X2</f>
        <v>21300</v>
      </c>
      <c r="G537" s="287">
        <f t="shared" ref="G537" si="1479">+F537*$X$1</f>
        <v>21300</v>
      </c>
      <c r="H537" s="103">
        <f>F537+5000</f>
        <v>26300</v>
      </c>
      <c r="I537" s="306">
        <f t="shared" si="1476"/>
        <v>26300</v>
      </c>
      <c r="J537" s="103">
        <f>F537+1100</f>
        <v>22400</v>
      </c>
      <c r="K537" s="306">
        <f t="shared" si="1474"/>
        <v>22400</v>
      </c>
      <c r="L537" s="103">
        <f>F537+990</f>
        <v>22290</v>
      </c>
      <c r="M537" s="306">
        <f t="shared" si="1475"/>
        <v>22290</v>
      </c>
      <c r="N537" s="103">
        <f>F537+920</f>
        <v>22220</v>
      </c>
      <c r="O537" s="306">
        <f t="shared" si="1462"/>
        <v>22220</v>
      </c>
      <c r="P537" s="103">
        <f>F537+860</f>
        <v>22160</v>
      </c>
      <c r="Q537" s="306">
        <f t="shared" si="1463"/>
        <v>22160</v>
      </c>
      <c r="R537" s="103">
        <f>F537+800</f>
        <v>22100</v>
      </c>
      <c r="S537" s="306">
        <f t="shared" si="1464"/>
        <v>22100</v>
      </c>
      <c r="T537" s="103">
        <f>F537+750</f>
        <v>22050</v>
      </c>
      <c r="U537" s="306">
        <f t="shared" si="1465"/>
        <v>22050</v>
      </c>
      <c r="V537" s="103">
        <f>F537+710</f>
        <v>22010</v>
      </c>
      <c r="W537" s="306">
        <f t="shared" si="1466"/>
        <v>22010</v>
      </c>
      <c r="X537" s="139"/>
      <c r="Y537" s="134"/>
      <c r="Z537" s="140"/>
      <c r="AA537" s="141"/>
      <c r="AB537" s="404">
        <v>900</v>
      </c>
    </row>
    <row r="538" spans="1:28" ht="12.6" customHeight="1" x14ac:dyDescent="0.2">
      <c r="A538" s="4"/>
      <c r="B538" s="786" t="s">
        <v>426</v>
      </c>
      <c r="C538" s="765"/>
      <c r="D538" s="765"/>
      <c r="E538" s="766"/>
      <c r="F538" s="536">
        <v>15372</v>
      </c>
      <c r="G538" s="288">
        <f>+F538*$X$1</f>
        <v>15372</v>
      </c>
      <c r="H538" s="102">
        <f>F538+5000</f>
        <v>20372</v>
      </c>
      <c r="I538" s="319">
        <f t="shared" si="1476"/>
        <v>20372</v>
      </c>
      <c r="J538" s="102">
        <f>F538+1100</f>
        <v>16472</v>
      </c>
      <c r="K538" s="319">
        <f t="shared" si="1474"/>
        <v>16472</v>
      </c>
      <c r="L538" s="102">
        <f>F538+990</f>
        <v>16362</v>
      </c>
      <c r="M538" s="319">
        <f t="shared" si="1475"/>
        <v>16362</v>
      </c>
      <c r="N538" s="102">
        <f>F538+920</f>
        <v>16292</v>
      </c>
      <c r="O538" s="319">
        <f t="shared" si="1462"/>
        <v>16292</v>
      </c>
      <c r="P538" s="102"/>
      <c r="Q538" s="319"/>
      <c r="R538" s="102"/>
      <c r="S538" s="319"/>
      <c r="T538" s="102"/>
      <c r="U538" s="319"/>
      <c r="V538" s="102"/>
      <c r="W538" s="319"/>
      <c r="X538" s="139"/>
      <c r="Y538" s="134"/>
      <c r="Z538" s="140"/>
      <c r="AA538" s="141"/>
      <c r="AB538" s="404">
        <v>902</v>
      </c>
    </row>
    <row r="539" spans="1:28" ht="12.6" customHeight="1" x14ac:dyDescent="0.2">
      <c r="A539" s="4"/>
      <c r="B539" s="825" t="s">
        <v>425</v>
      </c>
      <c r="C539" s="744"/>
      <c r="D539" s="744"/>
      <c r="E539" s="744"/>
      <c r="F539" s="330">
        <v>21380</v>
      </c>
      <c r="G539" s="287">
        <f>+F539*$X$1</f>
        <v>21380</v>
      </c>
      <c r="H539" s="103">
        <f>F539+4000</f>
        <v>25380</v>
      </c>
      <c r="I539" s="306">
        <f t="shared" ref="I539:I540" si="1480">+H539*$X$1</f>
        <v>25380</v>
      </c>
      <c r="J539" s="103">
        <f t="shared" ref="J539" si="1481">F539+800</f>
        <v>22180</v>
      </c>
      <c r="K539" s="306">
        <f t="shared" si="1474"/>
        <v>22180</v>
      </c>
      <c r="L539" s="103">
        <f t="shared" ref="L539" si="1482">F539+600</f>
        <v>21980</v>
      </c>
      <c r="M539" s="306">
        <f t="shared" si="1475"/>
        <v>21980</v>
      </c>
      <c r="N539" s="103">
        <f>F539+500</f>
        <v>21880</v>
      </c>
      <c r="O539" s="306">
        <f t="shared" ref="O539:O540" si="1483">+N539*$X$1</f>
        <v>21880</v>
      </c>
      <c r="P539" s="103">
        <f>F539+460</f>
        <v>21840</v>
      </c>
      <c r="Q539" s="306">
        <f t="shared" ref="Q539:Q540" si="1484">+P539*$X$1</f>
        <v>21840</v>
      </c>
      <c r="R539" s="103">
        <f>F539+440</f>
        <v>21820</v>
      </c>
      <c r="S539" s="306">
        <f t="shared" ref="S539:S540" si="1485">+R539*$X$1</f>
        <v>21820</v>
      </c>
      <c r="T539" s="103">
        <f>F539+400</f>
        <v>21780</v>
      </c>
      <c r="U539" s="306">
        <f t="shared" ref="U539:U540" si="1486">+T539*$X$1</f>
        <v>21780</v>
      </c>
      <c r="V539" s="103">
        <f>F539+370</f>
        <v>21750</v>
      </c>
      <c r="W539" s="306">
        <f t="shared" ref="W539:W540" si="1487">+V539*$X$1</f>
        <v>21750</v>
      </c>
      <c r="X539" s="139"/>
      <c r="Y539" s="134"/>
      <c r="Z539" s="140"/>
      <c r="AA539" s="141"/>
      <c r="AB539" s="404">
        <v>905</v>
      </c>
    </row>
    <row r="540" spans="1:28" ht="12.6" customHeight="1" x14ac:dyDescent="0.2">
      <c r="A540" s="4"/>
      <c r="B540" s="826" t="s">
        <v>686</v>
      </c>
      <c r="C540" s="704"/>
      <c r="D540" s="704"/>
      <c r="E540" s="704"/>
      <c r="F540" s="381">
        <f>21.3*X2</f>
        <v>22684.5</v>
      </c>
      <c r="G540" s="288">
        <f>+F540*$X$1</f>
        <v>22684.5</v>
      </c>
      <c r="H540" s="102">
        <f>F540+5000</f>
        <v>27684.5</v>
      </c>
      <c r="I540" s="319">
        <f t="shared" si="1480"/>
        <v>27684.5</v>
      </c>
      <c r="J540" s="102">
        <f>F540+1100</f>
        <v>23784.5</v>
      </c>
      <c r="K540" s="319">
        <f t="shared" ref="K540:K541" si="1488">+J540*$X$1</f>
        <v>23784.5</v>
      </c>
      <c r="L540" s="102">
        <f>F540+990</f>
        <v>23674.5</v>
      </c>
      <c r="M540" s="319">
        <f t="shared" ref="M540:M541" si="1489">+L540*$X$1</f>
        <v>23674.5</v>
      </c>
      <c r="N540" s="102">
        <f>F540+920</f>
        <v>23604.5</v>
      </c>
      <c r="O540" s="319">
        <f t="shared" si="1483"/>
        <v>23604.5</v>
      </c>
      <c r="P540" s="102">
        <f>F540+860</f>
        <v>23544.5</v>
      </c>
      <c r="Q540" s="319">
        <f t="shared" si="1484"/>
        <v>23544.5</v>
      </c>
      <c r="R540" s="102">
        <f>F540+800</f>
        <v>23484.5</v>
      </c>
      <c r="S540" s="319">
        <f t="shared" si="1485"/>
        <v>23484.5</v>
      </c>
      <c r="T540" s="102">
        <f>F540+750</f>
        <v>23434.5</v>
      </c>
      <c r="U540" s="319">
        <f t="shared" si="1486"/>
        <v>23434.5</v>
      </c>
      <c r="V540" s="102">
        <f>F540+710</f>
        <v>23394.5</v>
      </c>
      <c r="W540" s="319">
        <f t="shared" si="1487"/>
        <v>23394.5</v>
      </c>
      <c r="X540" s="139"/>
      <c r="Y540" s="134"/>
      <c r="Z540" s="140"/>
      <c r="AA540" s="141"/>
      <c r="AB540" s="404">
        <v>906</v>
      </c>
    </row>
    <row r="541" spans="1:28" ht="12.6" customHeight="1" x14ac:dyDescent="0.2">
      <c r="A541" s="4"/>
      <c r="B541" s="825" t="s">
        <v>687</v>
      </c>
      <c r="C541" s="744"/>
      <c r="D541" s="744"/>
      <c r="E541" s="744"/>
      <c r="F541" s="380">
        <f>21.3*X2</f>
        <v>22684.5</v>
      </c>
      <c r="G541" s="287">
        <f>+F541*$X$1</f>
        <v>22684.5</v>
      </c>
      <c r="H541" s="103">
        <f>F541+4000</f>
        <v>26684.5</v>
      </c>
      <c r="I541" s="306">
        <f t="shared" ref="I541:I543" si="1490">+H541*$X$1</f>
        <v>26684.5</v>
      </c>
      <c r="J541" s="103">
        <f t="shared" ref="J541" si="1491">F541+800</f>
        <v>23484.5</v>
      </c>
      <c r="K541" s="306">
        <f t="shared" si="1488"/>
        <v>23484.5</v>
      </c>
      <c r="L541" s="103">
        <f t="shared" ref="L541" si="1492">F541+600</f>
        <v>23284.5</v>
      </c>
      <c r="M541" s="306">
        <f t="shared" si="1489"/>
        <v>23284.5</v>
      </c>
      <c r="N541" s="103">
        <f>F541+500</f>
        <v>23184.5</v>
      </c>
      <c r="O541" s="306">
        <f t="shared" ref="O541:O543" si="1493">+N541*$X$1</f>
        <v>23184.5</v>
      </c>
      <c r="P541" s="103">
        <f>F541+460</f>
        <v>23144.5</v>
      </c>
      <c r="Q541" s="306">
        <f t="shared" ref="Q541:Q542" si="1494">+P541*$X$1</f>
        <v>23144.5</v>
      </c>
      <c r="R541" s="103">
        <f>F541+440</f>
        <v>23124.5</v>
      </c>
      <c r="S541" s="306">
        <f t="shared" ref="S541:S542" si="1495">+R541*$X$1</f>
        <v>23124.5</v>
      </c>
      <c r="T541" s="103">
        <f>F541+400</f>
        <v>23084.5</v>
      </c>
      <c r="U541" s="306">
        <f t="shared" ref="U541:U542" si="1496">+T541*$X$1</f>
        <v>23084.5</v>
      </c>
      <c r="V541" s="103">
        <f>F541+370</f>
        <v>23054.5</v>
      </c>
      <c r="W541" s="306">
        <f t="shared" ref="W541:W542" si="1497">+V541*$X$1</f>
        <v>23054.5</v>
      </c>
      <c r="X541" s="139"/>
      <c r="Y541" s="134"/>
      <c r="Z541" s="140"/>
      <c r="AA541" s="141"/>
      <c r="AB541" s="404">
        <v>906</v>
      </c>
    </row>
    <row r="542" spans="1:28" ht="12.6" customHeight="1" x14ac:dyDescent="0.2">
      <c r="A542" s="4"/>
      <c r="B542" s="826" t="s">
        <v>632</v>
      </c>
      <c r="C542" s="690"/>
      <c r="D542" s="690"/>
      <c r="E542" s="690"/>
      <c r="F542" s="382">
        <f>21.1*X2</f>
        <v>22471.5</v>
      </c>
      <c r="G542" s="288">
        <f t="shared" ref="G542" si="1498">+F542*$X$1</f>
        <v>22471.5</v>
      </c>
      <c r="H542" s="102">
        <f>F542+5000</f>
        <v>27471.5</v>
      </c>
      <c r="I542" s="319">
        <f t="shared" si="1490"/>
        <v>27471.5</v>
      </c>
      <c r="J542" s="102">
        <f>F542+1100</f>
        <v>23571.5</v>
      </c>
      <c r="K542" s="319">
        <f t="shared" ref="K542:K543" si="1499">+J542*$X$1</f>
        <v>23571.5</v>
      </c>
      <c r="L542" s="102">
        <f>F542+990</f>
        <v>23461.5</v>
      </c>
      <c r="M542" s="319">
        <f t="shared" ref="M542:M543" si="1500">+L542*$X$1</f>
        <v>23461.5</v>
      </c>
      <c r="N542" s="102">
        <f>F542+920</f>
        <v>23391.5</v>
      </c>
      <c r="O542" s="319">
        <f t="shared" si="1493"/>
        <v>23391.5</v>
      </c>
      <c r="P542" s="102">
        <f>F542+860</f>
        <v>23331.5</v>
      </c>
      <c r="Q542" s="319">
        <f t="shared" si="1494"/>
        <v>23331.5</v>
      </c>
      <c r="R542" s="102">
        <f>F542+800</f>
        <v>23271.5</v>
      </c>
      <c r="S542" s="319">
        <f t="shared" si="1495"/>
        <v>23271.5</v>
      </c>
      <c r="T542" s="102">
        <f>F542+750</f>
        <v>23221.5</v>
      </c>
      <c r="U542" s="319">
        <f t="shared" si="1496"/>
        <v>23221.5</v>
      </c>
      <c r="V542" s="102">
        <f>F542+710</f>
        <v>23181.5</v>
      </c>
      <c r="W542" s="319">
        <f t="shared" si="1497"/>
        <v>23181.5</v>
      </c>
      <c r="X542" s="139"/>
      <c r="Y542" s="134"/>
      <c r="Z542" s="140"/>
      <c r="AA542" s="141"/>
      <c r="AB542" s="404" t="s">
        <v>646</v>
      </c>
    </row>
    <row r="543" spans="1:28" ht="12.6" customHeight="1" x14ac:dyDescent="0.2">
      <c r="A543" s="4"/>
      <c r="B543" s="825" t="s">
        <v>685</v>
      </c>
      <c r="C543" s="712"/>
      <c r="D543" s="712"/>
      <c r="E543" s="712"/>
      <c r="F543" s="383">
        <f>21.1*X2</f>
        <v>22471.5</v>
      </c>
      <c r="G543" s="287">
        <f t="shared" ref="G543" si="1501">+F543*$X$1</f>
        <v>22471.5</v>
      </c>
      <c r="H543" s="103">
        <f>F543+4000</f>
        <v>26471.5</v>
      </c>
      <c r="I543" s="306">
        <f t="shared" si="1490"/>
        <v>26471.5</v>
      </c>
      <c r="J543" s="103">
        <f t="shared" ref="J543" si="1502">F543+800</f>
        <v>23271.5</v>
      </c>
      <c r="K543" s="306">
        <f t="shared" si="1499"/>
        <v>23271.5</v>
      </c>
      <c r="L543" s="103">
        <f t="shared" ref="L543" si="1503">F543+600</f>
        <v>23071.5</v>
      </c>
      <c r="M543" s="306">
        <f t="shared" si="1500"/>
        <v>23071.5</v>
      </c>
      <c r="N543" s="103">
        <f>F543+500</f>
        <v>22971.5</v>
      </c>
      <c r="O543" s="306">
        <f t="shared" si="1493"/>
        <v>22971.5</v>
      </c>
      <c r="P543" s="103"/>
      <c r="Q543" s="306"/>
      <c r="R543" s="103"/>
      <c r="S543" s="306"/>
      <c r="T543" s="103"/>
      <c r="U543" s="306"/>
      <c r="V543" s="103"/>
      <c r="W543" s="306"/>
      <c r="X543" s="139"/>
      <c r="Y543" s="134"/>
      <c r="Z543" s="140"/>
      <c r="AA543" s="141"/>
      <c r="AB543" s="404">
        <v>907</v>
      </c>
    </row>
    <row r="544" spans="1:28" ht="12.6" customHeight="1" x14ac:dyDescent="0.2">
      <c r="A544" s="4"/>
      <c r="B544" s="819" t="s">
        <v>603</v>
      </c>
      <c r="C544" s="820"/>
      <c r="D544" s="820"/>
      <c r="E544" s="820"/>
      <c r="F544" s="288"/>
      <c r="G544" s="288"/>
      <c r="H544" s="460">
        <v>1900</v>
      </c>
      <c r="I544" s="288">
        <f t="shared" ref="I544" si="1504">+H544*$X$1</f>
        <v>1900</v>
      </c>
      <c r="J544" s="460">
        <v>800</v>
      </c>
      <c r="K544" s="288">
        <f t="shared" ref="K544" si="1505">+J544*$X$1</f>
        <v>800</v>
      </c>
      <c r="L544" s="460">
        <v>680</v>
      </c>
      <c r="M544" s="288">
        <f t="shared" ref="M544" si="1506">+L544*$X$1</f>
        <v>680</v>
      </c>
      <c r="N544" s="460">
        <v>620</v>
      </c>
      <c r="O544" s="288">
        <f t="shared" ref="O544" si="1507">+N544*$X$1</f>
        <v>620</v>
      </c>
      <c r="P544" s="460">
        <v>570</v>
      </c>
      <c r="Q544" s="288">
        <f t="shared" ref="Q544" si="1508">+P544*$X$1</f>
        <v>570</v>
      </c>
      <c r="R544" s="460">
        <v>520</v>
      </c>
      <c r="S544" s="288">
        <f t="shared" ref="S544" si="1509">+R544*$X$1</f>
        <v>520</v>
      </c>
      <c r="T544" s="460">
        <v>480</v>
      </c>
      <c r="U544" s="288">
        <f t="shared" ref="U544" si="1510">+T544*$X$1</f>
        <v>480</v>
      </c>
      <c r="V544" s="460">
        <v>450</v>
      </c>
      <c r="W544" s="288">
        <f t="shared" ref="W544" si="1511">+V544*$X$1</f>
        <v>450</v>
      </c>
      <c r="X544" s="139"/>
      <c r="Y544" s="134"/>
      <c r="Z544" s="140"/>
      <c r="AA544" s="141"/>
      <c r="AB544" s="32"/>
    </row>
    <row r="545" spans="1:34" ht="12.6" customHeight="1" x14ac:dyDescent="0.2">
      <c r="A545" s="4"/>
      <c r="B545" s="817" t="s">
        <v>604</v>
      </c>
      <c r="C545" s="818"/>
      <c r="D545" s="818"/>
      <c r="E545" s="818"/>
      <c r="F545" s="287"/>
      <c r="G545" s="287"/>
      <c r="H545" s="580">
        <v>900</v>
      </c>
      <c r="I545" s="287">
        <f t="shared" ref="I545" si="1512">+H545*$X$1</f>
        <v>900</v>
      </c>
      <c r="J545" s="580">
        <v>420</v>
      </c>
      <c r="K545" s="287">
        <f t="shared" ref="K545" si="1513">+J545*$X$1</f>
        <v>420</v>
      </c>
      <c r="L545" s="580">
        <v>380</v>
      </c>
      <c r="M545" s="287">
        <f t="shared" ref="M545" si="1514">+L545*$X$1</f>
        <v>380</v>
      </c>
      <c r="N545" s="580">
        <v>350</v>
      </c>
      <c r="O545" s="287">
        <f t="shared" ref="O545" si="1515">+N545*$X$1</f>
        <v>350</v>
      </c>
      <c r="P545" s="580">
        <v>320</v>
      </c>
      <c r="Q545" s="287">
        <f t="shared" ref="Q545" si="1516">+P545*$X$1</f>
        <v>320</v>
      </c>
      <c r="R545" s="580">
        <v>300</v>
      </c>
      <c r="S545" s="287">
        <f t="shared" ref="S545" si="1517">+R545*$X$1</f>
        <v>300</v>
      </c>
      <c r="T545" s="580">
        <v>280</v>
      </c>
      <c r="U545" s="287">
        <f t="shared" ref="U545" si="1518">+T545*$X$1</f>
        <v>280</v>
      </c>
      <c r="V545" s="580">
        <v>260</v>
      </c>
      <c r="W545" s="287">
        <f t="shared" ref="W545" si="1519">+V545*$X$1</f>
        <v>260</v>
      </c>
      <c r="X545" s="139"/>
      <c r="Y545" s="134"/>
      <c r="Z545" s="140"/>
      <c r="AA545" s="141"/>
      <c r="AB545" s="32"/>
    </row>
    <row r="546" spans="1:34" ht="15.75" customHeight="1" x14ac:dyDescent="0.2">
      <c r="A546" s="97"/>
      <c r="B546" s="77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9"/>
      <c r="W546" s="80"/>
      <c r="AB546" s="81"/>
    </row>
    <row r="547" spans="1:34" ht="13.5" customHeight="1" x14ac:dyDescent="0.2">
      <c r="B547" s="793" t="s">
        <v>578</v>
      </c>
      <c r="C547" s="794"/>
      <c r="D547" s="794"/>
      <c r="E547" s="794"/>
      <c r="F547" s="794"/>
      <c r="G547" s="794"/>
      <c r="H547" s="794"/>
      <c r="I547" s="794"/>
      <c r="J547" s="794"/>
      <c r="K547" s="794"/>
      <c r="L547" s="794"/>
      <c r="M547" s="794"/>
      <c r="N547" s="794"/>
      <c r="O547" s="794"/>
      <c r="P547" s="794"/>
      <c r="Q547" s="794"/>
      <c r="R547" s="794"/>
      <c r="S547" s="794"/>
      <c r="T547" s="794"/>
      <c r="U547" s="794"/>
      <c r="V547" s="794"/>
      <c r="W547" s="794"/>
      <c r="AB547" s="4"/>
      <c r="AF547" s="789"/>
      <c r="AG547" s="790"/>
      <c r="AH547" s="790"/>
    </row>
    <row r="548" spans="1:34" ht="12.75" customHeight="1" x14ac:dyDescent="0.2">
      <c r="B548" s="846" t="s">
        <v>11</v>
      </c>
      <c r="C548" s="822" t="s">
        <v>12</v>
      </c>
      <c r="D548" s="823"/>
      <c r="E548" s="823"/>
      <c r="F548" s="902" t="s">
        <v>287</v>
      </c>
      <c r="G548" s="902" t="s">
        <v>13</v>
      </c>
      <c r="H548" s="904" t="s">
        <v>917</v>
      </c>
      <c r="I548" s="904"/>
      <c r="J548" s="905"/>
      <c r="K548" s="905"/>
      <c r="L548" s="905"/>
      <c r="M548" s="905"/>
      <c r="N548" s="905"/>
      <c r="O548" s="905"/>
      <c r="P548" s="905"/>
      <c r="Q548" s="905"/>
      <c r="R548" s="905"/>
      <c r="S548" s="905"/>
      <c r="T548" s="905"/>
      <c r="U548" s="905"/>
      <c r="V548" s="905"/>
      <c r="W548" s="906"/>
      <c r="X548" s="753" t="s">
        <v>14</v>
      </c>
      <c r="Y548" s="754"/>
      <c r="Z548" s="754"/>
      <c r="AA548" s="755"/>
      <c r="AB548" s="791" t="s">
        <v>15</v>
      </c>
      <c r="AF548" s="789" t="s">
        <v>3</v>
      </c>
      <c r="AG548" s="790"/>
      <c r="AH548" s="790"/>
    </row>
    <row r="549" spans="1:34" ht="10.5" customHeight="1" x14ac:dyDescent="0.2">
      <c r="B549" s="847"/>
      <c r="C549" s="824"/>
      <c r="D549" s="824"/>
      <c r="E549" s="824"/>
      <c r="F549" s="903"/>
      <c r="G549" s="903"/>
      <c r="H549" s="484"/>
      <c r="I549" s="485" t="s">
        <v>565</v>
      </c>
      <c r="J549" s="484"/>
      <c r="K549" s="485" t="s">
        <v>288</v>
      </c>
      <c r="L549" s="484"/>
      <c r="M549" s="485" t="s">
        <v>289</v>
      </c>
      <c r="N549" s="484"/>
      <c r="O549" s="485" t="s">
        <v>567</v>
      </c>
      <c r="P549" s="484"/>
      <c r="Q549" s="485" t="s">
        <v>17</v>
      </c>
      <c r="R549" s="484"/>
      <c r="S549" s="485" t="s">
        <v>18</v>
      </c>
      <c r="T549" s="484"/>
      <c r="U549" s="485" t="s">
        <v>19</v>
      </c>
      <c r="V549" s="484"/>
      <c r="W549" s="486" t="s">
        <v>568</v>
      </c>
      <c r="X549" s="756"/>
      <c r="Y549" s="757"/>
      <c r="Z549" s="757"/>
      <c r="AA549" s="758"/>
      <c r="AB549" s="792"/>
    </row>
    <row r="550" spans="1:34" ht="12" customHeight="1" x14ac:dyDescent="0.2">
      <c r="A550" s="4"/>
      <c r="B550" s="689" t="s">
        <v>884</v>
      </c>
      <c r="C550" s="704"/>
      <c r="D550" s="704"/>
      <c r="E550" s="704"/>
      <c r="F550" s="384">
        <f>13.34*X2</f>
        <v>14207.1</v>
      </c>
      <c r="G550" s="319">
        <f t="shared" ref="G550:G551" si="1520">+F550*$X$1</f>
        <v>14207.1</v>
      </c>
      <c r="H550" s="102"/>
      <c r="I550" s="319"/>
      <c r="J550" s="102">
        <f>F550+810</f>
        <v>15017.1</v>
      </c>
      <c r="K550" s="319">
        <f t="shared" ref="K550" si="1521">+J550*$X$1</f>
        <v>15017.1</v>
      </c>
      <c r="L550" s="102">
        <f t="shared" ref="L550:L555" si="1522">F550+500</f>
        <v>14707.1</v>
      </c>
      <c r="M550" s="319">
        <f t="shared" ref="M550:M551" si="1523">+L550*$X$1</f>
        <v>14707.1</v>
      </c>
      <c r="N550" s="102">
        <f t="shared" ref="N550:N555" si="1524">F550+430</f>
        <v>14637.1</v>
      </c>
      <c r="O550" s="319">
        <f t="shared" ref="O550:O551" si="1525">+N550*$X$1</f>
        <v>14637.1</v>
      </c>
      <c r="P550" s="102">
        <f t="shared" ref="P550:P555" si="1526">F550+390</f>
        <v>14597.1</v>
      </c>
      <c r="Q550" s="319">
        <f t="shared" ref="Q550:Q551" si="1527">+P550*$X$1</f>
        <v>14597.1</v>
      </c>
      <c r="R550" s="102">
        <f t="shared" ref="R550:R555" si="1528">F550+360</f>
        <v>14567.1</v>
      </c>
      <c r="S550" s="319">
        <f t="shared" ref="S550:S551" si="1529">+R550*$X$1</f>
        <v>14567.1</v>
      </c>
      <c r="T550" s="102">
        <f t="shared" ref="T550:T555" si="1530">F550+320</f>
        <v>14527.1</v>
      </c>
      <c r="U550" s="319">
        <f t="shared" ref="U550:U551" si="1531">+T550*$X$1</f>
        <v>14527.1</v>
      </c>
      <c r="V550" s="102">
        <f t="shared" ref="V550:V555" si="1532">F550+280</f>
        <v>14487.1</v>
      </c>
      <c r="W550" s="319">
        <f t="shared" ref="W550:W551" si="1533">+V550*$X$1</f>
        <v>14487.1</v>
      </c>
      <c r="X550" s="139"/>
      <c r="Y550" s="134"/>
      <c r="Z550" s="140"/>
      <c r="AA550" s="141"/>
      <c r="AB550" s="404">
        <v>533</v>
      </c>
    </row>
    <row r="551" spans="1:34" ht="12" customHeight="1" x14ac:dyDescent="0.2">
      <c r="A551" s="4"/>
      <c r="B551" s="833" t="s">
        <v>973</v>
      </c>
      <c r="C551" s="834"/>
      <c r="D551" s="834"/>
      <c r="E551" s="834"/>
      <c r="F551" s="385">
        <f>6.6*X2</f>
        <v>7029</v>
      </c>
      <c r="G551" s="306">
        <f t="shared" si="1520"/>
        <v>7029</v>
      </c>
      <c r="H551" s="103"/>
      <c r="I551" s="306"/>
      <c r="J551" s="103"/>
      <c r="K551" s="306"/>
      <c r="L551" s="103">
        <f t="shared" ref="L551" si="1534">F551+500</f>
        <v>7529</v>
      </c>
      <c r="M551" s="306">
        <f t="shared" si="1523"/>
        <v>7529</v>
      </c>
      <c r="N551" s="103">
        <f t="shared" ref="N551" si="1535">F551+430</f>
        <v>7459</v>
      </c>
      <c r="O551" s="306">
        <f t="shared" si="1525"/>
        <v>7459</v>
      </c>
      <c r="P551" s="103">
        <f t="shared" ref="P551" si="1536">F551+390</f>
        <v>7419</v>
      </c>
      <c r="Q551" s="306">
        <f t="shared" si="1527"/>
        <v>7419</v>
      </c>
      <c r="R551" s="103">
        <f t="shared" ref="R551" si="1537">F551+360</f>
        <v>7389</v>
      </c>
      <c r="S551" s="306">
        <f t="shared" si="1529"/>
        <v>7389</v>
      </c>
      <c r="T551" s="103">
        <f t="shared" ref="T551" si="1538">F551+320</f>
        <v>7349</v>
      </c>
      <c r="U551" s="306">
        <f t="shared" si="1531"/>
        <v>7349</v>
      </c>
      <c r="V551" s="103">
        <f t="shared" ref="V551" si="1539">F551+280</f>
        <v>7309</v>
      </c>
      <c r="W551" s="306">
        <f t="shared" si="1533"/>
        <v>7309</v>
      </c>
      <c r="X551" s="139"/>
      <c r="Y551" s="134"/>
      <c r="Z551" s="140"/>
      <c r="AA551" s="141"/>
      <c r="AB551" s="418">
        <v>556</v>
      </c>
    </row>
    <row r="552" spans="1:34" ht="12" customHeight="1" x14ac:dyDescent="0.2">
      <c r="A552" s="4"/>
      <c r="B552" s="833" t="s">
        <v>887</v>
      </c>
      <c r="C552" s="834"/>
      <c r="D552" s="834"/>
      <c r="E552" s="834"/>
      <c r="F552" s="384">
        <f>7.82*X2</f>
        <v>8328.3000000000011</v>
      </c>
      <c r="G552" s="319">
        <f t="shared" ref="G552" si="1540">+F552*$X$1</f>
        <v>8328.3000000000011</v>
      </c>
      <c r="H552" s="102"/>
      <c r="I552" s="319"/>
      <c r="J552" s="102"/>
      <c r="K552" s="319"/>
      <c r="L552" s="102">
        <f t="shared" si="1522"/>
        <v>8828.3000000000011</v>
      </c>
      <c r="M552" s="319">
        <f t="shared" ref="M552:M554" si="1541">+L552*$X$1</f>
        <v>8828.3000000000011</v>
      </c>
      <c r="N552" s="102">
        <f t="shared" si="1524"/>
        <v>8758.3000000000011</v>
      </c>
      <c r="O552" s="319">
        <f t="shared" ref="O552:O554" si="1542">+N552*$X$1</f>
        <v>8758.3000000000011</v>
      </c>
      <c r="P552" s="102">
        <f t="shared" si="1526"/>
        <v>8718.3000000000011</v>
      </c>
      <c r="Q552" s="319">
        <f t="shared" ref="Q552:Q554" si="1543">+P552*$X$1</f>
        <v>8718.3000000000011</v>
      </c>
      <c r="R552" s="102">
        <f t="shared" si="1528"/>
        <v>8688.3000000000011</v>
      </c>
      <c r="S552" s="319">
        <f t="shared" ref="S552:S554" si="1544">+R552*$X$1</f>
        <v>8688.3000000000011</v>
      </c>
      <c r="T552" s="102">
        <f t="shared" si="1530"/>
        <v>8648.3000000000011</v>
      </c>
      <c r="U552" s="319">
        <f t="shared" ref="U552:U554" si="1545">+T552*$X$1</f>
        <v>8648.3000000000011</v>
      </c>
      <c r="V552" s="102">
        <f t="shared" si="1532"/>
        <v>8608.3000000000011</v>
      </c>
      <c r="W552" s="319">
        <f t="shared" ref="W552:W554" si="1546">+V552*$X$1</f>
        <v>8608.3000000000011</v>
      </c>
      <c r="X552" s="139"/>
      <c r="Y552" s="134"/>
      <c r="Z552" s="140"/>
      <c r="AA552" s="141"/>
      <c r="AB552" s="418">
        <v>566</v>
      </c>
    </row>
    <row r="553" spans="1:34" ht="12" customHeight="1" x14ac:dyDescent="0.2">
      <c r="A553" s="4"/>
      <c r="B553" s="833" t="s">
        <v>888</v>
      </c>
      <c r="C553" s="834"/>
      <c r="D553" s="834"/>
      <c r="E553" s="834"/>
      <c r="F553" s="385">
        <f>9.65*X2</f>
        <v>10277.25</v>
      </c>
      <c r="G553" s="306">
        <f t="shared" ref="G553" si="1547">+F553*$X$1</f>
        <v>10277.25</v>
      </c>
      <c r="H553" s="103"/>
      <c r="I553" s="306"/>
      <c r="J553" s="103"/>
      <c r="K553" s="306"/>
      <c r="L553" s="103">
        <f t="shared" si="1522"/>
        <v>10777.25</v>
      </c>
      <c r="M553" s="306">
        <f t="shared" si="1541"/>
        <v>10777.25</v>
      </c>
      <c r="N553" s="103">
        <f t="shared" si="1524"/>
        <v>10707.25</v>
      </c>
      <c r="O553" s="306">
        <f t="shared" si="1542"/>
        <v>10707.25</v>
      </c>
      <c r="P553" s="103">
        <f t="shared" si="1526"/>
        <v>10667.25</v>
      </c>
      <c r="Q553" s="306">
        <f t="shared" si="1543"/>
        <v>10667.25</v>
      </c>
      <c r="R553" s="103">
        <f t="shared" si="1528"/>
        <v>10637.25</v>
      </c>
      <c r="S553" s="306">
        <f t="shared" si="1544"/>
        <v>10637.25</v>
      </c>
      <c r="T553" s="103">
        <f t="shared" si="1530"/>
        <v>10597.25</v>
      </c>
      <c r="U553" s="306">
        <f t="shared" si="1545"/>
        <v>10597.25</v>
      </c>
      <c r="V553" s="103">
        <f t="shared" si="1532"/>
        <v>10557.25</v>
      </c>
      <c r="W553" s="306">
        <f t="shared" si="1546"/>
        <v>10557.25</v>
      </c>
      <c r="X553" s="139"/>
      <c r="Y553" s="134"/>
      <c r="Z553" s="140"/>
      <c r="AA553" s="141"/>
      <c r="AB553" s="418">
        <v>567</v>
      </c>
    </row>
    <row r="554" spans="1:34" ht="12" customHeight="1" x14ac:dyDescent="0.2">
      <c r="A554" s="4"/>
      <c r="B554" s="833" t="s">
        <v>889</v>
      </c>
      <c r="C554" s="834"/>
      <c r="D554" s="834"/>
      <c r="E554" s="834"/>
      <c r="F554" s="384">
        <f>9.36*X2</f>
        <v>9968.4</v>
      </c>
      <c r="G554" s="319">
        <f t="shared" ref="G554" si="1548">+F554*$X$1</f>
        <v>9968.4</v>
      </c>
      <c r="H554" s="102"/>
      <c r="I554" s="319"/>
      <c r="J554" s="102"/>
      <c r="K554" s="319"/>
      <c r="L554" s="102">
        <f t="shared" si="1522"/>
        <v>10468.4</v>
      </c>
      <c r="M554" s="319">
        <f t="shared" si="1541"/>
        <v>10468.4</v>
      </c>
      <c r="N554" s="102">
        <f t="shared" si="1524"/>
        <v>10398.4</v>
      </c>
      <c r="O554" s="319">
        <f t="shared" si="1542"/>
        <v>10398.4</v>
      </c>
      <c r="P554" s="102">
        <f t="shared" si="1526"/>
        <v>10358.4</v>
      </c>
      <c r="Q554" s="319">
        <f t="shared" si="1543"/>
        <v>10358.4</v>
      </c>
      <c r="R554" s="102">
        <f t="shared" si="1528"/>
        <v>10328.4</v>
      </c>
      <c r="S554" s="319">
        <f t="shared" si="1544"/>
        <v>10328.4</v>
      </c>
      <c r="T554" s="102">
        <f t="shared" si="1530"/>
        <v>10288.4</v>
      </c>
      <c r="U554" s="319">
        <f t="shared" si="1545"/>
        <v>10288.4</v>
      </c>
      <c r="V554" s="102">
        <f t="shared" si="1532"/>
        <v>10248.4</v>
      </c>
      <c r="W554" s="319">
        <f t="shared" si="1546"/>
        <v>10248.4</v>
      </c>
      <c r="X554" s="139"/>
      <c r="Y554" s="134"/>
      <c r="Z554" s="140"/>
      <c r="AA554" s="141"/>
      <c r="AB554" s="418">
        <v>569</v>
      </c>
    </row>
    <row r="555" spans="1:34" ht="12" customHeight="1" x14ac:dyDescent="0.2">
      <c r="A555" s="4"/>
      <c r="B555" s="808" t="s">
        <v>754</v>
      </c>
      <c r="C555" s="821"/>
      <c r="D555" s="821"/>
      <c r="E555" s="821"/>
      <c r="F555" s="385">
        <f>28.12*X2</f>
        <v>29947.8</v>
      </c>
      <c r="G555" s="306">
        <f t="shared" ref="G555:K555" si="1549">+F555*$X$1</f>
        <v>29947.8</v>
      </c>
      <c r="H555" s="103">
        <f>F555+4000</f>
        <v>33947.800000000003</v>
      </c>
      <c r="I555" s="306">
        <f t="shared" si="1549"/>
        <v>33947.800000000003</v>
      </c>
      <c r="J555" s="103">
        <f>F555+810</f>
        <v>30757.8</v>
      </c>
      <c r="K555" s="306">
        <f t="shared" si="1549"/>
        <v>30757.8</v>
      </c>
      <c r="L555" s="103">
        <f t="shared" si="1522"/>
        <v>30447.8</v>
      </c>
      <c r="M555" s="306">
        <f t="shared" ref="M555" si="1550">+L555*$X$1</f>
        <v>30447.8</v>
      </c>
      <c r="N555" s="103">
        <f t="shared" si="1524"/>
        <v>30377.8</v>
      </c>
      <c r="O555" s="306">
        <f t="shared" ref="O555" si="1551">+N555*$X$1</f>
        <v>30377.8</v>
      </c>
      <c r="P555" s="103">
        <f t="shared" si="1526"/>
        <v>30337.8</v>
      </c>
      <c r="Q555" s="306">
        <f t="shared" ref="Q555" si="1552">+P555*$X$1</f>
        <v>30337.8</v>
      </c>
      <c r="R555" s="103">
        <f t="shared" si="1528"/>
        <v>30307.8</v>
      </c>
      <c r="S555" s="306">
        <f t="shared" ref="S555" si="1553">+R555*$X$1</f>
        <v>30307.8</v>
      </c>
      <c r="T555" s="103">
        <f t="shared" si="1530"/>
        <v>30267.8</v>
      </c>
      <c r="U555" s="306">
        <f t="shared" ref="U555" si="1554">+T555*$X$1</f>
        <v>30267.8</v>
      </c>
      <c r="V555" s="103">
        <f t="shared" si="1532"/>
        <v>30227.8</v>
      </c>
      <c r="W555" s="306">
        <f t="shared" ref="W555" si="1555">+V555*$X$1</f>
        <v>30227.8</v>
      </c>
      <c r="X555" s="139"/>
      <c r="Y555" s="134"/>
      <c r="Z555" s="140"/>
      <c r="AA555" s="141"/>
      <c r="AB555" s="418">
        <v>570</v>
      </c>
    </row>
    <row r="556" spans="1:34" ht="12" customHeight="1" x14ac:dyDescent="0.2">
      <c r="A556" s="75"/>
      <c r="B556" s="108"/>
      <c r="C556" s="334"/>
      <c r="D556" s="334"/>
      <c r="E556" s="334"/>
      <c r="F556" s="335"/>
      <c r="G556" s="335"/>
      <c r="H556" s="117"/>
      <c r="I556" s="335"/>
      <c r="J556" s="117"/>
      <c r="K556" s="335"/>
      <c r="L556" s="117"/>
      <c r="M556" s="335"/>
      <c r="N556" s="117"/>
      <c r="O556" s="335"/>
      <c r="P556" s="117"/>
      <c r="Q556" s="335"/>
      <c r="R556" s="117"/>
      <c r="S556" s="335"/>
      <c r="T556" s="117"/>
      <c r="U556" s="335"/>
      <c r="V556" s="117"/>
      <c r="W556" s="335"/>
      <c r="X556" s="200"/>
      <c r="Y556" s="75"/>
      <c r="Z556" s="201"/>
      <c r="AA556" s="201"/>
      <c r="AB556" s="202"/>
    </row>
    <row r="557" spans="1:34" ht="12" customHeight="1" x14ac:dyDescent="0.2">
      <c r="A557" s="75"/>
      <c r="B557" s="108"/>
      <c r="C557" s="574"/>
      <c r="D557" s="574"/>
      <c r="E557" s="574"/>
      <c r="F557" s="335"/>
      <c r="G557" s="335"/>
      <c r="H557" s="117"/>
      <c r="I557" s="335"/>
      <c r="J557" s="117"/>
      <c r="K557" s="335"/>
      <c r="L557" s="117"/>
      <c r="M557" s="335"/>
      <c r="N557" s="117"/>
      <c r="O557" s="335"/>
      <c r="P557" s="117"/>
      <c r="Q557" s="335"/>
      <c r="R557" s="117"/>
      <c r="S557" s="335"/>
      <c r="T557" s="117"/>
      <c r="U557" s="335"/>
      <c r="V557" s="117"/>
      <c r="W557" s="335"/>
      <c r="X557" s="200"/>
      <c r="Y557" s="75"/>
      <c r="Z557" s="201"/>
      <c r="AA557" s="201"/>
      <c r="AB557" s="202"/>
    </row>
    <row r="558" spans="1:34" ht="12" customHeight="1" x14ac:dyDescent="0.2">
      <c r="A558" s="75"/>
      <c r="B558" s="108"/>
      <c r="C558" s="537"/>
      <c r="D558" s="537"/>
      <c r="E558" s="537"/>
      <c r="F558" s="335"/>
      <c r="G558" s="335"/>
      <c r="H558" s="117"/>
      <c r="I558" s="335"/>
      <c r="J558" s="117"/>
      <c r="K558" s="335"/>
      <c r="L558" s="117"/>
      <c r="M558" s="335"/>
      <c r="N558" s="117"/>
      <c r="O558" s="335"/>
      <c r="P558" s="117"/>
      <c r="Q558" s="335"/>
      <c r="R558" s="117"/>
      <c r="S558" s="335"/>
      <c r="T558" s="117"/>
      <c r="U558" s="335"/>
      <c r="V558" s="117"/>
      <c r="W558" s="335"/>
      <c r="X558" s="200"/>
      <c r="Y558" s="75"/>
      <c r="Z558" s="201"/>
      <c r="AA558" s="201"/>
      <c r="AB558" s="202"/>
    </row>
    <row r="559" spans="1:34" ht="15.75" customHeight="1" x14ac:dyDescent="0.2">
      <c r="B559" s="793" t="s">
        <v>578</v>
      </c>
      <c r="C559" s="794"/>
      <c r="D559" s="794"/>
      <c r="E559" s="794"/>
      <c r="F559" s="794"/>
      <c r="G559" s="794"/>
      <c r="H559" s="794"/>
      <c r="I559" s="794"/>
      <c r="J559" s="794"/>
      <c r="K559" s="794"/>
      <c r="L559" s="794"/>
      <c r="M559" s="794"/>
      <c r="N559" s="794"/>
      <c r="O559" s="794"/>
      <c r="P559" s="794"/>
      <c r="Q559" s="794"/>
      <c r="R559" s="794"/>
      <c r="S559" s="794"/>
      <c r="T559" s="794"/>
      <c r="U559" s="794"/>
      <c r="V559" s="794"/>
      <c r="W559" s="794"/>
      <c r="AB559" s="4"/>
      <c r="AF559" s="789"/>
      <c r="AG559" s="790"/>
      <c r="AH559" s="790"/>
    </row>
    <row r="560" spans="1:34" ht="14.25" customHeight="1" x14ac:dyDescent="0.2">
      <c r="B560" s="846" t="s">
        <v>11</v>
      </c>
      <c r="C560" s="822" t="s">
        <v>12</v>
      </c>
      <c r="D560" s="823"/>
      <c r="E560" s="823"/>
      <c r="F560" s="902" t="s">
        <v>287</v>
      </c>
      <c r="G560" s="902" t="s">
        <v>13</v>
      </c>
      <c r="H560" s="904" t="s">
        <v>823</v>
      </c>
      <c r="I560" s="904"/>
      <c r="J560" s="905"/>
      <c r="K560" s="905"/>
      <c r="L560" s="905"/>
      <c r="M560" s="905"/>
      <c r="N560" s="905"/>
      <c r="O560" s="905"/>
      <c r="P560" s="905"/>
      <c r="Q560" s="905"/>
      <c r="R560" s="905"/>
      <c r="S560" s="905"/>
      <c r="T560" s="905"/>
      <c r="U560" s="905"/>
      <c r="V560" s="905"/>
      <c r="W560" s="906"/>
      <c r="X560" s="753" t="s">
        <v>14</v>
      </c>
      <c r="Y560" s="754"/>
      <c r="Z560" s="754"/>
      <c r="AA560" s="755"/>
      <c r="AB560" s="791" t="s">
        <v>15</v>
      </c>
      <c r="AF560" s="789" t="s">
        <v>3</v>
      </c>
      <c r="AG560" s="790"/>
      <c r="AH560" s="790"/>
    </row>
    <row r="561" spans="1:28" ht="12" customHeight="1" x14ac:dyDescent="0.2">
      <c r="B561" s="847"/>
      <c r="C561" s="824"/>
      <c r="D561" s="824"/>
      <c r="E561" s="824"/>
      <c r="F561" s="903"/>
      <c r="G561" s="903"/>
      <c r="H561" s="484"/>
      <c r="I561" s="485" t="s">
        <v>565</v>
      </c>
      <c r="J561" s="484"/>
      <c r="K561" s="485" t="s">
        <v>288</v>
      </c>
      <c r="L561" s="484"/>
      <c r="M561" s="485" t="s">
        <v>289</v>
      </c>
      <c r="N561" s="484"/>
      <c r="O561" s="485" t="s">
        <v>567</v>
      </c>
      <c r="P561" s="484"/>
      <c r="Q561" s="485" t="s">
        <v>17</v>
      </c>
      <c r="R561" s="484"/>
      <c r="S561" s="485" t="s">
        <v>18</v>
      </c>
      <c r="T561" s="484"/>
      <c r="U561" s="485" t="s">
        <v>19</v>
      </c>
      <c r="V561" s="484"/>
      <c r="W561" s="486" t="s">
        <v>568</v>
      </c>
      <c r="X561" s="756"/>
      <c r="Y561" s="757"/>
      <c r="Z561" s="757"/>
      <c r="AA561" s="758"/>
      <c r="AB561" s="792"/>
    </row>
    <row r="562" spans="1:28" ht="12" customHeight="1" x14ac:dyDescent="0.2">
      <c r="A562" s="4"/>
      <c r="B562" s="833" t="s">
        <v>969</v>
      </c>
      <c r="C562" s="834"/>
      <c r="D562" s="834"/>
      <c r="E562" s="834"/>
      <c r="F562" s="384">
        <v>5320</v>
      </c>
      <c r="G562" s="319">
        <f>+F562*$X$1</f>
        <v>5320</v>
      </c>
      <c r="H562" s="102"/>
      <c r="I562" s="319"/>
      <c r="J562" s="102"/>
      <c r="K562" s="319"/>
      <c r="L562" s="102"/>
      <c r="M562" s="319"/>
      <c r="N562" s="102"/>
      <c r="O562" s="319"/>
      <c r="P562" s="102"/>
      <c r="Q562" s="319"/>
      <c r="R562" s="102">
        <f t="shared" ref="R562" si="1556">F562+360</f>
        <v>5680</v>
      </c>
      <c r="S562" s="319">
        <f>+R562*$X$1</f>
        <v>5680</v>
      </c>
      <c r="T562" s="102">
        <f t="shared" ref="T562" si="1557">F562+320</f>
        <v>5640</v>
      </c>
      <c r="U562" s="319">
        <f>+T562*$X$1</f>
        <v>5640</v>
      </c>
      <c r="V562" s="102">
        <f t="shared" ref="V562" si="1558">F562+280</f>
        <v>5600</v>
      </c>
      <c r="W562" s="319">
        <f>+V562*$X$1</f>
        <v>5600</v>
      </c>
      <c r="X562" s="139"/>
      <c r="Y562" s="134"/>
      <c r="Z562" s="140"/>
      <c r="AA562" s="141"/>
      <c r="AB562" s="404">
        <v>572</v>
      </c>
    </row>
    <row r="563" spans="1:28" ht="12" customHeight="1" x14ac:dyDescent="0.2">
      <c r="A563" s="4"/>
      <c r="B563" s="808" t="s">
        <v>968</v>
      </c>
      <c r="C563" s="821"/>
      <c r="D563" s="821"/>
      <c r="E563" s="821"/>
      <c r="F563" s="385">
        <f>5.08*X2</f>
        <v>5410.2</v>
      </c>
      <c r="G563" s="306">
        <f t="shared" ref="G563" si="1559">+F563*$X$1</f>
        <v>5410.2</v>
      </c>
      <c r="H563" s="103"/>
      <c r="I563" s="306"/>
      <c r="J563" s="103"/>
      <c r="K563" s="306"/>
      <c r="L563" s="103"/>
      <c r="M563" s="306"/>
      <c r="N563" s="103">
        <f>F563+430</f>
        <v>5840.2</v>
      </c>
      <c r="O563" s="306">
        <f t="shared" ref="O563:O566" si="1560">+N563*$X$1</f>
        <v>5840.2</v>
      </c>
      <c r="P563" s="103">
        <f>F563+390</f>
        <v>5800.2</v>
      </c>
      <c r="Q563" s="306">
        <f t="shared" ref="Q563:Q566" si="1561">+P563*$X$1</f>
        <v>5800.2</v>
      </c>
      <c r="R563" s="103">
        <f>F563+360</f>
        <v>5770.2</v>
      </c>
      <c r="S563" s="306">
        <f t="shared" ref="S563:S566" si="1562">+R563*$X$1</f>
        <v>5770.2</v>
      </c>
      <c r="T563" s="103">
        <f>F563+320</f>
        <v>5730.2</v>
      </c>
      <c r="U563" s="306">
        <f t="shared" ref="U563:U566" si="1563">+T563*$X$1</f>
        <v>5730.2</v>
      </c>
      <c r="V563" s="103">
        <f>F563+280</f>
        <v>5690.2</v>
      </c>
      <c r="W563" s="306">
        <f t="shared" ref="W563:W566" si="1564">+V563*$X$1</f>
        <v>5690.2</v>
      </c>
      <c r="X563" s="139"/>
      <c r="Y563" s="134"/>
      <c r="Z563" s="140"/>
      <c r="AA563" s="141"/>
      <c r="AB563" s="404" t="s">
        <v>795</v>
      </c>
    </row>
    <row r="564" spans="1:28" ht="12" customHeight="1" x14ac:dyDescent="0.2">
      <c r="A564" s="4"/>
      <c r="B564" s="833" t="s">
        <v>916</v>
      </c>
      <c r="C564" s="834"/>
      <c r="D564" s="834"/>
      <c r="E564" s="834"/>
      <c r="F564" s="384">
        <f>1.7*X2</f>
        <v>1810.5</v>
      </c>
      <c r="G564" s="319">
        <f t="shared" ref="G564" si="1565">+F564*$X$1</f>
        <v>1810.5</v>
      </c>
      <c r="H564" s="102"/>
      <c r="I564" s="319"/>
      <c r="J564" s="102"/>
      <c r="K564" s="319"/>
      <c r="L564" s="102"/>
      <c r="M564" s="319"/>
      <c r="N564" s="102">
        <f>F564+430</f>
        <v>2240.5</v>
      </c>
      <c r="O564" s="319">
        <f t="shared" ref="O564" si="1566">+N564*$X$1</f>
        <v>2240.5</v>
      </c>
      <c r="P564" s="102">
        <f>F564+390</f>
        <v>2200.5</v>
      </c>
      <c r="Q564" s="319">
        <f t="shared" ref="Q564" si="1567">+P564*$X$1</f>
        <v>2200.5</v>
      </c>
      <c r="R564" s="102">
        <f>F564+360</f>
        <v>2170.5</v>
      </c>
      <c r="S564" s="319">
        <f t="shared" ref="S564" si="1568">+R564*$X$1</f>
        <v>2170.5</v>
      </c>
      <c r="T564" s="102">
        <f>F564+320</f>
        <v>2130.5</v>
      </c>
      <c r="U564" s="319">
        <f t="shared" ref="U564" si="1569">+T564*$X$1</f>
        <v>2130.5</v>
      </c>
      <c r="V564" s="102">
        <f>F564+280</f>
        <v>2090.5</v>
      </c>
      <c r="W564" s="319">
        <f t="shared" ref="W564" si="1570">+V564*$X$1</f>
        <v>2090.5</v>
      </c>
      <c r="X564" s="139"/>
      <c r="Y564" s="134"/>
      <c r="Z564" s="140"/>
      <c r="AA564" s="141"/>
      <c r="AB564" s="404">
        <v>575</v>
      </c>
    </row>
    <row r="565" spans="1:28" ht="12" customHeight="1" x14ac:dyDescent="0.2">
      <c r="A565" s="4"/>
      <c r="B565" s="808" t="s">
        <v>744</v>
      </c>
      <c r="C565" s="821"/>
      <c r="D565" s="821"/>
      <c r="E565" s="821"/>
      <c r="F565" s="518">
        <v>20310</v>
      </c>
      <c r="G565" s="306">
        <f t="shared" ref="G565" si="1571">+F565*$X$1</f>
        <v>20310</v>
      </c>
      <c r="H565" s="103"/>
      <c r="I565" s="306"/>
      <c r="J565" s="103">
        <f>F565+810</f>
        <v>21120</v>
      </c>
      <c r="K565" s="306">
        <f t="shared" ref="K565:K566" si="1572">+J565*$X$1</f>
        <v>21120</v>
      </c>
      <c r="L565" s="103">
        <f>F565+500</f>
        <v>20810</v>
      </c>
      <c r="M565" s="306">
        <f t="shared" ref="M565:M566" si="1573">+L565*$X$1</f>
        <v>20810</v>
      </c>
      <c r="N565" s="103">
        <f>F565+430</f>
        <v>20740</v>
      </c>
      <c r="O565" s="306">
        <f t="shared" si="1560"/>
        <v>20740</v>
      </c>
      <c r="P565" s="103">
        <f>F565+390</f>
        <v>20700</v>
      </c>
      <c r="Q565" s="306">
        <f t="shared" si="1561"/>
        <v>20700</v>
      </c>
      <c r="R565" s="103">
        <f>F565+360</f>
        <v>20670</v>
      </c>
      <c r="S565" s="306">
        <f t="shared" si="1562"/>
        <v>20670</v>
      </c>
      <c r="T565" s="103">
        <f>F565+320</f>
        <v>20630</v>
      </c>
      <c r="U565" s="306">
        <f t="shared" si="1563"/>
        <v>20630</v>
      </c>
      <c r="V565" s="103">
        <f>F565+280</f>
        <v>20590</v>
      </c>
      <c r="W565" s="306">
        <f t="shared" si="1564"/>
        <v>20590</v>
      </c>
      <c r="X565" s="139"/>
      <c r="Y565" s="134"/>
      <c r="Z565" s="140"/>
      <c r="AA565" s="141"/>
      <c r="AB565" s="404">
        <v>577</v>
      </c>
    </row>
    <row r="566" spans="1:28" ht="12" customHeight="1" x14ac:dyDescent="0.2">
      <c r="A566" s="4"/>
      <c r="B566" s="689" t="s">
        <v>743</v>
      </c>
      <c r="C566" s="704"/>
      <c r="D566" s="704"/>
      <c r="E566" s="704"/>
      <c r="F566" s="384">
        <f>29.9*X2</f>
        <v>31843.5</v>
      </c>
      <c r="G566" s="319">
        <f>+F566*$X$1</f>
        <v>31843.5</v>
      </c>
      <c r="H566" s="102">
        <f>F566+4000</f>
        <v>35843.5</v>
      </c>
      <c r="I566" s="319">
        <f t="shared" ref="I566" si="1574">+H566*$X$1</f>
        <v>35843.5</v>
      </c>
      <c r="J566" s="102">
        <f>F566+810</f>
        <v>32653.5</v>
      </c>
      <c r="K566" s="319">
        <f t="shared" si="1572"/>
        <v>32653.5</v>
      </c>
      <c r="L566" s="102">
        <f>F566+500</f>
        <v>32343.5</v>
      </c>
      <c r="M566" s="319">
        <f t="shared" si="1573"/>
        <v>32343.5</v>
      </c>
      <c r="N566" s="102">
        <f>F566+430</f>
        <v>32273.5</v>
      </c>
      <c r="O566" s="319">
        <f t="shared" si="1560"/>
        <v>32273.5</v>
      </c>
      <c r="P566" s="102">
        <f>F566+390</f>
        <v>32233.5</v>
      </c>
      <c r="Q566" s="319">
        <f t="shared" si="1561"/>
        <v>32233.5</v>
      </c>
      <c r="R566" s="102">
        <f>F566+360</f>
        <v>32203.5</v>
      </c>
      <c r="S566" s="319">
        <f t="shared" si="1562"/>
        <v>32203.5</v>
      </c>
      <c r="T566" s="102">
        <f>F566+320</f>
        <v>32163.5</v>
      </c>
      <c r="U566" s="319">
        <f t="shared" si="1563"/>
        <v>32163.5</v>
      </c>
      <c r="V566" s="102">
        <f>F566+280</f>
        <v>32123.5</v>
      </c>
      <c r="W566" s="319">
        <f t="shared" si="1564"/>
        <v>32123.5</v>
      </c>
      <c r="X566" s="139"/>
      <c r="Y566" s="134"/>
      <c r="Z566" s="140"/>
      <c r="AA566" s="141"/>
      <c r="AB566" s="404">
        <v>580</v>
      </c>
    </row>
    <row r="567" spans="1:28" ht="12" customHeight="1" x14ac:dyDescent="0.2">
      <c r="A567" s="4"/>
      <c r="B567" s="711" t="s">
        <v>742</v>
      </c>
      <c r="C567" s="744"/>
      <c r="D567" s="744"/>
      <c r="E567" s="744"/>
      <c r="F567" s="383">
        <f>28.7*X2</f>
        <v>30565.5</v>
      </c>
      <c r="G567" s="287">
        <f>+F567*$X$1</f>
        <v>30565.5</v>
      </c>
      <c r="H567" s="103">
        <f t="shared" ref="H567:H569" si="1575">F567+4000</f>
        <v>34565.5</v>
      </c>
      <c r="I567" s="306">
        <f t="shared" ref="I567:I569" si="1576">+H567*$X$1</f>
        <v>34565.5</v>
      </c>
      <c r="J567" s="103">
        <f t="shared" ref="J567:J569" si="1577">F567+810</f>
        <v>31375.5</v>
      </c>
      <c r="K567" s="306">
        <f t="shared" ref="K567:K569" si="1578">+J567*$X$1</f>
        <v>31375.5</v>
      </c>
      <c r="L567" s="103">
        <f t="shared" ref="L567:L569" si="1579">F567+500</f>
        <v>31065.5</v>
      </c>
      <c r="M567" s="306">
        <f t="shared" ref="M567:M569" si="1580">+L567*$X$1</f>
        <v>31065.5</v>
      </c>
      <c r="N567" s="103">
        <f t="shared" ref="N567:N569" si="1581">F567+430</f>
        <v>30995.5</v>
      </c>
      <c r="O567" s="306">
        <f t="shared" ref="O567:O569" si="1582">+N567*$X$1</f>
        <v>30995.5</v>
      </c>
      <c r="P567" s="103">
        <f t="shared" ref="P567:P569" si="1583">F567+390</f>
        <v>30955.5</v>
      </c>
      <c r="Q567" s="306">
        <f t="shared" ref="Q567:Q569" si="1584">+P567*$X$1</f>
        <v>30955.5</v>
      </c>
      <c r="R567" s="103">
        <f t="shared" ref="R567:R569" si="1585">F567+360</f>
        <v>30925.5</v>
      </c>
      <c r="S567" s="306">
        <f t="shared" ref="S567:S569" si="1586">+R567*$X$1</f>
        <v>30925.5</v>
      </c>
      <c r="T567" s="103">
        <f t="shared" ref="T567:T569" si="1587">F567+320</f>
        <v>30885.5</v>
      </c>
      <c r="U567" s="306">
        <f t="shared" ref="U567:U569" si="1588">+T567*$X$1</f>
        <v>30885.5</v>
      </c>
      <c r="V567" s="103">
        <f t="shared" ref="V567:V569" si="1589">F567+280</f>
        <v>30845.5</v>
      </c>
      <c r="W567" s="306">
        <f t="shared" ref="W567:W569" si="1590">+V567*$X$1</f>
        <v>30845.5</v>
      </c>
      <c r="X567" s="139"/>
      <c r="Y567" s="134"/>
      <c r="Z567" s="140"/>
      <c r="AA567" s="141"/>
      <c r="AB567" s="404">
        <v>582</v>
      </c>
    </row>
    <row r="568" spans="1:28" ht="12" customHeight="1" x14ac:dyDescent="0.2">
      <c r="A568" s="4"/>
      <c r="B568" s="689" t="s">
        <v>741</v>
      </c>
      <c r="C568" s="704"/>
      <c r="D568" s="704"/>
      <c r="E568" s="704"/>
      <c r="F568" s="517">
        <v>49980</v>
      </c>
      <c r="G568" s="319">
        <f>+F568*$X$1</f>
        <v>49980</v>
      </c>
      <c r="H568" s="102">
        <f t="shared" si="1575"/>
        <v>53980</v>
      </c>
      <c r="I568" s="319">
        <f t="shared" si="1576"/>
        <v>53980</v>
      </c>
      <c r="J568" s="102">
        <f t="shared" si="1577"/>
        <v>50790</v>
      </c>
      <c r="K568" s="319">
        <f t="shared" si="1578"/>
        <v>50790</v>
      </c>
      <c r="L568" s="102">
        <f t="shared" si="1579"/>
        <v>50480</v>
      </c>
      <c r="M568" s="319">
        <f t="shared" si="1580"/>
        <v>50480</v>
      </c>
      <c r="N568" s="102">
        <f t="shared" si="1581"/>
        <v>50410</v>
      </c>
      <c r="O568" s="319">
        <f t="shared" si="1582"/>
        <v>50410</v>
      </c>
      <c r="P568" s="102">
        <f t="shared" si="1583"/>
        <v>50370</v>
      </c>
      <c r="Q568" s="319">
        <f t="shared" si="1584"/>
        <v>50370</v>
      </c>
      <c r="R568" s="102">
        <f t="shared" si="1585"/>
        <v>50340</v>
      </c>
      <c r="S568" s="319">
        <f t="shared" si="1586"/>
        <v>50340</v>
      </c>
      <c r="T568" s="102">
        <f t="shared" si="1587"/>
        <v>50300</v>
      </c>
      <c r="U568" s="319">
        <f t="shared" si="1588"/>
        <v>50300</v>
      </c>
      <c r="V568" s="102">
        <f t="shared" si="1589"/>
        <v>50260</v>
      </c>
      <c r="W568" s="319">
        <f t="shared" si="1590"/>
        <v>50260</v>
      </c>
      <c r="X568" s="139"/>
      <c r="Y568" s="134"/>
      <c r="Z568" s="140"/>
      <c r="AA568" s="141"/>
      <c r="AB568" s="404">
        <v>584</v>
      </c>
    </row>
    <row r="569" spans="1:28" ht="12" customHeight="1" x14ac:dyDescent="0.2">
      <c r="A569" s="4"/>
      <c r="B569" s="827" t="s">
        <v>796</v>
      </c>
      <c r="C569" s="828"/>
      <c r="D569" s="828"/>
      <c r="E569" s="829"/>
      <c r="F569" s="383">
        <f>29.9*X2</f>
        <v>31843.5</v>
      </c>
      <c r="G569" s="287">
        <f>+F569*$X$1</f>
        <v>31843.5</v>
      </c>
      <c r="H569" s="103">
        <f t="shared" si="1575"/>
        <v>35843.5</v>
      </c>
      <c r="I569" s="306">
        <f t="shared" si="1576"/>
        <v>35843.5</v>
      </c>
      <c r="J569" s="103">
        <f t="shared" si="1577"/>
        <v>32653.5</v>
      </c>
      <c r="K569" s="306">
        <f t="shared" si="1578"/>
        <v>32653.5</v>
      </c>
      <c r="L569" s="103">
        <f t="shared" si="1579"/>
        <v>32343.5</v>
      </c>
      <c r="M569" s="306">
        <f t="shared" si="1580"/>
        <v>32343.5</v>
      </c>
      <c r="N569" s="103">
        <f t="shared" si="1581"/>
        <v>32273.5</v>
      </c>
      <c r="O569" s="306">
        <f t="shared" si="1582"/>
        <v>32273.5</v>
      </c>
      <c r="P569" s="103">
        <f t="shared" si="1583"/>
        <v>32233.5</v>
      </c>
      <c r="Q569" s="306">
        <f t="shared" si="1584"/>
        <v>32233.5</v>
      </c>
      <c r="R569" s="103">
        <f t="shared" si="1585"/>
        <v>32203.5</v>
      </c>
      <c r="S569" s="306">
        <f t="shared" si="1586"/>
        <v>32203.5</v>
      </c>
      <c r="T569" s="103">
        <f t="shared" si="1587"/>
        <v>32163.5</v>
      </c>
      <c r="U569" s="306">
        <f t="shared" si="1588"/>
        <v>32163.5</v>
      </c>
      <c r="V569" s="103">
        <f t="shared" si="1589"/>
        <v>32123.5</v>
      </c>
      <c r="W569" s="306">
        <f t="shared" si="1590"/>
        <v>32123.5</v>
      </c>
      <c r="X569" s="139"/>
      <c r="Y569" s="134"/>
      <c r="Z569" s="140"/>
      <c r="AA569" s="141"/>
      <c r="AB569" s="404">
        <v>586</v>
      </c>
    </row>
    <row r="570" spans="1:28" ht="12" customHeight="1" x14ac:dyDescent="0.2">
      <c r="A570" s="4"/>
      <c r="B570" s="786" t="s">
        <v>890</v>
      </c>
      <c r="C570" s="787"/>
      <c r="D570" s="787"/>
      <c r="E570" s="788"/>
      <c r="F570" s="517">
        <v>16013</v>
      </c>
      <c r="G570" s="319">
        <f t="shared" ref="G570" si="1591">+F570*$X$1</f>
        <v>16013</v>
      </c>
      <c r="H570" s="102"/>
      <c r="I570" s="319"/>
      <c r="J570" s="102"/>
      <c r="K570" s="319"/>
      <c r="L570" s="102">
        <f t="shared" ref="L570" si="1592">F570+500</f>
        <v>16513</v>
      </c>
      <c r="M570" s="319">
        <f t="shared" ref="M570" si="1593">+L570*$X$1</f>
        <v>16513</v>
      </c>
      <c r="N570" s="102">
        <f t="shared" ref="N570" si="1594">F570+430</f>
        <v>16443</v>
      </c>
      <c r="O570" s="319">
        <f t="shared" ref="O570" si="1595">+N570*$X$1</f>
        <v>16443</v>
      </c>
      <c r="P570" s="102">
        <f t="shared" ref="P570" si="1596">F570+390</f>
        <v>16403</v>
      </c>
      <c r="Q570" s="319">
        <f t="shared" ref="Q570" si="1597">+P570*$X$1</f>
        <v>16403</v>
      </c>
      <c r="R570" s="102">
        <f t="shared" ref="R570" si="1598">F570+360</f>
        <v>16373</v>
      </c>
      <c r="S570" s="319">
        <f t="shared" ref="S570" si="1599">+R570*$X$1</f>
        <v>16373</v>
      </c>
      <c r="T570" s="102">
        <f t="shared" ref="T570" si="1600">F570+320</f>
        <v>16333</v>
      </c>
      <c r="U570" s="319">
        <f t="shared" ref="U570" si="1601">+T570*$X$1</f>
        <v>16333</v>
      </c>
      <c r="V570" s="102">
        <f t="shared" ref="V570" si="1602">F570+280</f>
        <v>16293</v>
      </c>
      <c r="W570" s="319">
        <f t="shared" ref="W570" si="1603">+V570*$X$1</f>
        <v>16293</v>
      </c>
      <c r="X570" s="139"/>
      <c r="Y570" s="134"/>
      <c r="Z570" s="140"/>
      <c r="AA570" s="141"/>
      <c r="AB570" s="404">
        <v>590</v>
      </c>
    </row>
    <row r="571" spans="1:28" ht="12" customHeight="1" x14ac:dyDescent="0.2">
      <c r="A571" s="4"/>
      <c r="B571" s="668" t="s">
        <v>900</v>
      </c>
      <c r="C571" s="669"/>
      <c r="D571" s="669"/>
      <c r="E571" s="670"/>
      <c r="F571" s="383">
        <f>6.28*X2</f>
        <v>6688.2</v>
      </c>
      <c r="G571" s="287">
        <f>+F571*$X$1</f>
        <v>6688.2</v>
      </c>
      <c r="H571" s="103">
        <f t="shared" ref="H571" si="1604">F571+4000</f>
        <v>10688.2</v>
      </c>
      <c r="I571" s="306">
        <f t="shared" ref="I571" si="1605">+H571*$X$1</f>
        <v>10688.2</v>
      </c>
      <c r="J571" s="103">
        <f t="shared" ref="J571" si="1606">F571+810</f>
        <v>7498.2</v>
      </c>
      <c r="K571" s="306">
        <f t="shared" ref="K571" si="1607">+J571*$X$1</f>
        <v>7498.2</v>
      </c>
      <c r="L571" s="103">
        <f>F571+500</f>
        <v>7188.2</v>
      </c>
      <c r="M571" s="306">
        <f>+L571*$X$1</f>
        <v>7188.2</v>
      </c>
      <c r="N571" s="103">
        <f>F571+430</f>
        <v>7118.2</v>
      </c>
      <c r="O571" s="306">
        <f>+N571*$X$1</f>
        <v>7118.2</v>
      </c>
      <c r="P571" s="103">
        <f>F571+390</f>
        <v>7078.2</v>
      </c>
      <c r="Q571" s="306">
        <f>+P571*$X$1</f>
        <v>7078.2</v>
      </c>
      <c r="R571" s="103">
        <f>F571+360</f>
        <v>7048.2</v>
      </c>
      <c r="S571" s="306">
        <f>+R571*$X$1</f>
        <v>7048.2</v>
      </c>
      <c r="T571" s="103">
        <f>F571+320</f>
        <v>7008.2</v>
      </c>
      <c r="U571" s="306">
        <f>+T571*$X$1</f>
        <v>7008.2</v>
      </c>
      <c r="V571" s="103">
        <f>F571+280</f>
        <v>6968.2</v>
      </c>
      <c r="W571" s="306">
        <f>+V571*$X$1</f>
        <v>6968.2</v>
      </c>
      <c r="X571" s="139"/>
      <c r="Y571" s="134"/>
      <c r="Z571" s="140"/>
      <c r="AA571" s="141"/>
      <c r="AB571" s="192">
        <v>593</v>
      </c>
    </row>
    <row r="572" spans="1:28" ht="12" customHeight="1" x14ac:dyDescent="0.2">
      <c r="A572" s="4"/>
      <c r="B572" s="786" t="s">
        <v>753</v>
      </c>
      <c r="C572" s="787"/>
      <c r="D572" s="787"/>
      <c r="E572" s="788"/>
      <c r="F572" s="536">
        <v>31850</v>
      </c>
      <c r="G572" s="288">
        <f>+F572*$X$1</f>
        <v>31850</v>
      </c>
      <c r="H572" s="102"/>
      <c r="I572" s="319"/>
      <c r="J572" s="102">
        <f t="shared" ref="J572" si="1608">F572+810</f>
        <v>32660</v>
      </c>
      <c r="K572" s="319">
        <f t="shared" ref="K572" si="1609">+J572*$X$1</f>
        <v>32660</v>
      </c>
      <c r="L572" s="102">
        <f t="shared" ref="L572" si="1610">F572+500</f>
        <v>32350</v>
      </c>
      <c r="M572" s="319">
        <f t="shared" ref="M572" si="1611">+L572*$X$1</f>
        <v>32350</v>
      </c>
      <c r="N572" s="102">
        <f t="shared" ref="N572" si="1612">F572+430</f>
        <v>32280</v>
      </c>
      <c r="O572" s="319">
        <f t="shared" ref="O572" si="1613">+N572*$X$1</f>
        <v>32280</v>
      </c>
      <c r="P572" s="102">
        <f t="shared" ref="P572" si="1614">F572+390</f>
        <v>32240</v>
      </c>
      <c r="Q572" s="319">
        <f t="shared" ref="Q572" si="1615">+P572*$X$1</f>
        <v>32240</v>
      </c>
      <c r="R572" s="102">
        <f t="shared" ref="R572" si="1616">F572+360</f>
        <v>32210</v>
      </c>
      <c r="S572" s="319">
        <f t="shared" ref="S572" si="1617">+R572*$X$1</f>
        <v>32210</v>
      </c>
      <c r="T572" s="102">
        <f t="shared" ref="T572" si="1618">F572+320</f>
        <v>32170</v>
      </c>
      <c r="U572" s="319">
        <f t="shared" ref="U572" si="1619">+T572*$X$1</f>
        <v>32170</v>
      </c>
      <c r="V572" s="102">
        <f t="shared" ref="V572" si="1620">F572+280</f>
        <v>32130</v>
      </c>
      <c r="W572" s="319">
        <f t="shared" ref="W572" si="1621">+V572*$X$1</f>
        <v>32130</v>
      </c>
      <c r="X572" s="139"/>
      <c r="Y572" s="134"/>
      <c r="Z572" s="140"/>
      <c r="AA572" s="141"/>
      <c r="AB572" s="404">
        <v>599</v>
      </c>
    </row>
    <row r="573" spans="1:28" ht="12" customHeight="1" x14ac:dyDescent="0.2">
      <c r="A573" s="4"/>
      <c r="B573" s="827" t="s">
        <v>740</v>
      </c>
      <c r="C573" s="828"/>
      <c r="D573" s="828"/>
      <c r="E573" s="829"/>
      <c r="F573" s="380">
        <f>21.14*X2</f>
        <v>22514.100000000002</v>
      </c>
      <c r="G573" s="287">
        <f>+F573*$X$1</f>
        <v>22514.100000000002</v>
      </c>
      <c r="H573" s="103">
        <f t="shared" ref="H573" si="1622">F573+4000</f>
        <v>26514.100000000002</v>
      </c>
      <c r="I573" s="306">
        <f t="shared" ref="I573" si="1623">+H573*$X$1</f>
        <v>26514.100000000002</v>
      </c>
      <c r="J573" s="103">
        <f t="shared" ref="J573" si="1624">F573+810</f>
        <v>23324.100000000002</v>
      </c>
      <c r="K573" s="306">
        <f t="shared" ref="K573" si="1625">+J573*$X$1</f>
        <v>23324.100000000002</v>
      </c>
      <c r="L573" s="103">
        <f t="shared" ref="L573" si="1626">F573+500</f>
        <v>23014.100000000002</v>
      </c>
      <c r="M573" s="306">
        <f t="shared" ref="M573" si="1627">+L573*$X$1</f>
        <v>23014.100000000002</v>
      </c>
      <c r="N573" s="103">
        <f t="shared" ref="N573" si="1628">F573+430</f>
        <v>22944.100000000002</v>
      </c>
      <c r="O573" s="306">
        <f t="shared" ref="O573" si="1629">+N573*$X$1</f>
        <v>22944.100000000002</v>
      </c>
      <c r="P573" s="103">
        <f t="shared" ref="P573" si="1630">F573+390</f>
        <v>22904.100000000002</v>
      </c>
      <c r="Q573" s="306">
        <f t="shared" ref="Q573" si="1631">+P573*$X$1</f>
        <v>22904.100000000002</v>
      </c>
      <c r="R573" s="103">
        <f t="shared" ref="R573" si="1632">F573+360</f>
        <v>22874.100000000002</v>
      </c>
      <c r="S573" s="306">
        <f t="shared" ref="S573" si="1633">+R573*$X$1</f>
        <v>22874.100000000002</v>
      </c>
      <c r="T573" s="103">
        <f t="shared" ref="T573" si="1634">F573+320</f>
        <v>22834.100000000002</v>
      </c>
      <c r="U573" s="306">
        <f t="shared" ref="U573" si="1635">+T573*$X$1</f>
        <v>22834.100000000002</v>
      </c>
      <c r="V573" s="103">
        <f t="shared" ref="V573" si="1636">F573+280</f>
        <v>22794.100000000002</v>
      </c>
      <c r="W573" s="306">
        <f t="shared" ref="W573" si="1637">+V573*$X$1</f>
        <v>22794.100000000002</v>
      </c>
      <c r="X573" s="139"/>
      <c r="Y573" s="134"/>
      <c r="Z573" s="140"/>
      <c r="AA573" s="141"/>
      <c r="AB573" s="404">
        <v>600</v>
      </c>
    </row>
    <row r="574" spans="1:28" ht="12" customHeight="1" x14ac:dyDescent="0.2">
      <c r="A574" s="4"/>
      <c r="B574" s="786" t="s">
        <v>899</v>
      </c>
      <c r="C574" s="787"/>
      <c r="D574" s="787"/>
      <c r="E574" s="788"/>
      <c r="F574" s="382">
        <f>74.5*X2</f>
        <v>79342.5</v>
      </c>
      <c r="G574" s="288">
        <f t="shared" ref="G574" si="1638">+F574*$X$1</f>
        <v>79342.5</v>
      </c>
      <c r="H574" s="102">
        <f t="shared" ref="H574:H581" si="1639">F574+4000</f>
        <v>83342.5</v>
      </c>
      <c r="I574" s="319">
        <f t="shared" ref="I574:I581" si="1640">+H574*$X$1</f>
        <v>83342.5</v>
      </c>
      <c r="J574" s="102">
        <f t="shared" ref="J574:J581" si="1641">F574+810</f>
        <v>80152.5</v>
      </c>
      <c r="K574" s="319">
        <f t="shared" ref="K574:K581" si="1642">+J574*$X$1</f>
        <v>80152.5</v>
      </c>
      <c r="L574" s="102">
        <f t="shared" ref="L574:L581" si="1643">F574+500</f>
        <v>79842.5</v>
      </c>
      <c r="M574" s="319">
        <f t="shared" ref="M574:M581" si="1644">+L574*$X$1</f>
        <v>79842.5</v>
      </c>
      <c r="N574" s="102">
        <f t="shared" ref="N574:N581" si="1645">F574+430</f>
        <v>79772.5</v>
      </c>
      <c r="O574" s="319">
        <f t="shared" ref="O574:O581" si="1646">+N574*$X$1</f>
        <v>79772.5</v>
      </c>
      <c r="P574" s="102">
        <f t="shared" ref="P574:P581" si="1647">F574+390</f>
        <v>79732.5</v>
      </c>
      <c r="Q574" s="319">
        <f t="shared" ref="Q574:Q581" si="1648">+P574*$X$1</f>
        <v>79732.5</v>
      </c>
      <c r="R574" s="102">
        <f t="shared" ref="R574:R581" si="1649">F574+360</f>
        <v>79702.5</v>
      </c>
      <c r="S574" s="319">
        <f t="shared" ref="S574:S581" si="1650">+R574*$X$1</f>
        <v>79702.5</v>
      </c>
      <c r="T574" s="102">
        <f t="shared" ref="T574:T581" si="1651">F574+320</f>
        <v>79662.5</v>
      </c>
      <c r="U574" s="319">
        <f t="shared" ref="U574:U581" si="1652">+T574*$X$1</f>
        <v>79662.5</v>
      </c>
      <c r="V574" s="102">
        <f t="shared" ref="V574:V581" si="1653">F574+280</f>
        <v>79622.5</v>
      </c>
      <c r="W574" s="319">
        <f t="shared" ref="W574:W581" si="1654">+V574*$X$1</f>
        <v>79622.5</v>
      </c>
      <c r="X574" s="139"/>
      <c r="Y574" s="134"/>
      <c r="Z574" s="140"/>
      <c r="AA574" s="141"/>
      <c r="AB574" s="404">
        <v>605</v>
      </c>
    </row>
    <row r="575" spans="1:28" ht="12" customHeight="1" x14ac:dyDescent="0.2">
      <c r="A575" s="4"/>
      <c r="B575" s="668" t="s">
        <v>886</v>
      </c>
      <c r="C575" s="669"/>
      <c r="D575" s="669"/>
      <c r="E575" s="670"/>
      <c r="F575" s="383">
        <f>53.39*X2</f>
        <v>56860.35</v>
      </c>
      <c r="G575" s="287">
        <f>+F575*$X$1</f>
        <v>56860.35</v>
      </c>
      <c r="H575" s="103">
        <f t="shared" si="1639"/>
        <v>60860.35</v>
      </c>
      <c r="I575" s="306">
        <f t="shared" si="1640"/>
        <v>60860.35</v>
      </c>
      <c r="J575" s="103">
        <f t="shared" si="1641"/>
        <v>57670.35</v>
      </c>
      <c r="K575" s="306">
        <f t="shared" si="1642"/>
        <v>57670.35</v>
      </c>
      <c r="L575" s="103">
        <f t="shared" si="1643"/>
        <v>57360.35</v>
      </c>
      <c r="M575" s="306">
        <f t="shared" si="1644"/>
        <v>57360.35</v>
      </c>
      <c r="N575" s="103">
        <f t="shared" si="1645"/>
        <v>57290.35</v>
      </c>
      <c r="O575" s="306">
        <f t="shared" si="1646"/>
        <v>57290.35</v>
      </c>
      <c r="P575" s="103">
        <f t="shared" si="1647"/>
        <v>57250.35</v>
      </c>
      <c r="Q575" s="306">
        <f t="shared" si="1648"/>
        <v>57250.35</v>
      </c>
      <c r="R575" s="103">
        <f t="shared" si="1649"/>
        <v>57220.35</v>
      </c>
      <c r="S575" s="306">
        <f t="shared" si="1650"/>
        <v>57220.35</v>
      </c>
      <c r="T575" s="103">
        <f t="shared" si="1651"/>
        <v>57180.35</v>
      </c>
      <c r="U575" s="306">
        <f t="shared" si="1652"/>
        <v>57180.35</v>
      </c>
      <c r="V575" s="103">
        <f t="shared" si="1653"/>
        <v>57140.35</v>
      </c>
      <c r="W575" s="306">
        <f t="shared" si="1654"/>
        <v>57140.35</v>
      </c>
      <c r="X575" s="139"/>
      <c r="Y575" s="134"/>
      <c r="Z575" s="140"/>
      <c r="AA575" s="141"/>
      <c r="AB575" s="404">
        <v>608</v>
      </c>
    </row>
    <row r="576" spans="1:28" ht="12" customHeight="1" x14ac:dyDescent="0.2">
      <c r="A576" s="4"/>
      <c r="B576" s="786" t="s">
        <v>745</v>
      </c>
      <c r="C576" s="787"/>
      <c r="D576" s="787"/>
      <c r="E576" s="788"/>
      <c r="F576" s="382">
        <f>43.45*X2</f>
        <v>46274.25</v>
      </c>
      <c r="G576" s="288">
        <f t="shared" ref="G576:G578" si="1655">+F576*$X$1</f>
        <v>46274.25</v>
      </c>
      <c r="H576" s="102">
        <f t="shared" si="1639"/>
        <v>50274.25</v>
      </c>
      <c r="I576" s="319">
        <f t="shared" si="1640"/>
        <v>50274.25</v>
      </c>
      <c r="J576" s="102">
        <f t="shared" si="1641"/>
        <v>47084.25</v>
      </c>
      <c r="K576" s="319">
        <f t="shared" si="1642"/>
        <v>47084.25</v>
      </c>
      <c r="L576" s="102">
        <f t="shared" si="1643"/>
        <v>46774.25</v>
      </c>
      <c r="M576" s="319">
        <f t="shared" si="1644"/>
        <v>46774.25</v>
      </c>
      <c r="N576" s="102">
        <f t="shared" si="1645"/>
        <v>46704.25</v>
      </c>
      <c r="O576" s="319">
        <f t="shared" si="1646"/>
        <v>46704.25</v>
      </c>
      <c r="P576" s="102">
        <f t="shared" si="1647"/>
        <v>46664.25</v>
      </c>
      <c r="Q576" s="319">
        <f t="shared" si="1648"/>
        <v>46664.25</v>
      </c>
      <c r="R576" s="102">
        <f t="shared" si="1649"/>
        <v>46634.25</v>
      </c>
      <c r="S576" s="319">
        <f t="shared" si="1650"/>
        <v>46634.25</v>
      </c>
      <c r="T576" s="102">
        <f t="shared" si="1651"/>
        <v>46594.25</v>
      </c>
      <c r="U576" s="319">
        <f t="shared" si="1652"/>
        <v>46594.25</v>
      </c>
      <c r="V576" s="102">
        <f t="shared" si="1653"/>
        <v>46554.25</v>
      </c>
      <c r="W576" s="319">
        <f t="shared" si="1654"/>
        <v>46554.25</v>
      </c>
      <c r="X576" s="139"/>
      <c r="Y576" s="134"/>
      <c r="Z576" s="140"/>
      <c r="AA576" s="141"/>
      <c r="AB576" s="404">
        <v>609</v>
      </c>
    </row>
    <row r="577" spans="1:28" ht="12" customHeight="1" x14ac:dyDescent="0.2">
      <c r="A577" s="4"/>
      <c r="B577" s="827" t="s">
        <v>746</v>
      </c>
      <c r="C577" s="828"/>
      <c r="D577" s="828"/>
      <c r="E577" s="829"/>
      <c r="F577" s="383">
        <f>52.2*X2</f>
        <v>55593</v>
      </c>
      <c r="G577" s="287">
        <f t="shared" si="1655"/>
        <v>55593</v>
      </c>
      <c r="H577" s="103">
        <f t="shared" si="1639"/>
        <v>59593</v>
      </c>
      <c r="I577" s="306">
        <f t="shared" si="1640"/>
        <v>59593</v>
      </c>
      <c r="J577" s="103">
        <f t="shared" si="1641"/>
        <v>56403</v>
      </c>
      <c r="K577" s="306">
        <f t="shared" si="1642"/>
        <v>56403</v>
      </c>
      <c r="L577" s="103">
        <f t="shared" si="1643"/>
        <v>56093</v>
      </c>
      <c r="M577" s="306">
        <f t="shared" si="1644"/>
        <v>56093</v>
      </c>
      <c r="N577" s="103">
        <f t="shared" si="1645"/>
        <v>56023</v>
      </c>
      <c r="O577" s="306">
        <f t="shared" si="1646"/>
        <v>56023</v>
      </c>
      <c r="P577" s="103">
        <f t="shared" si="1647"/>
        <v>55983</v>
      </c>
      <c r="Q577" s="306">
        <f t="shared" si="1648"/>
        <v>55983</v>
      </c>
      <c r="R577" s="103">
        <f t="shared" si="1649"/>
        <v>55953</v>
      </c>
      <c r="S577" s="306">
        <f t="shared" si="1650"/>
        <v>55953</v>
      </c>
      <c r="T577" s="103">
        <f t="shared" si="1651"/>
        <v>55913</v>
      </c>
      <c r="U577" s="306">
        <f t="shared" si="1652"/>
        <v>55913</v>
      </c>
      <c r="V577" s="103">
        <f t="shared" si="1653"/>
        <v>55873</v>
      </c>
      <c r="W577" s="306">
        <f t="shared" si="1654"/>
        <v>55873</v>
      </c>
      <c r="X577" s="139"/>
      <c r="Y577" s="134"/>
      <c r="Z577" s="140"/>
      <c r="AA577" s="141"/>
      <c r="AB577" s="404">
        <v>611</v>
      </c>
    </row>
    <row r="578" spans="1:28" ht="12" customHeight="1" x14ac:dyDescent="0.2">
      <c r="A578" s="4"/>
      <c r="B578" s="786" t="s">
        <v>897</v>
      </c>
      <c r="C578" s="787"/>
      <c r="D578" s="787"/>
      <c r="E578" s="788"/>
      <c r="F578" s="382">
        <f>47.5*X2</f>
        <v>50587.5</v>
      </c>
      <c r="G578" s="288">
        <f t="shared" si="1655"/>
        <v>50587.5</v>
      </c>
      <c r="H578" s="102">
        <f t="shared" si="1639"/>
        <v>54587.5</v>
      </c>
      <c r="I578" s="319">
        <f t="shared" si="1640"/>
        <v>54587.5</v>
      </c>
      <c r="J578" s="102">
        <f t="shared" si="1641"/>
        <v>51397.5</v>
      </c>
      <c r="K578" s="319">
        <f t="shared" si="1642"/>
        <v>51397.5</v>
      </c>
      <c r="L578" s="102">
        <f t="shared" si="1643"/>
        <v>51087.5</v>
      </c>
      <c r="M578" s="319">
        <f t="shared" si="1644"/>
        <v>51087.5</v>
      </c>
      <c r="N578" s="102">
        <f t="shared" si="1645"/>
        <v>51017.5</v>
      </c>
      <c r="O578" s="319">
        <f t="shared" si="1646"/>
        <v>51017.5</v>
      </c>
      <c r="P578" s="102">
        <f t="shared" si="1647"/>
        <v>50977.5</v>
      </c>
      <c r="Q578" s="319">
        <f t="shared" si="1648"/>
        <v>50977.5</v>
      </c>
      <c r="R578" s="102">
        <f t="shared" si="1649"/>
        <v>50947.5</v>
      </c>
      <c r="S578" s="319">
        <f t="shared" si="1650"/>
        <v>50947.5</v>
      </c>
      <c r="T578" s="102">
        <f t="shared" si="1651"/>
        <v>50907.5</v>
      </c>
      <c r="U578" s="319">
        <f t="shared" si="1652"/>
        <v>50907.5</v>
      </c>
      <c r="V578" s="102">
        <f t="shared" si="1653"/>
        <v>50867.5</v>
      </c>
      <c r="W578" s="319">
        <f t="shared" si="1654"/>
        <v>50867.5</v>
      </c>
      <c r="X578" s="139"/>
      <c r="Y578" s="134"/>
      <c r="Z578" s="140"/>
      <c r="AA578" s="141"/>
      <c r="AB578" s="404">
        <v>613</v>
      </c>
    </row>
    <row r="579" spans="1:28" ht="12" customHeight="1" x14ac:dyDescent="0.2">
      <c r="A579" s="4"/>
      <c r="B579" s="908" t="s">
        <v>626</v>
      </c>
      <c r="C579" s="909"/>
      <c r="D579" s="909"/>
      <c r="E579" s="910"/>
      <c r="F579" s="666">
        <f>5.2*X2</f>
        <v>5538</v>
      </c>
      <c r="G579" s="546">
        <f t="shared" ref="G579" si="1656">+F579*$X$1</f>
        <v>5538</v>
      </c>
      <c r="H579" s="558">
        <f t="shared" si="1639"/>
        <v>9538</v>
      </c>
      <c r="I579" s="545">
        <f t="shared" si="1640"/>
        <v>9538</v>
      </c>
      <c r="J579" s="558">
        <f t="shared" si="1641"/>
        <v>6348</v>
      </c>
      <c r="K579" s="545">
        <f t="shared" si="1642"/>
        <v>6348</v>
      </c>
      <c r="L579" s="558">
        <f t="shared" si="1643"/>
        <v>6038</v>
      </c>
      <c r="M579" s="545">
        <f t="shared" si="1644"/>
        <v>6038</v>
      </c>
      <c r="N579" s="558">
        <f t="shared" si="1645"/>
        <v>5968</v>
      </c>
      <c r="O579" s="545">
        <f t="shared" si="1646"/>
        <v>5968</v>
      </c>
      <c r="P579" s="558">
        <f t="shared" si="1647"/>
        <v>5928</v>
      </c>
      <c r="Q579" s="545">
        <f t="shared" si="1648"/>
        <v>5928</v>
      </c>
      <c r="R579" s="558">
        <f t="shared" si="1649"/>
        <v>5898</v>
      </c>
      <c r="S579" s="545">
        <f t="shared" si="1650"/>
        <v>5898</v>
      </c>
      <c r="T579" s="558">
        <f t="shared" si="1651"/>
        <v>5858</v>
      </c>
      <c r="U579" s="545">
        <f t="shared" si="1652"/>
        <v>5858</v>
      </c>
      <c r="V579" s="558">
        <f t="shared" si="1653"/>
        <v>5818</v>
      </c>
      <c r="W579" s="545">
        <f t="shared" si="1654"/>
        <v>5818</v>
      </c>
      <c r="X579" s="139"/>
      <c r="Y579" s="134"/>
      <c r="Z579" s="140"/>
      <c r="AA579" s="141"/>
      <c r="AB579" s="192">
        <v>642</v>
      </c>
    </row>
    <row r="580" spans="1:28" ht="12" customHeight="1" x14ac:dyDescent="0.2">
      <c r="A580" s="4"/>
      <c r="B580" s="908" t="s">
        <v>627</v>
      </c>
      <c r="C580" s="909"/>
      <c r="D580" s="909"/>
      <c r="E580" s="910"/>
      <c r="F580" s="666">
        <f>23.2*X2</f>
        <v>24708</v>
      </c>
      <c r="G580" s="546">
        <f t="shared" ref="G580" si="1657">+F580*$X$1</f>
        <v>24708</v>
      </c>
      <c r="H580" s="558">
        <f t="shared" si="1639"/>
        <v>28708</v>
      </c>
      <c r="I580" s="545">
        <f t="shared" si="1640"/>
        <v>28708</v>
      </c>
      <c r="J580" s="558">
        <f t="shared" si="1641"/>
        <v>25518</v>
      </c>
      <c r="K580" s="545">
        <f t="shared" si="1642"/>
        <v>25518</v>
      </c>
      <c r="L580" s="558">
        <f t="shared" si="1643"/>
        <v>25208</v>
      </c>
      <c r="M580" s="545">
        <f t="shared" si="1644"/>
        <v>25208</v>
      </c>
      <c r="N580" s="558">
        <f t="shared" si="1645"/>
        <v>25138</v>
      </c>
      <c r="O580" s="545">
        <f t="shared" si="1646"/>
        <v>25138</v>
      </c>
      <c r="P580" s="558">
        <f t="shared" si="1647"/>
        <v>25098</v>
      </c>
      <c r="Q580" s="545">
        <f t="shared" si="1648"/>
        <v>25098</v>
      </c>
      <c r="R580" s="558">
        <f t="shared" si="1649"/>
        <v>25068</v>
      </c>
      <c r="S580" s="545">
        <f t="shared" si="1650"/>
        <v>25068</v>
      </c>
      <c r="T580" s="558">
        <f t="shared" si="1651"/>
        <v>25028</v>
      </c>
      <c r="U580" s="545">
        <f t="shared" si="1652"/>
        <v>25028</v>
      </c>
      <c r="V580" s="558">
        <f t="shared" si="1653"/>
        <v>24988</v>
      </c>
      <c r="W580" s="545">
        <f t="shared" si="1654"/>
        <v>24988</v>
      </c>
      <c r="X580" s="139"/>
      <c r="Y580" s="134"/>
      <c r="Z580" s="140"/>
      <c r="AA580" s="141"/>
      <c r="AB580" s="192">
        <v>643</v>
      </c>
    </row>
    <row r="581" spans="1:28" ht="12" customHeight="1" x14ac:dyDescent="0.2">
      <c r="A581" s="4"/>
      <c r="B581" s="827" t="s">
        <v>747</v>
      </c>
      <c r="C581" s="828"/>
      <c r="D581" s="828"/>
      <c r="E581" s="829"/>
      <c r="F581" s="380">
        <f>42.34*X2</f>
        <v>45092.100000000006</v>
      </c>
      <c r="G581" s="287">
        <f>+F581*$X$1</f>
        <v>45092.100000000006</v>
      </c>
      <c r="H581" s="103">
        <f t="shared" si="1639"/>
        <v>49092.100000000006</v>
      </c>
      <c r="I581" s="306">
        <f t="shared" si="1640"/>
        <v>49092.100000000006</v>
      </c>
      <c r="J581" s="103">
        <f t="shared" si="1641"/>
        <v>45902.100000000006</v>
      </c>
      <c r="K581" s="306">
        <f t="shared" si="1642"/>
        <v>45902.100000000006</v>
      </c>
      <c r="L581" s="103">
        <f t="shared" si="1643"/>
        <v>45592.100000000006</v>
      </c>
      <c r="M581" s="306">
        <f t="shared" si="1644"/>
        <v>45592.100000000006</v>
      </c>
      <c r="N581" s="103">
        <f t="shared" si="1645"/>
        <v>45522.100000000006</v>
      </c>
      <c r="O581" s="306">
        <f t="shared" si="1646"/>
        <v>45522.100000000006</v>
      </c>
      <c r="P581" s="103">
        <f t="shared" si="1647"/>
        <v>45482.100000000006</v>
      </c>
      <c r="Q581" s="306">
        <f t="shared" si="1648"/>
        <v>45482.100000000006</v>
      </c>
      <c r="R581" s="103">
        <f t="shared" si="1649"/>
        <v>45452.100000000006</v>
      </c>
      <c r="S581" s="306">
        <f t="shared" si="1650"/>
        <v>45452.100000000006</v>
      </c>
      <c r="T581" s="103">
        <f t="shared" si="1651"/>
        <v>45412.100000000006</v>
      </c>
      <c r="U581" s="306">
        <f t="shared" si="1652"/>
        <v>45412.100000000006</v>
      </c>
      <c r="V581" s="103">
        <f t="shared" si="1653"/>
        <v>45372.100000000006</v>
      </c>
      <c r="W581" s="306">
        <f t="shared" si="1654"/>
        <v>45372.100000000006</v>
      </c>
      <c r="X581" s="139"/>
      <c r="Y581" s="134"/>
      <c r="Z581" s="140"/>
      <c r="AA581" s="141"/>
      <c r="AB581" s="404">
        <v>657</v>
      </c>
    </row>
    <row r="582" spans="1:28" ht="12" customHeight="1" x14ac:dyDescent="0.2">
      <c r="A582" s="4"/>
      <c r="B582" s="786" t="s">
        <v>748</v>
      </c>
      <c r="C582" s="787"/>
      <c r="D582" s="787"/>
      <c r="E582" s="788"/>
      <c r="F582" s="381">
        <f>36.05*X2</f>
        <v>38393.25</v>
      </c>
      <c r="G582" s="288">
        <f t="shared" ref="G582:G584" si="1658">+F582*$X$1</f>
        <v>38393.25</v>
      </c>
      <c r="H582" s="102">
        <f>F582+4000</f>
        <v>42393.25</v>
      </c>
      <c r="I582" s="319">
        <f>+H582*$X$1</f>
        <v>42393.25</v>
      </c>
      <c r="J582" s="102">
        <f>F582+810</f>
        <v>39203.25</v>
      </c>
      <c r="K582" s="319">
        <f>+J582*$X$1</f>
        <v>39203.25</v>
      </c>
      <c r="L582" s="102">
        <f>F582+500</f>
        <v>38893.25</v>
      </c>
      <c r="M582" s="319">
        <f>+L582*$X$1</f>
        <v>38893.25</v>
      </c>
      <c r="N582" s="102">
        <f>F582+430</f>
        <v>38823.25</v>
      </c>
      <c r="O582" s="319">
        <f>+N582*$X$1</f>
        <v>38823.25</v>
      </c>
      <c r="P582" s="102">
        <f>F582+390</f>
        <v>38783.25</v>
      </c>
      <c r="Q582" s="319">
        <f>+P582*$X$1</f>
        <v>38783.25</v>
      </c>
      <c r="R582" s="102">
        <f>F582+360</f>
        <v>38753.25</v>
      </c>
      <c r="S582" s="319">
        <f>+R582*$X$1</f>
        <v>38753.25</v>
      </c>
      <c r="T582" s="102">
        <f>F582+320</f>
        <v>38713.25</v>
      </c>
      <c r="U582" s="319">
        <f>+T582*$X$1</f>
        <v>38713.25</v>
      </c>
      <c r="V582" s="102">
        <f>F582+280</f>
        <v>38673.25</v>
      </c>
      <c r="W582" s="319">
        <f>+V582*$X$1</f>
        <v>38673.25</v>
      </c>
      <c r="X582" s="139"/>
      <c r="Y582" s="134"/>
      <c r="Z582" s="140"/>
      <c r="AA582" s="141"/>
      <c r="AB582" s="404">
        <v>658</v>
      </c>
    </row>
    <row r="583" spans="1:28" ht="12" customHeight="1" x14ac:dyDescent="0.2">
      <c r="A583" s="4"/>
      <c r="B583" s="827" t="s">
        <v>749</v>
      </c>
      <c r="C583" s="828"/>
      <c r="D583" s="828"/>
      <c r="E583" s="829"/>
      <c r="F583" s="380">
        <f>28.5*X2</f>
        <v>30352.5</v>
      </c>
      <c r="G583" s="287">
        <f t="shared" si="1658"/>
        <v>30352.5</v>
      </c>
      <c r="H583" s="103">
        <f>F583+4000</f>
        <v>34352.5</v>
      </c>
      <c r="I583" s="306">
        <f>+H583*$X$1</f>
        <v>34352.5</v>
      </c>
      <c r="J583" s="103">
        <f>F583+810</f>
        <v>31162.5</v>
      </c>
      <c r="K583" s="306">
        <f>+J583*$X$1</f>
        <v>31162.5</v>
      </c>
      <c r="L583" s="103">
        <f>F583+500</f>
        <v>30852.5</v>
      </c>
      <c r="M583" s="306">
        <f>+L583*$X$1</f>
        <v>30852.5</v>
      </c>
      <c r="N583" s="103">
        <f>F583+430</f>
        <v>30782.5</v>
      </c>
      <c r="O583" s="306">
        <f>+N583*$X$1</f>
        <v>30782.5</v>
      </c>
      <c r="P583" s="103">
        <f>F583+390</f>
        <v>30742.5</v>
      </c>
      <c r="Q583" s="306">
        <f>+P583*$X$1</f>
        <v>30742.5</v>
      </c>
      <c r="R583" s="103">
        <f>F583+360</f>
        <v>30712.5</v>
      </c>
      <c r="S583" s="306">
        <f>+R583*$X$1</f>
        <v>30712.5</v>
      </c>
      <c r="T583" s="103">
        <f>F583+320</f>
        <v>30672.5</v>
      </c>
      <c r="U583" s="306">
        <f>+T583*$X$1</f>
        <v>30672.5</v>
      </c>
      <c r="V583" s="103">
        <f>F583+280</f>
        <v>30632.5</v>
      </c>
      <c r="W583" s="306">
        <f>+V583*$X$1</f>
        <v>30632.5</v>
      </c>
      <c r="X583" s="139"/>
      <c r="Y583" s="134"/>
      <c r="Z583" s="140"/>
      <c r="AA583" s="141"/>
      <c r="AB583" s="404">
        <v>659</v>
      </c>
    </row>
    <row r="584" spans="1:28" ht="12" customHeight="1" x14ac:dyDescent="0.2">
      <c r="A584" s="4"/>
      <c r="B584" s="786" t="s">
        <v>750</v>
      </c>
      <c r="C584" s="787"/>
      <c r="D584" s="787"/>
      <c r="E584" s="788"/>
      <c r="F584" s="381">
        <f>12.5*X2</f>
        <v>13312.5</v>
      </c>
      <c r="G584" s="288">
        <f t="shared" si="1658"/>
        <v>13312.5</v>
      </c>
      <c r="H584" s="102">
        <f>F584+4000</f>
        <v>17312.5</v>
      </c>
      <c r="I584" s="319">
        <f>+H584*$X$1</f>
        <v>17312.5</v>
      </c>
      <c r="J584" s="102">
        <f>F584+810</f>
        <v>14122.5</v>
      </c>
      <c r="K584" s="319">
        <f>+J584*$X$1</f>
        <v>14122.5</v>
      </c>
      <c r="L584" s="102">
        <f>F584+500</f>
        <v>13812.5</v>
      </c>
      <c r="M584" s="319">
        <f>+L584*$X$1</f>
        <v>13812.5</v>
      </c>
      <c r="N584" s="102">
        <f>F584+430</f>
        <v>13742.5</v>
      </c>
      <c r="O584" s="319">
        <f>+N584*$X$1</f>
        <v>13742.5</v>
      </c>
      <c r="P584" s="102">
        <f>F584+390</f>
        <v>13702.5</v>
      </c>
      <c r="Q584" s="319">
        <f>+P584*$X$1</f>
        <v>13702.5</v>
      </c>
      <c r="R584" s="102">
        <f>F584+360</f>
        <v>13672.5</v>
      </c>
      <c r="S584" s="319">
        <f>+R584*$X$1</f>
        <v>13672.5</v>
      </c>
      <c r="T584" s="102">
        <f>F584+320</f>
        <v>13632.5</v>
      </c>
      <c r="U584" s="319">
        <f>+T584*$X$1</f>
        <v>13632.5</v>
      </c>
      <c r="V584" s="102">
        <f>F584+280</f>
        <v>13592.5</v>
      </c>
      <c r="W584" s="319">
        <f>+V584*$X$1</f>
        <v>13592.5</v>
      </c>
      <c r="X584" s="139"/>
      <c r="Y584" s="134"/>
      <c r="Z584" s="140"/>
      <c r="AA584" s="141"/>
      <c r="AB584" s="404">
        <v>660</v>
      </c>
    </row>
    <row r="585" spans="1:28" ht="12" customHeight="1" x14ac:dyDescent="0.2">
      <c r="A585" s="4"/>
      <c r="B585" s="827" t="s">
        <v>606</v>
      </c>
      <c r="C585" s="828"/>
      <c r="D585" s="828"/>
      <c r="E585" s="829"/>
      <c r="F585" s="330">
        <v>34835</v>
      </c>
      <c r="G585" s="287">
        <f t="shared" ref="G585:G592" si="1659">+F585*$X$1</f>
        <v>34835</v>
      </c>
      <c r="H585" s="103"/>
      <c r="I585" s="306"/>
      <c r="J585" s="103">
        <f t="shared" ref="J585:J586" si="1660">F585+810</f>
        <v>35645</v>
      </c>
      <c r="K585" s="306">
        <f>+J585*$X$1</f>
        <v>35645</v>
      </c>
      <c r="L585" s="103">
        <f t="shared" ref="L585:L586" si="1661">F585+500</f>
        <v>35335</v>
      </c>
      <c r="M585" s="306">
        <f>+L585*$X$1</f>
        <v>35335</v>
      </c>
      <c r="N585" s="103">
        <f t="shared" ref="N585:N586" si="1662">F585+430</f>
        <v>35265</v>
      </c>
      <c r="O585" s="306">
        <f>+N585*$X$1</f>
        <v>35265</v>
      </c>
      <c r="P585" s="103">
        <f t="shared" ref="P585:P586" si="1663">F585+390</f>
        <v>35225</v>
      </c>
      <c r="Q585" s="306">
        <f>+P585*$X$1</f>
        <v>35225</v>
      </c>
      <c r="R585" s="103">
        <f t="shared" ref="R585:R586" si="1664">F585+360</f>
        <v>35195</v>
      </c>
      <c r="S585" s="306">
        <f>+R585*$X$1</f>
        <v>35195</v>
      </c>
      <c r="T585" s="103">
        <f t="shared" ref="T585:T586" si="1665">F585+320</f>
        <v>35155</v>
      </c>
      <c r="U585" s="306">
        <f>+T585*$X$1</f>
        <v>35155</v>
      </c>
      <c r="V585" s="103">
        <f t="shared" ref="V585:V586" si="1666">F585+280</f>
        <v>35115</v>
      </c>
      <c r="W585" s="306">
        <f>+V585*$X$1</f>
        <v>35115</v>
      </c>
      <c r="X585" s="139"/>
      <c r="Y585" s="134"/>
      <c r="Z585" s="140"/>
      <c r="AA585" s="141"/>
      <c r="AB585" s="404">
        <v>664</v>
      </c>
    </row>
    <row r="586" spans="1:28" ht="12" customHeight="1" x14ac:dyDescent="0.2">
      <c r="A586" s="4"/>
      <c r="B586" s="786" t="s">
        <v>772</v>
      </c>
      <c r="C586" s="787"/>
      <c r="D586" s="787"/>
      <c r="E586" s="788"/>
      <c r="F586" s="381">
        <f>18.4*X2</f>
        <v>19596</v>
      </c>
      <c r="G586" s="288">
        <f t="shared" si="1659"/>
        <v>19596</v>
      </c>
      <c r="H586" s="102">
        <f t="shared" ref="H586" si="1667">F586+4000</f>
        <v>23596</v>
      </c>
      <c r="I586" s="319">
        <f t="shared" ref="I586" si="1668">+H586*$X$1</f>
        <v>23596</v>
      </c>
      <c r="J586" s="102">
        <f t="shared" si="1660"/>
        <v>20406</v>
      </c>
      <c r="K586" s="319">
        <f>+J586*$X$1</f>
        <v>20406</v>
      </c>
      <c r="L586" s="102">
        <f t="shared" si="1661"/>
        <v>20096</v>
      </c>
      <c r="M586" s="319">
        <f>+L586*$X$1</f>
        <v>20096</v>
      </c>
      <c r="N586" s="102">
        <f t="shared" si="1662"/>
        <v>20026</v>
      </c>
      <c r="O586" s="319">
        <f>+N586*$X$1</f>
        <v>20026</v>
      </c>
      <c r="P586" s="102">
        <f t="shared" si="1663"/>
        <v>19986</v>
      </c>
      <c r="Q586" s="319">
        <f>+P586*$X$1</f>
        <v>19986</v>
      </c>
      <c r="R586" s="102">
        <f t="shared" si="1664"/>
        <v>19956</v>
      </c>
      <c r="S586" s="319">
        <f>+R586*$X$1</f>
        <v>19956</v>
      </c>
      <c r="T586" s="102">
        <f t="shared" si="1665"/>
        <v>19916</v>
      </c>
      <c r="U586" s="319">
        <f>+T586*$X$1</f>
        <v>19916</v>
      </c>
      <c r="V586" s="102">
        <f t="shared" si="1666"/>
        <v>19876</v>
      </c>
      <c r="W586" s="319">
        <f>+V586*$X$1</f>
        <v>19876</v>
      </c>
      <c r="X586" s="139"/>
      <c r="Y586" s="134"/>
      <c r="Z586" s="140"/>
      <c r="AA586" s="141"/>
      <c r="AB586" s="404">
        <v>667</v>
      </c>
    </row>
    <row r="587" spans="1:28" ht="12" customHeight="1" x14ac:dyDescent="0.2">
      <c r="A587" s="4"/>
      <c r="B587" s="827" t="s">
        <v>771</v>
      </c>
      <c r="C587" s="828"/>
      <c r="D587" s="828"/>
      <c r="E587" s="829"/>
      <c r="F587" s="380">
        <f>15*X2</f>
        <v>15975</v>
      </c>
      <c r="G587" s="287">
        <f t="shared" ref="G587:G589" si="1669">+F587*$X$1</f>
        <v>15975</v>
      </c>
      <c r="H587" s="103">
        <f t="shared" ref="H587:H598" si="1670">F587+4000</f>
        <v>19975</v>
      </c>
      <c r="I587" s="306">
        <f t="shared" ref="I587:I598" si="1671">+H587*$X$1</f>
        <v>19975</v>
      </c>
      <c r="J587" s="103">
        <f t="shared" ref="J587:J598" si="1672">F587+810</f>
        <v>16785</v>
      </c>
      <c r="K587" s="306">
        <f t="shared" ref="K587:K598" si="1673">+J587*$X$1</f>
        <v>16785</v>
      </c>
      <c r="L587" s="103">
        <f t="shared" ref="L587:L598" si="1674">F587+500</f>
        <v>16475</v>
      </c>
      <c r="M587" s="306">
        <f t="shared" ref="M587:M598" si="1675">+L587*$X$1</f>
        <v>16475</v>
      </c>
      <c r="N587" s="103">
        <f t="shared" ref="N587:N598" si="1676">F587+430</f>
        <v>16405</v>
      </c>
      <c r="O587" s="306">
        <f t="shared" ref="O587:O598" si="1677">+N587*$X$1</f>
        <v>16405</v>
      </c>
      <c r="P587" s="103">
        <f t="shared" ref="P587:P598" si="1678">F587+390</f>
        <v>16365</v>
      </c>
      <c r="Q587" s="306">
        <f t="shared" ref="Q587:Q598" si="1679">+P587*$X$1</f>
        <v>16365</v>
      </c>
      <c r="R587" s="103">
        <f t="shared" ref="R587:R598" si="1680">F587+360</f>
        <v>16335</v>
      </c>
      <c r="S587" s="306">
        <f t="shared" ref="S587:S598" si="1681">+R587*$X$1</f>
        <v>16335</v>
      </c>
      <c r="T587" s="103">
        <f t="shared" ref="T587:T598" si="1682">F587+320</f>
        <v>16295</v>
      </c>
      <c r="U587" s="306">
        <f t="shared" ref="U587:U598" si="1683">+T587*$X$1</f>
        <v>16295</v>
      </c>
      <c r="V587" s="103">
        <f t="shared" ref="V587:V598" si="1684">F587+280</f>
        <v>16255</v>
      </c>
      <c r="W587" s="306">
        <f t="shared" ref="W587:W598" si="1685">+V587*$X$1</f>
        <v>16255</v>
      </c>
      <c r="X587" s="139"/>
      <c r="Y587" s="134"/>
      <c r="Z587" s="140"/>
      <c r="AA587" s="141"/>
      <c r="AB587" s="404">
        <v>668</v>
      </c>
    </row>
    <row r="588" spans="1:28" ht="12" customHeight="1" x14ac:dyDescent="0.2">
      <c r="A588" s="4"/>
      <c r="B588" s="786" t="s">
        <v>851</v>
      </c>
      <c r="C588" s="787"/>
      <c r="D588" s="787"/>
      <c r="E588" s="788"/>
      <c r="F588" s="381">
        <f>15.28*X2</f>
        <v>16273.199999999999</v>
      </c>
      <c r="G588" s="288">
        <f t="shared" si="1669"/>
        <v>16273.199999999999</v>
      </c>
      <c r="H588" s="102">
        <f t="shared" si="1670"/>
        <v>20273.199999999997</v>
      </c>
      <c r="I588" s="319">
        <f t="shared" si="1671"/>
        <v>20273.199999999997</v>
      </c>
      <c r="J588" s="102">
        <f t="shared" si="1672"/>
        <v>17083.199999999997</v>
      </c>
      <c r="K588" s="319">
        <f t="shared" si="1673"/>
        <v>17083.199999999997</v>
      </c>
      <c r="L588" s="102">
        <f t="shared" si="1674"/>
        <v>16773.199999999997</v>
      </c>
      <c r="M588" s="319">
        <f t="shared" si="1675"/>
        <v>16773.199999999997</v>
      </c>
      <c r="N588" s="102">
        <f t="shared" si="1676"/>
        <v>16703.199999999997</v>
      </c>
      <c r="O588" s="319">
        <f t="shared" si="1677"/>
        <v>16703.199999999997</v>
      </c>
      <c r="P588" s="102">
        <f t="shared" si="1678"/>
        <v>16663.199999999997</v>
      </c>
      <c r="Q588" s="319">
        <f t="shared" si="1679"/>
        <v>16663.199999999997</v>
      </c>
      <c r="R588" s="102">
        <f t="shared" si="1680"/>
        <v>16633.199999999997</v>
      </c>
      <c r="S588" s="319">
        <f t="shared" si="1681"/>
        <v>16633.199999999997</v>
      </c>
      <c r="T588" s="102">
        <f t="shared" si="1682"/>
        <v>16593.199999999997</v>
      </c>
      <c r="U588" s="319">
        <f t="shared" si="1683"/>
        <v>16593.199999999997</v>
      </c>
      <c r="V588" s="102">
        <f t="shared" si="1684"/>
        <v>16553.199999999997</v>
      </c>
      <c r="W588" s="319">
        <f t="shared" si="1685"/>
        <v>16553.199999999997</v>
      </c>
      <c r="X588" s="139"/>
      <c r="Y588" s="134"/>
      <c r="Z588" s="140"/>
      <c r="AA588" s="141"/>
      <c r="AB588" s="192">
        <v>675</v>
      </c>
    </row>
    <row r="589" spans="1:28" ht="12" customHeight="1" x14ac:dyDescent="0.2">
      <c r="A589" s="4"/>
      <c r="B589" s="827" t="s">
        <v>896</v>
      </c>
      <c r="C589" s="828"/>
      <c r="D589" s="828"/>
      <c r="E589" s="829"/>
      <c r="F589" s="380">
        <f>12.72*X2</f>
        <v>13546.800000000001</v>
      </c>
      <c r="G589" s="287">
        <f t="shared" si="1669"/>
        <v>13546.800000000001</v>
      </c>
      <c r="H589" s="103">
        <f t="shared" si="1670"/>
        <v>17546.800000000003</v>
      </c>
      <c r="I589" s="306">
        <f t="shared" si="1671"/>
        <v>17546.800000000003</v>
      </c>
      <c r="J589" s="103">
        <f t="shared" si="1672"/>
        <v>14356.800000000001</v>
      </c>
      <c r="K589" s="306">
        <f t="shared" si="1673"/>
        <v>14356.800000000001</v>
      </c>
      <c r="L589" s="103">
        <f t="shared" si="1674"/>
        <v>14046.800000000001</v>
      </c>
      <c r="M589" s="306">
        <f t="shared" si="1675"/>
        <v>14046.800000000001</v>
      </c>
      <c r="N589" s="103">
        <f t="shared" si="1676"/>
        <v>13976.800000000001</v>
      </c>
      <c r="O589" s="306">
        <f t="shared" si="1677"/>
        <v>13976.800000000001</v>
      </c>
      <c r="P589" s="103">
        <f t="shared" si="1678"/>
        <v>13936.800000000001</v>
      </c>
      <c r="Q589" s="306">
        <f t="shared" si="1679"/>
        <v>13936.800000000001</v>
      </c>
      <c r="R589" s="103">
        <f t="shared" si="1680"/>
        <v>13906.800000000001</v>
      </c>
      <c r="S589" s="306">
        <f t="shared" si="1681"/>
        <v>13906.800000000001</v>
      </c>
      <c r="T589" s="103">
        <f t="shared" si="1682"/>
        <v>13866.800000000001</v>
      </c>
      <c r="U589" s="306">
        <f t="shared" si="1683"/>
        <v>13866.800000000001</v>
      </c>
      <c r="V589" s="103">
        <f t="shared" si="1684"/>
        <v>13826.800000000001</v>
      </c>
      <c r="W589" s="306">
        <f t="shared" si="1685"/>
        <v>13826.800000000001</v>
      </c>
      <c r="X589" s="139"/>
      <c r="Y589" s="134"/>
      <c r="Z589" s="140"/>
      <c r="AA589" s="141"/>
      <c r="AB589" s="192">
        <v>682</v>
      </c>
    </row>
    <row r="590" spans="1:28" ht="12" customHeight="1" x14ac:dyDescent="0.2">
      <c r="A590" s="4"/>
      <c r="B590" s="786" t="s">
        <v>526</v>
      </c>
      <c r="C590" s="787"/>
      <c r="D590" s="787"/>
      <c r="E590" s="788"/>
      <c r="F590" s="381">
        <f>10.4*X2</f>
        <v>11076</v>
      </c>
      <c r="G590" s="288">
        <f t="shared" si="1659"/>
        <v>11076</v>
      </c>
      <c r="H590" s="102">
        <f t="shared" si="1670"/>
        <v>15076</v>
      </c>
      <c r="I590" s="319">
        <f t="shared" si="1671"/>
        <v>15076</v>
      </c>
      <c r="J590" s="102">
        <f t="shared" si="1672"/>
        <v>11886</v>
      </c>
      <c r="K590" s="319">
        <f t="shared" si="1673"/>
        <v>11886</v>
      </c>
      <c r="L590" s="102">
        <f t="shared" si="1674"/>
        <v>11576</v>
      </c>
      <c r="M590" s="319">
        <f t="shared" si="1675"/>
        <v>11576</v>
      </c>
      <c r="N590" s="102">
        <f t="shared" si="1676"/>
        <v>11506</v>
      </c>
      <c r="O590" s="319">
        <f t="shared" si="1677"/>
        <v>11506</v>
      </c>
      <c r="P590" s="102">
        <f t="shared" si="1678"/>
        <v>11466</v>
      </c>
      <c r="Q590" s="319">
        <f t="shared" si="1679"/>
        <v>11466</v>
      </c>
      <c r="R590" s="102">
        <f t="shared" si="1680"/>
        <v>11436</v>
      </c>
      <c r="S590" s="319">
        <f t="shared" si="1681"/>
        <v>11436</v>
      </c>
      <c r="T590" s="102">
        <f t="shared" si="1682"/>
        <v>11396</v>
      </c>
      <c r="U590" s="319">
        <f t="shared" si="1683"/>
        <v>11396</v>
      </c>
      <c r="V590" s="102">
        <f t="shared" si="1684"/>
        <v>11356</v>
      </c>
      <c r="W590" s="319">
        <f t="shared" si="1685"/>
        <v>11356</v>
      </c>
      <c r="X590" s="139"/>
      <c r="Y590" s="134"/>
      <c r="Z590" s="140"/>
      <c r="AA590" s="141"/>
      <c r="AB590" s="192">
        <v>686</v>
      </c>
    </row>
    <row r="591" spans="1:28" ht="12" customHeight="1" x14ac:dyDescent="0.2">
      <c r="A591" s="4"/>
      <c r="B591" s="827" t="s">
        <v>566</v>
      </c>
      <c r="C591" s="828"/>
      <c r="D591" s="828"/>
      <c r="E591" s="829"/>
      <c r="F591" s="383">
        <f>32*X2</f>
        <v>34080</v>
      </c>
      <c r="G591" s="287">
        <f t="shared" si="1659"/>
        <v>34080</v>
      </c>
      <c r="H591" s="103">
        <f t="shared" si="1670"/>
        <v>38080</v>
      </c>
      <c r="I591" s="306">
        <f t="shared" si="1671"/>
        <v>38080</v>
      </c>
      <c r="J591" s="103">
        <f t="shared" si="1672"/>
        <v>34890</v>
      </c>
      <c r="K591" s="306">
        <f t="shared" si="1673"/>
        <v>34890</v>
      </c>
      <c r="L591" s="103">
        <f t="shared" si="1674"/>
        <v>34580</v>
      </c>
      <c r="M591" s="306">
        <f t="shared" si="1675"/>
        <v>34580</v>
      </c>
      <c r="N591" s="103">
        <f t="shared" si="1676"/>
        <v>34510</v>
      </c>
      <c r="O591" s="306">
        <f t="shared" si="1677"/>
        <v>34510</v>
      </c>
      <c r="P591" s="103">
        <f t="shared" si="1678"/>
        <v>34470</v>
      </c>
      <c r="Q591" s="306">
        <f t="shared" si="1679"/>
        <v>34470</v>
      </c>
      <c r="R591" s="103">
        <f t="shared" si="1680"/>
        <v>34440</v>
      </c>
      <c r="S591" s="306">
        <f t="shared" si="1681"/>
        <v>34440</v>
      </c>
      <c r="T591" s="103">
        <f t="shared" si="1682"/>
        <v>34400</v>
      </c>
      <c r="U591" s="306">
        <f t="shared" si="1683"/>
        <v>34400</v>
      </c>
      <c r="V591" s="103">
        <f t="shared" si="1684"/>
        <v>34360</v>
      </c>
      <c r="W591" s="306">
        <f t="shared" si="1685"/>
        <v>34360</v>
      </c>
      <c r="X591" s="139"/>
      <c r="Y591" s="134"/>
      <c r="Z591" s="140"/>
      <c r="AA591" s="141"/>
      <c r="AB591" s="404">
        <v>687</v>
      </c>
    </row>
    <row r="592" spans="1:28" ht="12" customHeight="1" x14ac:dyDescent="0.2">
      <c r="A592" s="4"/>
      <c r="B592" s="786" t="s">
        <v>751</v>
      </c>
      <c r="C592" s="787"/>
      <c r="D592" s="787"/>
      <c r="E592" s="788"/>
      <c r="F592" s="382">
        <f>17*X2</f>
        <v>18105</v>
      </c>
      <c r="G592" s="288">
        <f t="shared" si="1659"/>
        <v>18105</v>
      </c>
      <c r="H592" s="102">
        <f t="shared" si="1670"/>
        <v>22105</v>
      </c>
      <c r="I592" s="319">
        <f t="shared" si="1671"/>
        <v>22105</v>
      </c>
      <c r="J592" s="102">
        <f t="shared" si="1672"/>
        <v>18915</v>
      </c>
      <c r="K592" s="319">
        <f t="shared" si="1673"/>
        <v>18915</v>
      </c>
      <c r="L592" s="102">
        <f t="shared" si="1674"/>
        <v>18605</v>
      </c>
      <c r="M592" s="319">
        <f t="shared" si="1675"/>
        <v>18605</v>
      </c>
      <c r="N592" s="102">
        <f t="shared" si="1676"/>
        <v>18535</v>
      </c>
      <c r="O592" s="319">
        <f t="shared" si="1677"/>
        <v>18535</v>
      </c>
      <c r="P592" s="102">
        <f t="shared" si="1678"/>
        <v>18495</v>
      </c>
      <c r="Q592" s="319">
        <f t="shared" si="1679"/>
        <v>18495</v>
      </c>
      <c r="R592" s="102">
        <f t="shared" si="1680"/>
        <v>18465</v>
      </c>
      <c r="S592" s="319">
        <f t="shared" si="1681"/>
        <v>18465</v>
      </c>
      <c r="T592" s="102">
        <f t="shared" si="1682"/>
        <v>18425</v>
      </c>
      <c r="U592" s="319">
        <f t="shared" si="1683"/>
        <v>18425</v>
      </c>
      <c r="V592" s="102">
        <f t="shared" si="1684"/>
        <v>18385</v>
      </c>
      <c r="W592" s="319">
        <f t="shared" si="1685"/>
        <v>18385</v>
      </c>
      <c r="X592" s="139"/>
      <c r="Y592" s="134"/>
      <c r="Z592" s="140"/>
      <c r="AA592" s="141"/>
      <c r="AB592" s="404">
        <v>694</v>
      </c>
    </row>
    <row r="593" spans="1:28" ht="12" customHeight="1" x14ac:dyDescent="0.2">
      <c r="A593" s="4"/>
      <c r="B593" s="827" t="s">
        <v>898</v>
      </c>
      <c r="C593" s="828"/>
      <c r="D593" s="828"/>
      <c r="E593" s="829"/>
      <c r="F593" s="383">
        <f>15.7*X2</f>
        <v>16720.5</v>
      </c>
      <c r="G593" s="287">
        <f t="shared" ref="G593" si="1686">+F593*$X$1</f>
        <v>16720.5</v>
      </c>
      <c r="H593" s="103">
        <f t="shared" si="1670"/>
        <v>20720.5</v>
      </c>
      <c r="I593" s="306">
        <f t="shared" si="1671"/>
        <v>20720.5</v>
      </c>
      <c r="J593" s="103">
        <f t="shared" si="1672"/>
        <v>17530.5</v>
      </c>
      <c r="K593" s="306">
        <f t="shared" si="1673"/>
        <v>17530.5</v>
      </c>
      <c r="L593" s="103">
        <f t="shared" si="1674"/>
        <v>17220.5</v>
      </c>
      <c r="M593" s="306">
        <f t="shared" si="1675"/>
        <v>17220.5</v>
      </c>
      <c r="N593" s="103">
        <f t="shared" si="1676"/>
        <v>17150.5</v>
      </c>
      <c r="O593" s="306">
        <f t="shared" si="1677"/>
        <v>17150.5</v>
      </c>
      <c r="P593" s="103">
        <f t="shared" si="1678"/>
        <v>17110.5</v>
      </c>
      <c r="Q593" s="306">
        <f t="shared" si="1679"/>
        <v>17110.5</v>
      </c>
      <c r="R593" s="103">
        <f t="shared" si="1680"/>
        <v>17080.5</v>
      </c>
      <c r="S593" s="306">
        <f t="shared" si="1681"/>
        <v>17080.5</v>
      </c>
      <c r="T593" s="103">
        <f t="shared" si="1682"/>
        <v>17040.5</v>
      </c>
      <c r="U593" s="306">
        <f t="shared" si="1683"/>
        <v>17040.5</v>
      </c>
      <c r="V593" s="103">
        <f t="shared" si="1684"/>
        <v>17000.5</v>
      </c>
      <c r="W593" s="306">
        <f t="shared" si="1685"/>
        <v>17000.5</v>
      </c>
      <c r="X593" s="139"/>
      <c r="Y593" s="134"/>
      <c r="Z593" s="140"/>
      <c r="AA593" s="141"/>
      <c r="AB593" s="404">
        <v>696</v>
      </c>
    </row>
    <row r="594" spans="1:28" ht="12" customHeight="1" x14ac:dyDescent="0.2">
      <c r="A594" s="4"/>
      <c r="B594" s="786" t="s">
        <v>752</v>
      </c>
      <c r="C594" s="787"/>
      <c r="D594" s="787"/>
      <c r="E594" s="788"/>
      <c r="F594" s="381">
        <f>37.5*X2</f>
        <v>39937.5</v>
      </c>
      <c r="G594" s="288">
        <f t="shared" ref="G594" si="1687">+F594*$X$1</f>
        <v>39937.5</v>
      </c>
      <c r="H594" s="102">
        <f t="shared" si="1670"/>
        <v>43937.5</v>
      </c>
      <c r="I594" s="319">
        <f t="shared" si="1671"/>
        <v>43937.5</v>
      </c>
      <c r="J594" s="102">
        <f t="shared" si="1672"/>
        <v>40747.5</v>
      </c>
      <c r="K594" s="319">
        <f t="shared" si="1673"/>
        <v>40747.5</v>
      </c>
      <c r="L594" s="102">
        <f t="shared" si="1674"/>
        <v>40437.5</v>
      </c>
      <c r="M594" s="319">
        <f t="shared" si="1675"/>
        <v>40437.5</v>
      </c>
      <c r="N594" s="102">
        <f t="shared" si="1676"/>
        <v>40367.5</v>
      </c>
      <c r="O594" s="319">
        <f t="shared" si="1677"/>
        <v>40367.5</v>
      </c>
      <c r="P594" s="102">
        <f t="shared" si="1678"/>
        <v>40327.5</v>
      </c>
      <c r="Q594" s="319">
        <f t="shared" si="1679"/>
        <v>40327.5</v>
      </c>
      <c r="R594" s="102">
        <f t="shared" si="1680"/>
        <v>40297.5</v>
      </c>
      <c r="S594" s="319">
        <f t="shared" si="1681"/>
        <v>40297.5</v>
      </c>
      <c r="T594" s="102">
        <f t="shared" si="1682"/>
        <v>40257.5</v>
      </c>
      <c r="U594" s="319">
        <f t="shared" si="1683"/>
        <v>40257.5</v>
      </c>
      <c r="V594" s="102">
        <f t="shared" si="1684"/>
        <v>40217.5</v>
      </c>
      <c r="W594" s="319">
        <f t="shared" si="1685"/>
        <v>40217.5</v>
      </c>
      <c r="X594" s="139"/>
      <c r="Y594" s="134"/>
      <c r="Z594" s="140"/>
      <c r="AA594" s="141"/>
      <c r="AB594" s="404">
        <v>698</v>
      </c>
    </row>
    <row r="595" spans="1:28" ht="12" customHeight="1" x14ac:dyDescent="0.2">
      <c r="A595" s="4"/>
      <c r="B595" s="668" t="s">
        <v>971</v>
      </c>
      <c r="C595" s="669"/>
      <c r="D595" s="669"/>
      <c r="E595" s="670"/>
      <c r="F595" s="380">
        <f>26.66*X2</f>
        <v>28392.9</v>
      </c>
      <c r="G595" s="287">
        <f>+F595*$X$1</f>
        <v>28392.9</v>
      </c>
      <c r="H595" s="103">
        <f t="shared" si="1670"/>
        <v>32392.9</v>
      </c>
      <c r="I595" s="306">
        <f t="shared" si="1671"/>
        <v>32392.9</v>
      </c>
      <c r="J595" s="103">
        <f t="shared" si="1672"/>
        <v>29202.9</v>
      </c>
      <c r="K595" s="306">
        <f t="shared" si="1673"/>
        <v>29202.9</v>
      </c>
      <c r="L595" s="103">
        <f t="shared" si="1674"/>
        <v>28892.9</v>
      </c>
      <c r="M595" s="306">
        <f t="shared" si="1675"/>
        <v>28892.9</v>
      </c>
      <c r="N595" s="103">
        <f t="shared" si="1676"/>
        <v>28822.9</v>
      </c>
      <c r="O595" s="306">
        <f t="shared" si="1677"/>
        <v>28822.9</v>
      </c>
      <c r="P595" s="103">
        <f t="shared" si="1678"/>
        <v>28782.9</v>
      </c>
      <c r="Q595" s="306">
        <f t="shared" si="1679"/>
        <v>28782.9</v>
      </c>
      <c r="R595" s="103">
        <f t="shared" si="1680"/>
        <v>28752.9</v>
      </c>
      <c r="S595" s="306">
        <f t="shared" si="1681"/>
        <v>28752.9</v>
      </c>
      <c r="T595" s="103">
        <f t="shared" si="1682"/>
        <v>28712.9</v>
      </c>
      <c r="U595" s="306">
        <f t="shared" si="1683"/>
        <v>28712.9</v>
      </c>
      <c r="V595" s="103">
        <f t="shared" si="1684"/>
        <v>28672.9</v>
      </c>
      <c r="W595" s="306">
        <f t="shared" si="1685"/>
        <v>28672.9</v>
      </c>
      <c r="X595" s="139"/>
      <c r="Y595" s="134"/>
      <c r="Z595" s="140"/>
      <c r="AA595" s="141"/>
      <c r="AB595" s="404">
        <v>703</v>
      </c>
    </row>
    <row r="596" spans="1:28" ht="12" customHeight="1" x14ac:dyDescent="0.2">
      <c r="A596" s="4"/>
      <c r="B596" s="668" t="s">
        <v>950</v>
      </c>
      <c r="C596" s="669"/>
      <c r="D596" s="669"/>
      <c r="E596" s="670"/>
      <c r="F596" s="381">
        <f>37.35*X2</f>
        <v>39777.75</v>
      </c>
      <c r="G596" s="288">
        <f>+F596*$X$1</f>
        <v>39777.75</v>
      </c>
      <c r="H596" s="102">
        <f t="shared" ref="H596" si="1688">F596+4000</f>
        <v>43777.75</v>
      </c>
      <c r="I596" s="319">
        <f t="shared" ref="I596" si="1689">+H596*$X$1</f>
        <v>43777.75</v>
      </c>
      <c r="J596" s="102">
        <f t="shared" ref="J596" si="1690">F596+810</f>
        <v>40587.75</v>
      </c>
      <c r="K596" s="319">
        <f t="shared" ref="K596" si="1691">+J596*$X$1</f>
        <v>40587.75</v>
      </c>
      <c r="L596" s="102">
        <f t="shared" ref="L596" si="1692">F596+500</f>
        <v>40277.75</v>
      </c>
      <c r="M596" s="319">
        <f t="shared" ref="M596" si="1693">+L596*$X$1</f>
        <v>40277.75</v>
      </c>
      <c r="N596" s="102">
        <f t="shared" ref="N596" si="1694">F596+430</f>
        <v>40207.75</v>
      </c>
      <c r="O596" s="319">
        <f t="shared" ref="O596" si="1695">+N596*$X$1</f>
        <v>40207.75</v>
      </c>
      <c r="P596" s="102">
        <f t="shared" ref="P596" si="1696">F596+390</f>
        <v>40167.75</v>
      </c>
      <c r="Q596" s="319">
        <f t="shared" ref="Q596" si="1697">+P596*$X$1</f>
        <v>40167.75</v>
      </c>
      <c r="R596" s="102">
        <f t="shared" ref="R596" si="1698">F596+360</f>
        <v>40137.75</v>
      </c>
      <c r="S596" s="319">
        <f t="shared" ref="S596" si="1699">+R596*$X$1</f>
        <v>40137.75</v>
      </c>
      <c r="T596" s="102">
        <f t="shared" ref="T596" si="1700">F596+320</f>
        <v>40097.75</v>
      </c>
      <c r="U596" s="319">
        <f t="shared" ref="U596" si="1701">+T596*$X$1</f>
        <v>40097.75</v>
      </c>
      <c r="V596" s="102">
        <f t="shared" ref="V596" si="1702">F596+280</f>
        <v>40057.75</v>
      </c>
      <c r="W596" s="319">
        <f t="shared" ref="W596" si="1703">+V596*$X$1</f>
        <v>40057.75</v>
      </c>
      <c r="X596" s="139"/>
      <c r="Y596" s="134"/>
      <c r="Z596" s="140"/>
      <c r="AA596" s="141"/>
      <c r="AB596" s="404">
        <v>704</v>
      </c>
    </row>
    <row r="597" spans="1:28" ht="12" customHeight="1" x14ac:dyDescent="0.2">
      <c r="A597" s="4"/>
      <c r="B597" s="668" t="s">
        <v>901</v>
      </c>
      <c r="C597" s="669"/>
      <c r="D597" s="669"/>
      <c r="E597" s="670"/>
      <c r="F597" s="380">
        <f>28.1*X2</f>
        <v>29926.5</v>
      </c>
      <c r="G597" s="287">
        <f>+F597*$X$1</f>
        <v>29926.5</v>
      </c>
      <c r="H597" s="103">
        <f t="shared" si="1670"/>
        <v>33926.5</v>
      </c>
      <c r="I597" s="306">
        <f t="shared" si="1671"/>
        <v>33926.5</v>
      </c>
      <c r="J597" s="103">
        <f t="shared" si="1672"/>
        <v>30736.5</v>
      </c>
      <c r="K597" s="306">
        <f t="shared" si="1673"/>
        <v>30736.5</v>
      </c>
      <c r="L597" s="103">
        <f t="shared" si="1674"/>
        <v>30426.5</v>
      </c>
      <c r="M597" s="306">
        <f t="shared" si="1675"/>
        <v>30426.5</v>
      </c>
      <c r="N597" s="103">
        <f t="shared" si="1676"/>
        <v>30356.5</v>
      </c>
      <c r="O597" s="306">
        <f t="shared" si="1677"/>
        <v>30356.5</v>
      </c>
      <c r="P597" s="103">
        <f t="shared" si="1678"/>
        <v>30316.5</v>
      </c>
      <c r="Q597" s="306">
        <f t="shared" si="1679"/>
        <v>30316.5</v>
      </c>
      <c r="R597" s="103">
        <f t="shared" si="1680"/>
        <v>30286.5</v>
      </c>
      <c r="S597" s="306">
        <f t="shared" si="1681"/>
        <v>30286.5</v>
      </c>
      <c r="T597" s="103">
        <f t="shared" si="1682"/>
        <v>30246.5</v>
      </c>
      <c r="U597" s="306">
        <f t="shared" si="1683"/>
        <v>30246.5</v>
      </c>
      <c r="V597" s="103">
        <f t="shared" si="1684"/>
        <v>30206.5</v>
      </c>
      <c r="W597" s="306">
        <f t="shared" si="1685"/>
        <v>30206.5</v>
      </c>
      <c r="X597" s="139"/>
      <c r="Y597" s="134"/>
      <c r="Z597" s="140"/>
      <c r="AA597" s="141"/>
      <c r="AB597" s="404">
        <v>708</v>
      </c>
    </row>
    <row r="598" spans="1:28" ht="12" customHeight="1" x14ac:dyDescent="0.2">
      <c r="A598" s="4"/>
      <c r="B598" s="786" t="s">
        <v>599</v>
      </c>
      <c r="C598" s="787"/>
      <c r="D598" s="787"/>
      <c r="E598" s="788"/>
      <c r="F598" s="381">
        <f>54*X2</f>
        <v>57510</v>
      </c>
      <c r="G598" s="288">
        <f>+F598*$X$1</f>
        <v>57510</v>
      </c>
      <c r="H598" s="102">
        <f t="shared" si="1670"/>
        <v>61510</v>
      </c>
      <c r="I598" s="319">
        <f t="shared" si="1671"/>
        <v>61510</v>
      </c>
      <c r="J598" s="102">
        <f t="shared" si="1672"/>
        <v>58320</v>
      </c>
      <c r="K598" s="319">
        <f t="shared" si="1673"/>
        <v>58320</v>
      </c>
      <c r="L598" s="102">
        <f t="shared" si="1674"/>
        <v>58010</v>
      </c>
      <c r="M598" s="319">
        <f t="shared" si="1675"/>
        <v>58010</v>
      </c>
      <c r="N598" s="102">
        <f t="shared" si="1676"/>
        <v>57940</v>
      </c>
      <c r="O598" s="319">
        <f t="shared" si="1677"/>
        <v>57940</v>
      </c>
      <c r="P598" s="102">
        <f t="shared" si="1678"/>
        <v>57900</v>
      </c>
      <c r="Q598" s="319">
        <f t="shared" si="1679"/>
        <v>57900</v>
      </c>
      <c r="R598" s="102">
        <f t="shared" si="1680"/>
        <v>57870</v>
      </c>
      <c r="S598" s="319">
        <f t="shared" si="1681"/>
        <v>57870</v>
      </c>
      <c r="T598" s="102">
        <f t="shared" si="1682"/>
        <v>57830</v>
      </c>
      <c r="U598" s="319">
        <f t="shared" si="1683"/>
        <v>57830</v>
      </c>
      <c r="V598" s="102">
        <f t="shared" si="1684"/>
        <v>57790</v>
      </c>
      <c r="W598" s="319">
        <f t="shared" si="1685"/>
        <v>57790</v>
      </c>
      <c r="X598" s="139"/>
      <c r="Y598" s="134"/>
      <c r="Z598" s="140"/>
      <c r="AA598" s="141"/>
      <c r="AB598" s="404">
        <v>710</v>
      </c>
    </row>
    <row r="599" spans="1:28" ht="12" customHeight="1" x14ac:dyDescent="0.2">
      <c r="A599" s="4"/>
      <c r="B599" s="827" t="s">
        <v>571</v>
      </c>
      <c r="C599" s="828"/>
      <c r="D599" s="828"/>
      <c r="E599" s="829"/>
      <c r="F599" s="380">
        <f>62.42*X2</f>
        <v>66477.3</v>
      </c>
      <c r="G599" s="287">
        <f t="shared" ref="G599" si="1704">+F599*$X$1</f>
        <v>66477.3</v>
      </c>
      <c r="H599" s="103">
        <f>F599+4000</f>
        <v>70477.3</v>
      </c>
      <c r="I599" s="306">
        <f>+H599*$X$1</f>
        <v>70477.3</v>
      </c>
      <c r="J599" s="103">
        <f>F599+810</f>
        <v>67287.3</v>
      </c>
      <c r="K599" s="306">
        <f>+J599*$X$1</f>
        <v>67287.3</v>
      </c>
      <c r="L599" s="103">
        <f>F599+500</f>
        <v>66977.3</v>
      </c>
      <c r="M599" s="306">
        <f>+L599*$X$1</f>
        <v>66977.3</v>
      </c>
      <c r="N599" s="103">
        <f>F599+430</f>
        <v>66907.3</v>
      </c>
      <c r="O599" s="306">
        <f>+N599*$X$1</f>
        <v>66907.3</v>
      </c>
      <c r="P599" s="103">
        <f>F599+390</f>
        <v>66867.3</v>
      </c>
      <c r="Q599" s="306">
        <f>+P599*$X$1</f>
        <v>66867.3</v>
      </c>
      <c r="R599" s="103">
        <f>F599+360</f>
        <v>66837.3</v>
      </c>
      <c r="S599" s="306">
        <f>+R599*$X$1</f>
        <v>66837.3</v>
      </c>
      <c r="T599" s="103">
        <f>F599+320</f>
        <v>66797.3</v>
      </c>
      <c r="U599" s="306">
        <f>+T599*$X$1</f>
        <v>66797.3</v>
      </c>
      <c r="V599" s="103">
        <f>F599+280</f>
        <v>66757.3</v>
      </c>
      <c r="W599" s="306">
        <f>+V599*$X$1</f>
        <v>66757.3</v>
      </c>
      <c r="X599" s="139"/>
      <c r="Y599" s="134"/>
      <c r="Z599" s="140"/>
      <c r="AA599" s="141"/>
      <c r="AB599" s="404">
        <v>711</v>
      </c>
    </row>
    <row r="600" spans="1:28" ht="12" customHeight="1" x14ac:dyDescent="0.2">
      <c r="A600" s="4"/>
      <c r="B600" s="786" t="s">
        <v>602</v>
      </c>
      <c r="C600" s="787"/>
      <c r="D600" s="787"/>
      <c r="E600" s="788"/>
      <c r="F600" s="381">
        <f>59.1*X2</f>
        <v>62941.5</v>
      </c>
      <c r="G600" s="288">
        <f t="shared" ref="G600" si="1705">+F600*$X$1</f>
        <v>62941.5</v>
      </c>
      <c r="H600" s="102">
        <f t="shared" ref="H600:H610" si="1706">F600+4000</f>
        <v>66941.5</v>
      </c>
      <c r="I600" s="319">
        <f t="shared" ref="I600:I610" si="1707">+H600*$X$1</f>
        <v>66941.5</v>
      </c>
      <c r="J600" s="102">
        <f t="shared" ref="J600:J610" si="1708">F600+810</f>
        <v>63751.5</v>
      </c>
      <c r="K600" s="319">
        <f t="shared" ref="K600:K610" si="1709">+J600*$X$1</f>
        <v>63751.5</v>
      </c>
      <c r="L600" s="102">
        <f t="shared" ref="L600:L610" si="1710">F600+500</f>
        <v>63441.5</v>
      </c>
      <c r="M600" s="319">
        <f t="shared" ref="M600:M610" si="1711">+L600*$X$1</f>
        <v>63441.5</v>
      </c>
      <c r="N600" s="102">
        <f t="shared" ref="N600:N610" si="1712">F600+430</f>
        <v>63371.5</v>
      </c>
      <c r="O600" s="319">
        <f t="shared" ref="O600:O610" si="1713">+N600*$X$1</f>
        <v>63371.5</v>
      </c>
      <c r="P600" s="102">
        <f t="shared" ref="P600:P610" si="1714">F600+390</f>
        <v>63331.5</v>
      </c>
      <c r="Q600" s="319">
        <f t="shared" ref="Q600:Q610" si="1715">+P600*$X$1</f>
        <v>63331.5</v>
      </c>
      <c r="R600" s="102">
        <f t="shared" ref="R600:R610" si="1716">F600+360</f>
        <v>63301.5</v>
      </c>
      <c r="S600" s="319">
        <f t="shared" ref="S600:S610" si="1717">+R600*$X$1</f>
        <v>63301.5</v>
      </c>
      <c r="T600" s="102">
        <f t="shared" ref="T600:T610" si="1718">F600+320</f>
        <v>63261.5</v>
      </c>
      <c r="U600" s="319">
        <f t="shared" ref="U600:U610" si="1719">+T600*$X$1</f>
        <v>63261.5</v>
      </c>
      <c r="V600" s="102">
        <f t="shared" ref="V600:V610" si="1720">F600+280</f>
        <v>63221.5</v>
      </c>
      <c r="W600" s="319">
        <f t="shared" ref="W600:W610" si="1721">+V600*$X$1</f>
        <v>63221.5</v>
      </c>
      <c r="X600" s="139"/>
      <c r="Y600" s="134"/>
      <c r="Z600" s="140"/>
      <c r="AA600" s="141"/>
      <c r="AB600" s="404">
        <v>714</v>
      </c>
    </row>
    <row r="601" spans="1:28" ht="12" customHeight="1" x14ac:dyDescent="0.2">
      <c r="A601" s="4"/>
      <c r="B601" s="827" t="s">
        <v>737</v>
      </c>
      <c r="C601" s="828"/>
      <c r="D601" s="828"/>
      <c r="E601" s="829"/>
      <c r="F601" s="380">
        <f>12.4*X2</f>
        <v>13206</v>
      </c>
      <c r="G601" s="287">
        <f t="shared" ref="G601" si="1722">+F601*$X$1</f>
        <v>13206</v>
      </c>
      <c r="H601" s="103">
        <f t="shared" si="1706"/>
        <v>17206</v>
      </c>
      <c r="I601" s="306">
        <f t="shared" si="1707"/>
        <v>17206</v>
      </c>
      <c r="J601" s="103">
        <f t="shared" si="1708"/>
        <v>14016</v>
      </c>
      <c r="K601" s="306">
        <f t="shared" si="1709"/>
        <v>14016</v>
      </c>
      <c r="L601" s="103">
        <f t="shared" si="1710"/>
        <v>13706</v>
      </c>
      <c r="M601" s="306">
        <f t="shared" si="1711"/>
        <v>13706</v>
      </c>
      <c r="N601" s="103">
        <f t="shared" si="1712"/>
        <v>13636</v>
      </c>
      <c r="O601" s="306">
        <f t="shared" si="1713"/>
        <v>13636</v>
      </c>
      <c r="P601" s="103">
        <f t="shared" si="1714"/>
        <v>13596</v>
      </c>
      <c r="Q601" s="306">
        <f t="shared" si="1715"/>
        <v>13596</v>
      </c>
      <c r="R601" s="103">
        <f t="shared" si="1716"/>
        <v>13566</v>
      </c>
      <c r="S601" s="306">
        <f t="shared" si="1717"/>
        <v>13566</v>
      </c>
      <c r="T601" s="103">
        <f t="shared" si="1718"/>
        <v>13526</v>
      </c>
      <c r="U601" s="306">
        <f t="shared" si="1719"/>
        <v>13526</v>
      </c>
      <c r="V601" s="103">
        <f t="shared" si="1720"/>
        <v>13486</v>
      </c>
      <c r="W601" s="306">
        <f t="shared" si="1721"/>
        <v>13486</v>
      </c>
      <c r="X601" s="139"/>
      <c r="Y601" s="134"/>
      <c r="Z601" s="140"/>
      <c r="AA601" s="141"/>
      <c r="AB601" s="404">
        <v>716</v>
      </c>
    </row>
    <row r="602" spans="1:28" ht="12" customHeight="1" x14ac:dyDescent="0.2">
      <c r="A602" s="4"/>
      <c r="B602" s="786" t="s">
        <v>739</v>
      </c>
      <c r="C602" s="787"/>
      <c r="D602" s="787"/>
      <c r="E602" s="788"/>
      <c r="F602" s="381">
        <f>60.16*X2</f>
        <v>64070.399999999994</v>
      </c>
      <c r="G602" s="288">
        <f t="shared" ref="G602" si="1723">+F602*$X$1</f>
        <v>64070.399999999994</v>
      </c>
      <c r="H602" s="102">
        <f t="shared" si="1706"/>
        <v>68070.399999999994</v>
      </c>
      <c r="I602" s="319">
        <f t="shared" si="1707"/>
        <v>68070.399999999994</v>
      </c>
      <c r="J602" s="102">
        <f t="shared" si="1708"/>
        <v>64880.399999999994</v>
      </c>
      <c r="K602" s="319">
        <f t="shared" si="1709"/>
        <v>64880.399999999994</v>
      </c>
      <c r="L602" s="102">
        <f t="shared" si="1710"/>
        <v>64570.399999999994</v>
      </c>
      <c r="M602" s="319">
        <f t="shared" si="1711"/>
        <v>64570.399999999994</v>
      </c>
      <c r="N602" s="102">
        <f t="shared" si="1712"/>
        <v>64500.399999999994</v>
      </c>
      <c r="O602" s="319">
        <f t="shared" si="1713"/>
        <v>64500.399999999994</v>
      </c>
      <c r="P602" s="102">
        <f t="shared" si="1714"/>
        <v>64460.399999999994</v>
      </c>
      <c r="Q602" s="319">
        <f t="shared" si="1715"/>
        <v>64460.399999999994</v>
      </c>
      <c r="R602" s="102">
        <f t="shared" si="1716"/>
        <v>64430.399999999994</v>
      </c>
      <c r="S602" s="319">
        <f t="shared" si="1717"/>
        <v>64430.399999999994</v>
      </c>
      <c r="T602" s="102">
        <f t="shared" si="1718"/>
        <v>64390.399999999994</v>
      </c>
      <c r="U602" s="319">
        <f t="shared" si="1719"/>
        <v>64390.399999999994</v>
      </c>
      <c r="V602" s="102">
        <f t="shared" si="1720"/>
        <v>64350.399999999994</v>
      </c>
      <c r="W602" s="319">
        <f t="shared" si="1721"/>
        <v>64350.399999999994</v>
      </c>
      <c r="X602" s="139"/>
      <c r="Y602" s="134"/>
      <c r="Z602" s="140"/>
      <c r="AA602" s="141"/>
      <c r="AB602" s="404">
        <v>717</v>
      </c>
    </row>
    <row r="603" spans="1:28" ht="12" customHeight="1" x14ac:dyDescent="0.2">
      <c r="A603" s="4"/>
      <c r="B603" s="668" t="s">
        <v>738</v>
      </c>
      <c r="C603" s="669"/>
      <c r="D603" s="669"/>
      <c r="E603" s="670"/>
      <c r="F603" s="380">
        <f>97.31*X2</f>
        <v>103635.15000000001</v>
      </c>
      <c r="G603" s="287">
        <f t="shared" ref="G603" si="1724">+F603*$X$1</f>
        <v>103635.15000000001</v>
      </c>
      <c r="H603" s="103">
        <f t="shared" si="1706"/>
        <v>107635.15000000001</v>
      </c>
      <c r="I603" s="306">
        <f t="shared" si="1707"/>
        <v>107635.15000000001</v>
      </c>
      <c r="J603" s="103">
        <f t="shared" si="1708"/>
        <v>104445.15000000001</v>
      </c>
      <c r="K603" s="306">
        <f t="shared" si="1709"/>
        <v>104445.15000000001</v>
      </c>
      <c r="L603" s="103">
        <f t="shared" si="1710"/>
        <v>104135.15000000001</v>
      </c>
      <c r="M603" s="306">
        <f t="shared" si="1711"/>
        <v>104135.15000000001</v>
      </c>
      <c r="N603" s="103">
        <f t="shared" si="1712"/>
        <v>104065.15000000001</v>
      </c>
      <c r="O603" s="306">
        <f t="shared" si="1713"/>
        <v>104065.15000000001</v>
      </c>
      <c r="P603" s="103">
        <f t="shared" si="1714"/>
        <v>104025.15000000001</v>
      </c>
      <c r="Q603" s="306">
        <f t="shared" si="1715"/>
        <v>104025.15000000001</v>
      </c>
      <c r="R603" s="103">
        <f t="shared" si="1716"/>
        <v>103995.15000000001</v>
      </c>
      <c r="S603" s="306">
        <f t="shared" si="1717"/>
        <v>103995.15000000001</v>
      </c>
      <c r="T603" s="103">
        <f t="shared" si="1718"/>
        <v>103955.15000000001</v>
      </c>
      <c r="U603" s="306">
        <f t="shared" si="1719"/>
        <v>103955.15000000001</v>
      </c>
      <c r="V603" s="103">
        <f t="shared" si="1720"/>
        <v>103915.15000000001</v>
      </c>
      <c r="W603" s="306">
        <f t="shared" si="1721"/>
        <v>103915.15000000001</v>
      </c>
      <c r="X603" s="139"/>
      <c r="Y603" s="134"/>
      <c r="Z603" s="140"/>
      <c r="AA603" s="141"/>
      <c r="AB603" s="404">
        <v>718</v>
      </c>
    </row>
    <row r="604" spans="1:28" ht="12" customHeight="1" x14ac:dyDescent="0.2">
      <c r="A604" s="4"/>
      <c r="B604" s="786" t="s">
        <v>853</v>
      </c>
      <c r="C604" s="787"/>
      <c r="D604" s="787"/>
      <c r="E604" s="788"/>
      <c r="F604" s="381">
        <f>32.96*X2</f>
        <v>35102.400000000001</v>
      </c>
      <c r="G604" s="288">
        <f t="shared" ref="G604" si="1725">+F604*$X$1</f>
        <v>35102.400000000001</v>
      </c>
      <c r="H604" s="102">
        <f t="shared" si="1706"/>
        <v>39102.400000000001</v>
      </c>
      <c r="I604" s="319">
        <f t="shared" si="1707"/>
        <v>39102.400000000001</v>
      </c>
      <c r="J604" s="102">
        <f t="shared" si="1708"/>
        <v>35912.400000000001</v>
      </c>
      <c r="K604" s="319">
        <f t="shared" si="1709"/>
        <v>35912.400000000001</v>
      </c>
      <c r="L604" s="102">
        <f t="shared" si="1710"/>
        <v>35602.400000000001</v>
      </c>
      <c r="M604" s="319">
        <f t="shared" si="1711"/>
        <v>35602.400000000001</v>
      </c>
      <c r="N604" s="102">
        <f t="shared" si="1712"/>
        <v>35532.400000000001</v>
      </c>
      <c r="O604" s="319">
        <f t="shared" si="1713"/>
        <v>35532.400000000001</v>
      </c>
      <c r="P604" s="102">
        <f t="shared" si="1714"/>
        <v>35492.400000000001</v>
      </c>
      <c r="Q604" s="319">
        <f t="shared" si="1715"/>
        <v>35492.400000000001</v>
      </c>
      <c r="R604" s="102">
        <f t="shared" si="1716"/>
        <v>35462.400000000001</v>
      </c>
      <c r="S604" s="319">
        <f t="shared" si="1717"/>
        <v>35462.400000000001</v>
      </c>
      <c r="T604" s="102">
        <f t="shared" si="1718"/>
        <v>35422.400000000001</v>
      </c>
      <c r="U604" s="319">
        <f t="shared" si="1719"/>
        <v>35422.400000000001</v>
      </c>
      <c r="V604" s="102">
        <f t="shared" si="1720"/>
        <v>35382.400000000001</v>
      </c>
      <c r="W604" s="319">
        <f t="shared" si="1721"/>
        <v>35382.400000000001</v>
      </c>
      <c r="X604" s="139"/>
      <c r="Y604" s="134"/>
      <c r="Z604" s="140"/>
      <c r="AA604" s="141"/>
      <c r="AB604" s="404">
        <v>719</v>
      </c>
    </row>
    <row r="605" spans="1:28" ht="12" customHeight="1" x14ac:dyDescent="0.2">
      <c r="A605" s="4"/>
      <c r="B605" s="827" t="s">
        <v>736</v>
      </c>
      <c r="C605" s="828"/>
      <c r="D605" s="828"/>
      <c r="E605" s="829"/>
      <c r="F605" s="380">
        <f>14.3*X2</f>
        <v>15229.5</v>
      </c>
      <c r="G605" s="287">
        <f t="shared" ref="G605" si="1726">+F605*$X$1</f>
        <v>15229.5</v>
      </c>
      <c r="H605" s="103">
        <f t="shared" si="1706"/>
        <v>19229.5</v>
      </c>
      <c r="I605" s="306">
        <f t="shared" si="1707"/>
        <v>19229.5</v>
      </c>
      <c r="J605" s="103">
        <f t="shared" si="1708"/>
        <v>16039.5</v>
      </c>
      <c r="K605" s="306">
        <f t="shared" si="1709"/>
        <v>16039.5</v>
      </c>
      <c r="L605" s="103">
        <f t="shared" si="1710"/>
        <v>15729.5</v>
      </c>
      <c r="M605" s="306">
        <f t="shared" si="1711"/>
        <v>15729.5</v>
      </c>
      <c r="N605" s="103">
        <f t="shared" si="1712"/>
        <v>15659.5</v>
      </c>
      <c r="O605" s="306">
        <f t="shared" si="1713"/>
        <v>15659.5</v>
      </c>
      <c r="P605" s="103">
        <f t="shared" si="1714"/>
        <v>15619.5</v>
      </c>
      <c r="Q605" s="306">
        <f t="shared" si="1715"/>
        <v>15619.5</v>
      </c>
      <c r="R605" s="103">
        <f t="shared" si="1716"/>
        <v>15589.5</v>
      </c>
      <c r="S605" s="306">
        <f t="shared" si="1717"/>
        <v>15589.5</v>
      </c>
      <c r="T605" s="103">
        <f t="shared" si="1718"/>
        <v>15549.5</v>
      </c>
      <c r="U605" s="306">
        <f t="shared" si="1719"/>
        <v>15549.5</v>
      </c>
      <c r="V605" s="103">
        <f t="shared" si="1720"/>
        <v>15509.5</v>
      </c>
      <c r="W605" s="306">
        <f t="shared" si="1721"/>
        <v>15509.5</v>
      </c>
      <c r="X605" s="139"/>
      <c r="Y605" s="134"/>
      <c r="Z605" s="140"/>
      <c r="AA605" s="141"/>
      <c r="AB605" s="404">
        <v>720</v>
      </c>
    </row>
    <row r="606" spans="1:28" ht="12" customHeight="1" x14ac:dyDescent="0.2">
      <c r="A606" s="4"/>
      <c r="B606" s="786" t="s">
        <v>735</v>
      </c>
      <c r="C606" s="787"/>
      <c r="D606" s="787"/>
      <c r="E606" s="788"/>
      <c r="F606" s="381">
        <f>40.98*X2</f>
        <v>43643.7</v>
      </c>
      <c r="G606" s="288">
        <f t="shared" ref="G606" si="1727">+F606*$X$1</f>
        <v>43643.7</v>
      </c>
      <c r="H606" s="102">
        <f t="shared" si="1706"/>
        <v>47643.7</v>
      </c>
      <c r="I606" s="319">
        <f t="shared" si="1707"/>
        <v>47643.7</v>
      </c>
      <c r="J606" s="102">
        <f t="shared" si="1708"/>
        <v>44453.7</v>
      </c>
      <c r="K606" s="319">
        <f t="shared" si="1709"/>
        <v>44453.7</v>
      </c>
      <c r="L606" s="102">
        <f t="shared" si="1710"/>
        <v>44143.7</v>
      </c>
      <c r="M606" s="319">
        <f t="shared" si="1711"/>
        <v>44143.7</v>
      </c>
      <c r="N606" s="102">
        <f t="shared" si="1712"/>
        <v>44073.7</v>
      </c>
      <c r="O606" s="319">
        <f t="shared" si="1713"/>
        <v>44073.7</v>
      </c>
      <c r="P606" s="102">
        <f t="shared" si="1714"/>
        <v>44033.7</v>
      </c>
      <c r="Q606" s="319">
        <f t="shared" si="1715"/>
        <v>44033.7</v>
      </c>
      <c r="R606" s="102">
        <f t="shared" si="1716"/>
        <v>44003.7</v>
      </c>
      <c r="S606" s="319">
        <f t="shared" si="1717"/>
        <v>44003.7</v>
      </c>
      <c r="T606" s="102">
        <f t="shared" si="1718"/>
        <v>43963.7</v>
      </c>
      <c r="U606" s="319">
        <f t="shared" si="1719"/>
        <v>43963.7</v>
      </c>
      <c r="V606" s="102">
        <f t="shared" si="1720"/>
        <v>43923.7</v>
      </c>
      <c r="W606" s="319">
        <f t="shared" si="1721"/>
        <v>43923.7</v>
      </c>
      <c r="X606" s="139"/>
      <c r="Y606" s="134"/>
      <c r="Z606" s="140"/>
      <c r="AA606" s="141"/>
      <c r="AB606" s="404">
        <v>721</v>
      </c>
    </row>
    <row r="607" spans="1:28" ht="12.6" customHeight="1" x14ac:dyDescent="0.2">
      <c r="A607" s="4"/>
      <c r="B607" s="827" t="s">
        <v>869</v>
      </c>
      <c r="C607" s="828"/>
      <c r="D607" s="828"/>
      <c r="E607" s="829"/>
      <c r="F607" s="380">
        <f>5.4*X2</f>
        <v>5751</v>
      </c>
      <c r="G607" s="287">
        <f t="shared" ref="G607" si="1728">+F607*$X$1</f>
        <v>5751</v>
      </c>
      <c r="H607" s="103">
        <f t="shared" si="1706"/>
        <v>9751</v>
      </c>
      <c r="I607" s="306">
        <f t="shared" si="1707"/>
        <v>9751</v>
      </c>
      <c r="J607" s="103">
        <f t="shared" si="1708"/>
        <v>6561</v>
      </c>
      <c r="K607" s="306">
        <f t="shared" si="1709"/>
        <v>6561</v>
      </c>
      <c r="L607" s="103">
        <f t="shared" si="1710"/>
        <v>6251</v>
      </c>
      <c r="M607" s="306">
        <f t="shared" si="1711"/>
        <v>6251</v>
      </c>
      <c r="N607" s="103">
        <f t="shared" si="1712"/>
        <v>6181</v>
      </c>
      <c r="O607" s="306">
        <f t="shared" si="1713"/>
        <v>6181</v>
      </c>
      <c r="P607" s="103">
        <f t="shared" si="1714"/>
        <v>6141</v>
      </c>
      <c r="Q607" s="306">
        <f t="shared" si="1715"/>
        <v>6141</v>
      </c>
      <c r="R607" s="103">
        <f t="shared" si="1716"/>
        <v>6111</v>
      </c>
      <c r="S607" s="306">
        <f t="shared" si="1717"/>
        <v>6111</v>
      </c>
      <c r="T607" s="103">
        <f t="shared" si="1718"/>
        <v>6071</v>
      </c>
      <c r="U607" s="306">
        <f t="shared" si="1719"/>
        <v>6071</v>
      </c>
      <c r="V607" s="103">
        <f t="shared" si="1720"/>
        <v>6031</v>
      </c>
      <c r="W607" s="306">
        <f t="shared" si="1721"/>
        <v>6031</v>
      </c>
      <c r="X607" s="139"/>
      <c r="Y607" s="134"/>
      <c r="Z607" s="140"/>
      <c r="AA607" s="141"/>
      <c r="AB607" s="192">
        <v>741</v>
      </c>
    </row>
    <row r="608" spans="1:28" ht="12" customHeight="1" x14ac:dyDescent="0.2">
      <c r="A608" s="4"/>
      <c r="B608" s="786" t="s">
        <v>630</v>
      </c>
      <c r="C608" s="787"/>
      <c r="D608" s="787"/>
      <c r="E608" s="788"/>
      <c r="F608" s="381">
        <f>19.7*X2</f>
        <v>20980.5</v>
      </c>
      <c r="G608" s="288">
        <f>+F608*$X$1</f>
        <v>20980.5</v>
      </c>
      <c r="H608" s="102">
        <f t="shared" si="1706"/>
        <v>24980.5</v>
      </c>
      <c r="I608" s="319">
        <f t="shared" si="1707"/>
        <v>24980.5</v>
      </c>
      <c r="J608" s="102">
        <f t="shared" si="1708"/>
        <v>21790.5</v>
      </c>
      <c r="K608" s="319">
        <f t="shared" si="1709"/>
        <v>21790.5</v>
      </c>
      <c r="L608" s="102">
        <f t="shared" si="1710"/>
        <v>21480.5</v>
      </c>
      <c r="M608" s="319">
        <f t="shared" si="1711"/>
        <v>21480.5</v>
      </c>
      <c r="N608" s="102">
        <f t="shared" si="1712"/>
        <v>21410.5</v>
      </c>
      <c r="O608" s="319">
        <f t="shared" si="1713"/>
        <v>21410.5</v>
      </c>
      <c r="P608" s="102">
        <f t="shared" si="1714"/>
        <v>21370.5</v>
      </c>
      <c r="Q608" s="319">
        <f t="shared" si="1715"/>
        <v>21370.5</v>
      </c>
      <c r="R608" s="102">
        <f t="shared" si="1716"/>
        <v>21340.5</v>
      </c>
      <c r="S608" s="319">
        <f t="shared" si="1717"/>
        <v>21340.5</v>
      </c>
      <c r="T608" s="102">
        <f t="shared" si="1718"/>
        <v>21300.5</v>
      </c>
      <c r="U608" s="319">
        <f t="shared" si="1719"/>
        <v>21300.5</v>
      </c>
      <c r="V608" s="102">
        <f t="shared" si="1720"/>
        <v>21260.5</v>
      </c>
      <c r="W608" s="319">
        <f t="shared" si="1721"/>
        <v>21260.5</v>
      </c>
      <c r="X608" s="139"/>
      <c r="Y608" s="134"/>
      <c r="Z608" s="140"/>
      <c r="AA608" s="141"/>
      <c r="AB608" s="192">
        <v>742</v>
      </c>
    </row>
    <row r="609" spans="1:34" ht="12" customHeight="1" x14ac:dyDescent="0.2">
      <c r="A609" s="4"/>
      <c r="B609" s="827" t="s">
        <v>631</v>
      </c>
      <c r="C609" s="828"/>
      <c r="D609" s="828"/>
      <c r="E609" s="829"/>
      <c r="F609" s="380">
        <f>20.2*X2</f>
        <v>21513</v>
      </c>
      <c r="G609" s="287">
        <f>+F609*$X$1</f>
        <v>21513</v>
      </c>
      <c r="H609" s="103">
        <f t="shared" si="1706"/>
        <v>25513</v>
      </c>
      <c r="I609" s="306">
        <f t="shared" si="1707"/>
        <v>25513</v>
      </c>
      <c r="J609" s="103">
        <f t="shared" si="1708"/>
        <v>22323</v>
      </c>
      <c r="K609" s="306">
        <f t="shared" si="1709"/>
        <v>22323</v>
      </c>
      <c r="L609" s="103">
        <f t="shared" si="1710"/>
        <v>22013</v>
      </c>
      <c r="M609" s="306">
        <f t="shared" si="1711"/>
        <v>22013</v>
      </c>
      <c r="N609" s="103">
        <f t="shared" si="1712"/>
        <v>21943</v>
      </c>
      <c r="O609" s="306">
        <f t="shared" si="1713"/>
        <v>21943</v>
      </c>
      <c r="P609" s="103">
        <f t="shared" si="1714"/>
        <v>21903</v>
      </c>
      <c r="Q609" s="306">
        <f t="shared" si="1715"/>
        <v>21903</v>
      </c>
      <c r="R609" s="103">
        <f t="shared" si="1716"/>
        <v>21873</v>
      </c>
      <c r="S609" s="306">
        <f t="shared" si="1717"/>
        <v>21873</v>
      </c>
      <c r="T609" s="103">
        <f t="shared" si="1718"/>
        <v>21833</v>
      </c>
      <c r="U609" s="306">
        <f t="shared" si="1719"/>
        <v>21833</v>
      </c>
      <c r="V609" s="103">
        <f t="shared" si="1720"/>
        <v>21793</v>
      </c>
      <c r="W609" s="306">
        <f t="shared" si="1721"/>
        <v>21793</v>
      </c>
      <c r="X609" s="139"/>
      <c r="Y609" s="134"/>
      <c r="Z609" s="140"/>
      <c r="AA609" s="141"/>
      <c r="AB609" s="192">
        <v>743</v>
      </c>
    </row>
    <row r="610" spans="1:34" ht="12" customHeight="1" x14ac:dyDescent="0.2">
      <c r="A610" s="4"/>
      <c r="B610" s="786" t="s">
        <v>710</v>
      </c>
      <c r="C610" s="787"/>
      <c r="D610" s="787"/>
      <c r="E610" s="788"/>
      <c r="F610" s="381">
        <f>17*X2</f>
        <v>18105</v>
      </c>
      <c r="G610" s="288">
        <f t="shared" ref="G610" si="1729">+F610*$X$1</f>
        <v>18105</v>
      </c>
      <c r="H610" s="102">
        <f t="shared" si="1706"/>
        <v>22105</v>
      </c>
      <c r="I610" s="319">
        <f t="shared" si="1707"/>
        <v>22105</v>
      </c>
      <c r="J610" s="102">
        <f t="shared" si="1708"/>
        <v>18915</v>
      </c>
      <c r="K610" s="319">
        <f t="shared" si="1709"/>
        <v>18915</v>
      </c>
      <c r="L610" s="102">
        <f t="shared" si="1710"/>
        <v>18605</v>
      </c>
      <c r="M610" s="319">
        <f t="shared" si="1711"/>
        <v>18605</v>
      </c>
      <c r="N610" s="102">
        <f t="shared" si="1712"/>
        <v>18535</v>
      </c>
      <c r="O610" s="319">
        <f t="shared" si="1713"/>
        <v>18535</v>
      </c>
      <c r="P610" s="102">
        <f t="shared" si="1714"/>
        <v>18495</v>
      </c>
      <c r="Q610" s="319">
        <f t="shared" si="1715"/>
        <v>18495</v>
      </c>
      <c r="R610" s="102">
        <f t="shared" si="1716"/>
        <v>18465</v>
      </c>
      <c r="S610" s="319">
        <f t="shared" si="1717"/>
        <v>18465</v>
      </c>
      <c r="T610" s="102">
        <f t="shared" si="1718"/>
        <v>18425</v>
      </c>
      <c r="U610" s="319">
        <f t="shared" si="1719"/>
        <v>18425</v>
      </c>
      <c r="V610" s="102">
        <f t="shared" si="1720"/>
        <v>18385</v>
      </c>
      <c r="W610" s="319">
        <f t="shared" si="1721"/>
        <v>18385</v>
      </c>
      <c r="X610" s="139"/>
      <c r="Y610" s="134"/>
      <c r="Z610" s="140"/>
      <c r="AA610" s="141"/>
      <c r="AB610" s="192">
        <v>744</v>
      </c>
    </row>
    <row r="611" spans="1:34" ht="12" customHeight="1" x14ac:dyDescent="0.2">
      <c r="A611" s="4"/>
      <c r="B611" s="668" t="s">
        <v>931</v>
      </c>
      <c r="C611" s="669"/>
      <c r="D611" s="669"/>
      <c r="E611" s="670"/>
      <c r="F611" s="380">
        <f>4.9*X2</f>
        <v>5218.5</v>
      </c>
      <c r="G611" s="287">
        <f t="shared" ref="G611" si="1730">+F611*$X$1</f>
        <v>5218.5</v>
      </c>
      <c r="H611" s="103">
        <f t="shared" ref="H611" si="1731">F611+4000</f>
        <v>9218.5</v>
      </c>
      <c r="I611" s="306">
        <f t="shared" ref="I611" si="1732">+H611*$X$1</f>
        <v>9218.5</v>
      </c>
      <c r="J611" s="103">
        <f t="shared" ref="J611" si="1733">F611+810</f>
        <v>6028.5</v>
      </c>
      <c r="K611" s="306">
        <f t="shared" ref="K611" si="1734">+J611*$X$1</f>
        <v>6028.5</v>
      </c>
      <c r="L611" s="103">
        <f t="shared" ref="L611" si="1735">F611+500</f>
        <v>5718.5</v>
      </c>
      <c r="M611" s="306">
        <f t="shared" ref="M611" si="1736">+L611*$X$1</f>
        <v>5718.5</v>
      </c>
      <c r="N611" s="103">
        <f t="shared" ref="N611" si="1737">F611+430</f>
        <v>5648.5</v>
      </c>
      <c r="O611" s="306">
        <f t="shared" ref="O611" si="1738">+N611*$X$1</f>
        <v>5648.5</v>
      </c>
      <c r="P611" s="103">
        <f t="shared" ref="P611" si="1739">F611+390</f>
        <v>5608.5</v>
      </c>
      <c r="Q611" s="306">
        <f t="shared" ref="Q611" si="1740">+P611*$X$1</f>
        <v>5608.5</v>
      </c>
      <c r="R611" s="103">
        <f t="shared" ref="R611" si="1741">F611+360</f>
        <v>5578.5</v>
      </c>
      <c r="S611" s="306">
        <f t="shared" ref="S611" si="1742">+R611*$X$1</f>
        <v>5578.5</v>
      </c>
      <c r="T611" s="103">
        <f t="shared" ref="T611" si="1743">F611+320</f>
        <v>5538.5</v>
      </c>
      <c r="U611" s="306">
        <f t="shared" ref="U611" si="1744">+T611*$X$1</f>
        <v>5538.5</v>
      </c>
      <c r="V611" s="103">
        <f t="shared" ref="V611" si="1745">F611+280</f>
        <v>5498.5</v>
      </c>
      <c r="W611" s="306">
        <f t="shared" ref="W611" si="1746">+V611*$X$1</f>
        <v>5498.5</v>
      </c>
      <c r="X611" s="139"/>
      <c r="Y611" s="134"/>
      <c r="Z611" s="140"/>
      <c r="AA611" s="141"/>
      <c r="AB611" s="192">
        <v>745</v>
      </c>
    </row>
    <row r="612" spans="1:34" ht="12" customHeight="1" x14ac:dyDescent="0.2">
      <c r="A612" s="4"/>
      <c r="B612" s="668" t="s">
        <v>980</v>
      </c>
      <c r="C612" s="669"/>
      <c r="D612" s="669"/>
      <c r="E612" s="670"/>
      <c r="F612" s="381">
        <f>6.49*X2</f>
        <v>6911.85</v>
      </c>
      <c r="G612" s="288">
        <f t="shared" ref="G612:G613" si="1747">+F612*$X$1</f>
        <v>6911.85</v>
      </c>
      <c r="H612" s="102">
        <f t="shared" ref="H612:H613" si="1748">F612+4000</f>
        <v>10911.85</v>
      </c>
      <c r="I612" s="319">
        <f t="shared" ref="I612:I613" si="1749">+H612*$X$1</f>
        <v>10911.85</v>
      </c>
      <c r="J612" s="102">
        <f t="shared" ref="J612:J613" si="1750">F612+810</f>
        <v>7721.85</v>
      </c>
      <c r="K612" s="319">
        <f t="shared" ref="K612:K613" si="1751">+J612*$X$1</f>
        <v>7721.85</v>
      </c>
      <c r="L612" s="102">
        <f t="shared" ref="L612:L613" si="1752">F612+500</f>
        <v>7411.85</v>
      </c>
      <c r="M612" s="319">
        <f t="shared" ref="M612:M613" si="1753">+L612*$X$1</f>
        <v>7411.85</v>
      </c>
      <c r="N612" s="102">
        <f t="shared" ref="N612:N613" si="1754">F612+430</f>
        <v>7341.85</v>
      </c>
      <c r="O612" s="319">
        <f t="shared" ref="O612:O613" si="1755">+N612*$X$1</f>
        <v>7341.85</v>
      </c>
      <c r="P612" s="102">
        <f t="shared" ref="P612:P613" si="1756">F612+390</f>
        <v>7301.85</v>
      </c>
      <c r="Q612" s="319">
        <f t="shared" ref="Q612:Q613" si="1757">+P612*$X$1</f>
        <v>7301.85</v>
      </c>
      <c r="R612" s="102">
        <f t="shared" ref="R612:R613" si="1758">F612+360</f>
        <v>7271.85</v>
      </c>
      <c r="S612" s="319">
        <f t="shared" ref="S612:S613" si="1759">+R612*$X$1</f>
        <v>7271.85</v>
      </c>
      <c r="T612" s="102">
        <f t="shared" ref="T612:T613" si="1760">F612+320</f>
        <v>7231.85</v>
      </c>
      <c r="U612" s="319">
        <f t="shared" ref="U612:U613" si="1761">+T612*$X$1</f>
        <v>7231.85</v>
      </c>
      <c r="V612" s="102">
        <f t="shared" ref="V612:V613" si="1762">F612+280</f>
        <v>7191.85</v>
      </c>
      <c r="W612" s="319">
        <f t="shared" ref="W612:W613" si="1763">+V612*$X$1</f>
        <v>7191.85</v>
      </c>
      <c r="X612" s="139"/>
      <c r="Y612" s="134"/>
      <c r="Z612" s="140"/>
      <c r="AA612" s="141"/>
      <c r="AB612" s="192">
        <v>746</v>
      </c>
    </row>
    <row r="613" spans="1:34" ht="12" customHeight="1" x14ac:dyDescent="0.2">
      <c r="A613" s="4"/>
      <c r="B613" s="668" t="s">
        <v>970</v>
      </c>
      <c r="C613" s="669"/>
      <c r="D613" s="669"/>
      <c r="E613" s="670"/>
      <c r="F613" s="380">
        <f>4.077*X2</f>
        <v>4342.0050000000001</v>
      </c>
      <c r="G613" s="287">
        <f t="shared" si="1747"/>
        <v>4342.0050000000001</v>
      </c>
      <c r="H613" s="103">
        <f t="shared" si="1748"/>
        <v>8342.005000000001</v>
      </c>
      <c r="I613" s="306">
        <f t="shared" si="1749"/>
        <v>8342.005000000001</v>
      </c>
      <c r="J613" s="103">
        <f t="shared" si="1750"/>
        <v>5152.0050000000001</v>
      </c>
      <c r="K613" s="306">
        <f t="shared" si="1751"/>
        <v>5152.0050000000001</v>
      </c>
      <c r="L613" s="103">
        <f t="shared" si="1752"/>
        <v>4842.0050000000001</v>
      </c>
      <c r="M613" s="306">
        <f t="shared" si="1753"/>
        <v>4842.0050000000001</v>
      </c>
      <c r="N613" s="103">
        <f t="shared" si="1754"/>
        <v>4772.0050000000001</v>
      </c>
      <c r="O613" s="306">
        <f t="shared" si="1755"/>
        <v>4772.0050000000001</v>
      </c>
      <c r="P613" s="103">
        <f t="shared" si="1756"/>
        <v>4732.0050000000001</v>
      </c>
      <c r="Q613" s="306">
        <f t="shared" si="1757"/>
        <v>4732.0050000000001</v>
      </c>
      <c r="R613" s="103">
        <f t="shared" si="1758"/>
        <v>4702.0050000000001</v>
      </c>
      <c r="S613" s="306">
        <f t="shared" si="1759"/>
        <v>4702.0050000000001</v>
      </c>
      <c r="T613" s="103">
        <f t="shared" si="1760"/>
        <v>4662.0050000000001</v>
      </c>
      <c r="U613" s="306">
        <f t="shared" si="1761"/>
        <v>4662.0050000000001</v>
      </c>
      <c r="V613" s="103">
        <f t="shared" si="1762"/>
        <v>4622.0050000000001</v>
      </c>
      <c r="W613" s="306">
        <f t="shared" si="1763"/>
        <v>4622.0050000000001</v>
      </c>
      <c r="X613" s="139"/>
      <c r="Y613" s="134"/>
      <c r="Z613" s="140"/>
      <c r="AA613" s="141"/>
      <c r="AB613" s="192">
        <v>760</v>
      </c>
    </row>
    <row r="614" spans="1:34" ht="12" customHeight="1" x14ac:dyDescent="0.2">
      <c r="A614" s="4"/>
      <c r="B614" s="865" t="s">
        <v>605</v>
      </c>
      <c r="C614" s="866"/>
      <c r="D614" s="866"/>
      <c r="E614" s="866"/>
      <c r="F614" s="392"/>
      <c r="G614" s="392"/>
      <c r="H614" s="460">
        <v>1700</v>
      </c>
      <c r="I614" s="288">
        <f t="shared" ref="I614:K614" si="1764">+H614*$X$1</f>
        <v>1700</v>
      </c>
      <c r="J614" s="460">
        <v>810</v>
      </c>
      <c r="K614" s="288">
        <f t="shared" si="1764"/>
        <v>810</v>
      </c>
      <c r="L614" s="460">
        <v>600</v>
      </c>
      <c r="M614" s="288">
        <f t="shared" ref="M614" si="1765">+L614*$X$1</f>
        <v>600</v>
      </c>
      <c r="N614" s="460">
        <v>520</v>
      </c>
      <c r="O614" s="288">
        <f t="shared" ref="O614" si="1766">+N614*$X$1</f>
        <v>520</v>
      </c>
      <c r="P614" s="460">
        <v>480</v>
      </c>
      <c r="Q614" s="288">
        <f t="shared" ref="Q614" si="1767">+P614*$X$1</f>
        <v>480</v>
      </c>
      <c r="R614" s="460">
        <v>430</v>
      </c>
      <c r="S614" s="288">
        <f t="shared" ref="S614" si="1768">+R614*$X$1</f>
        <v>430</v>
      </c>
      <c r="T614" s="460">
        <v>390</v>
      </c>
      <c r="U614" s="288">
        <f t="shared" ref="U614" si="1769">+T614*$X$1</f>
        <v>390</v>
      </c>
      <c r="V614" s="460">
        <v>360</v>
      </c>
      <c r="W614" s="288">
        <f t="shared" ref="W614" si="1770">+V614*$X$1</f>
        <v>360</v>
      </c>
      <c r="X614" s="139"/>
      <c r="Y614" s="134"/>
      <c r="Z614" s="140"/>
      <c r="AA614" s="140"/>
      <c r="AB614" s="39"/>
    </row>
    <row r="615" spans="1:34" ht="15" customHeight="1" x14ac:dyDescent="0.2">
      <c r="A615" s="75"/>
      <c r="B615" s="108"/>
      <c r="C615" s="466"/>
      <c r="D615" s="466"/>
      <c r="E615" s="466"/>
      <c r="F615" s="335"/>
      <c r="G615" s="335"/>
      <c r="H615" s="117"/>
      <c r="I615" s="335"/>
      <c r="J615" s="117"/>
      <c r="K615" s="335"/>
      <c r="L615" s="117"/>
      <c r="M615" s="335"/>
      <c r="N615" s="117"/>
      <c r="O615" s="335"/>
      <c r="P615" s="117"/>
      <c r="Q615" s="335"/>
      <c r="R615" s="117"/>
      <c r="S615" s="335"/>
      <c r="T615" s="117"/>
      <c r="U615" s="335"/>
      <c r="V615" s="117"/>
      <c r="W615" s="335"/>
      <c r="X615" s="200"/>
      <c r="Y615" s="75"/>
      <c r="Z615" s="201"/>
      <c r="AA615" s="201"/>
      <c r="AB615" s="202"/>
    </row>
    <row r="616" spans="1:34" ht="14.25" customHeight="1" x14ac:dyDescent="0.2">
      <c r="B616" s="793" t="s">
        <v>824</v>
      </c>
      <c r="C616" s="794"/>
      <c r="D616" s="794"/>
      <c r="E616" s="794"/>
      <c r="F616" s="794"/>
      <c r="G616" s="794"/>
      <c r="H616" s="794"/>
      <c r="I616" s="794"/>
      <c r="J616" s="794"/>
      <c r="K616" s="794"/>
      <c r="L616" s="794"/>
      <c r="M616" s="794"/>
      <c r="N616" s="794"/>
      <c r="O616" s="794"/>
      <c r="P616" s="794"/>
      <c r="Q616" s="794"/>
      <c r="R616" s="794"/>
      <c r="S616" s="794"/>
      <c r="T616" s="794"/>
      <c r="U616" s="794"/>
      <c r="V616" s="794"/>
      <c r="W616" s="794"/>
      <c r="AB616" s="4"/>
      <c r="AF616" s="789"/>
      <c r="AG616" s="790"/>
      <c r="AH616" s="790"/>
    </row>
    <row r="617" spans="1:34" ht="12" customHeight="1" x14ac:dyDescent="0.2">
      <c r="B617" s="830" t="s">
        <v>11</v>
      </c>
      <c r="C617" s="830" t="s">
        <v>12</v>
      </c>
      <c r="D617" s="831"/>
      <c r="E617" s="831"/>
      <c r="F617" s="709" t="s">
        <v>287</v>
      </c>
      <c r="G617" s="709" t="s">
        <v>13</v>
      </c>
      <c r="H617" s="730" t="s">
        <v>816</v>
      </c>
      <c r="I617" s="730"/>
      <c r="J617" s="731"/>
      <c r="K617" s="731"/>
      <c r="L617" s="731"/>
      <c r="M617" s="731"/>
      <c r="N617" s="731"/>
      <c r="O617" s="731"/>
      <c r="P617" s="731"/>
      <c r="Q617" s="731"/>
      <c r="R617" s="731"/>
      <c r="S617" s="731"/>
      <c r="T617" s="731"/>
      <c r="U617" s="731"/>
      <c r="V617" s="731"/>
      <c r="W617" s="731"/>
      <c r="X617" s="753" t="s">
        <v>14</v>
      </c>
      <c r="Y617" s="754"/>
      <c r="Z617" s="754"/>
      <c r="AA617" s="754"/>
      <c r="AB617" s="791" t="s">
        <v>15</v>
      </c>
      <c r="AF617" s="789"/>
      <c r="AG617" s="790"/>
      <c r="AH617" s="790"/>
    </row>
    <row r="618" spans="1:34" ht="11.25" customHeight="1" x14ac:dyDescent="0.2">
      <c r="B618" s="831"/>
      <c r="C618" s="831"/>
      <c r="D618" s="831"/>
      <c r="E618" s="831"/>
      <c r="F618" s="710"/>
      <c r="G618" s="710"/>
      <c r="H618" s="475"/>
      <c r="I618" s="474" t="s">
        <v>288</v>
      </c>
      <c r="J618" s="475"/>
      <c r="K618" s="474" t="s">
        <v>289</v>
      </c>
      <c r="L618" s="475"/>
      <c r="M618" s="474" t="s">
        <v>567</v>
      </c>
      <c r="N618" s="475"/>
      <c r="O618" s="474" t="s">
        <v>17</v>
      </c>
      <c r="P618" s="475"/>
      <c r="Q618" s="474" t="s">
        <v>18</v>
      </c>
      <c r="R618" s="475"/>
      <c r="S618" s="474" t="s">
        <v>19</v>
      </c>
      <c r="T618" s="475"/>
      <c r="U618" s="474" t="s">
        <v>291</v>
      </c>
      <c r="V618" s="475"/>
      <c r="W618" s="474" t="s">
        <v>20</v>
      </c>
      <c r="X618" s="756"/>
      <c r="Y618" s="757"/>
      <c r="Z618" s="757"/>
      <c r="AA618" s="757"/>
      <c r="AB618" s="792"/>
    </row>
    <row r="619" spans="1:34" ht="12.6" customHeight="1" x14ac:dyDescent="0.2">
      <c r="A619" s="18"/>
      <c r="B619" s="843" t="s">
        <v>546</v>
      </c>
      <c r="C619" s="844"/>
      <c r="D619" s="844"/>
      <c r="E619" s="845"/>
      <c r="F619" s="306">
        <v>3400</v>
      </c>
      <c r="G619" s="255"/>
      <c r="H619" s="103"/>
      <c r="I619" s="306"/>
      <c r="J619" s="586">
        <f>F619+500</f>
        <v>3900</v>
      </c>
      <c r="K619" s="287">
        <f t="shared" ref="K619" si="1771">+J619*$X$1</f>
        <v>3900</v>
      </c>
      <c r="L619" s="586">
        <f t="shared" ref="L619:L629" si="1772">F619+450</f>
        <v>3850</v>
      </c>
      <c r="M619" s="287">
        <f t="shared" ref="M619" si="1773">+L619*$X$1</f>
        <v>3850</v>
      </c>
      <c r="N619" s="586">
        <f t="shared" ref="N619:N629" si="1774">F619+400</f>
        <v>3800</v>
      </c>
      <c r="O619" s="287">
        <f t="shared" ref="O619" si="1775">+N619*$X$1</f>
        <v>3800</v>
      </c>
      <c r="P619" s="586">
        <f t="shared" ref="P619:P629" si="1776">F619+350</f>
        <v>3750</v>
      </c>
      <c r="Q619" s="287">
        <f t="shared" ref="Q619" si="1777">+P619*$X$1</f>
        <v>3750</v>
      </c>
      <c r="R619" s="586">
        <f t="shared" ref="R619:R629" si="1778">F619+310</f>
        <v>3710</v>
      </c>
      <c r="S619" s="287">
        <f t="shared" ref="S619" si="1779">+R619*$X$1</f>
        <v>3710</v>
      </c>
      <c r="T619" s="586">
        <f t="shared" ref="T619:T629" si="1780">F619+280</f>
        <v>3680</v>
      </c>
      <c r="U619" s="287">
        <f t="shared" ref="U619" si="1781">+T619*$X$1</f>
        <v>3680</v>
      </c>
      <c r="V619" s="586">
        <f t="shared" ref="V619:V629" si="1782">F619+250</f>
        <v>3650</v>
      </c>
      <c r="W619" s="287">
        <f t="shared" ref="W619" si="1783">+V619*$X$1</f>
        <v>3650</v>
      </c>
      <c r="X619" s="142"/>
      <c r="Y619" s="143"/>
      <c r="Z619" s="143"/>
      <c r="AA619" s="143"/>
      <c r="AB619" s="418" t="s">
        <v>791</v>
      </c>
    </row>
    <row r="620" spans="1:34" ht="12.6" customHeight="1" x14ac:dyDescent="0.2">
      <c r="A620" s="18"/>
      <c r="B620" s="680" t="s">
        <v>395</v>
      </c>
      <c r="C620" s="681"/>
      <c r="D620" s="681"/>
      <c r="E620" s="682"/>
      <c r="F620" s="288">
        <v>1400</v>
      </c>
      <c r="G620" s="305"/>
      <c r="H620" s="460"/>
      <c r="I620" s="288"/>
      <c r="J620" s="460"/>
      <c r="K620" s="288"/>
      <c r="L620" s="460">
        <f t="shared" si="1772"/>
        <v>1850</v>
      </c>
      <c r="M620" s="288">
        <f t="shared" ref="M620" si="1784">+L620*$X$1</f>
        <v>1850</v>
      </c>
      <c r="N620" s="460">
        <f t="shared" si="1774"/>
        <v>1800</v>
      </c>
      <c r="O620" s="288">
        <f t="shared" ref="O620" si="1785">+N620*$X$1</f>
        <v>1800</v>
      </c>
      <c r="P620" s="460">
        <f t="shared" si="1776"/>
        <v>1750</v>
      </c>
      <c r="Q620" s="288">
        <f t="shared" ref="Q620" si="1786">+P620*$X$1</f>
        <v>1750</v>
      </c>
      <c r="R620" s="460">
        <f t="shared" si="1778"/>
        <v>1710</v>
      </c>
      <c r="S620" s="288">
        <f t="shared" ref="S620" si="1787">+R620*$X$1</f>
        <v>1710</v>
      </c>
      <c r="T620" s="460">
        <f t="shared" si="1780"/>
        <v>1680</v>
      </c>
      <c r="U620" s="288">
        <f t="shared" ref="U620" si="1788">+T620*$X$1</f>
        <v>1680</v>
      </c>
      <c r="V620" s="460">
        <f t="shared" si="1782"/>
        <v>1650</v>
      </c>
      <c r="W620" s="288">
        <f t="shared" ref="W620" si="1789">+V620*$X$1</f>
        <v>1650</v>
      </c>
      <c r="X620" s="142"/>
      <c r="Y620" s="143"/>
      <c r="Z620" s="143"/>
      <c r="AA620" s="143"/>
      <c r="AB620" s="32"/>
    </row>
    <row r="621" spans="1:34" ht="12.6" customHeight="1" x14ac:dyDescent="0.2">
      <c r="A621" s="18"/>
      <c r="B621" s="683" t="s">
        <v>445</v>
      </c>
      <c r="C621" s="684"/>
      <c r="D621" s="684"/>
      <c r="E621" s="685"/>
      <c r="F621" s="306">
        <v>3400</v>
      </c>
      <c r="G621" s="255"/>
      <c r="H621" s="586">
        <f>F621+1000</f>
        <v>4400</v>
      </c>
      <c r="I621" s="287">
        <f t="shared" ref="I621" si="1790">+H621*$X$1</f>
        <v>4400</v>
      </c>
      <c r="J621" s="586">
        <f t="shared" ref="J621:J629" si="1791">F621+500</f>
        <v>3900</v>
      </c>
      <c r="K621" s="287">
        <f t="shared" ref="K621:K629" si="1792">+J621*$X$1</f>
        <v>3900</v>
      </c>
      <c r="L621" s="586">
        <f t="shared" si="1772"/>
        <v>3850</v>
      </c>
      <c r="M621" s="287">
        <f t="shared" ref="M621:M629" si="1793">+L621*$X$1</f>
        <v>3850</v>
      </c>
      <c r="N621" s="586">
        <f t="shared" si="1774"/>
        <v>3800</v>
      </c>
      <c r="O621" s="287">
        <f t="shared" ref="O621:O629" si="1794">+N621*$X$1</f>
        <v>3800</v>
      </c>
      <c r="P621" s="586">
        <f t="shared" si="1776"/>
        <v>3750</v>
      </c>
      <c r="Q621" s="287">
        <f t="shared" ref="Q621:Q629" si="1795">+P621*$X$1</f>
        <v>3750</v>
      </c>
      <c r="R621" s="586">
        <f t="shared" si="1778"/>
        <v>3710</v>
      </c>
      <c r="S621" s="287">
        <f t="shared" ref="S621:S629" si="1796">+R621*$X$1</f>
        <v>3710</v>
      </c>
      <c r="T621" s="586">
        <f t="shared" si="1780"/>
        <v>3680</v>
      </c>
      <c r="U621" s="287">
        <f t="shared" ref="U621:U629" si="1797">+T621*$X$1</f>
        <v>3680</v>
      </c>
      <c r="V621" s="586">
        <f t="shared" si="1782"/>
        <v>3650</v>
      </c>
      <c r="W621" s="287">
        <f t="shared" ref="W621:W629" si="1798">+V621*$X$1</f>
        <v>3650</v>
      </c>
      <c r="X621" s="142"/>
      <c r="Y621" s="143"/>
      <c r="Z621" s="143"/>
      <c r="AA621" s="143"/>
      <c r="AB621" s="404" t="s">
        <v>792</v>
      </c>
    </row>
    <row r="622" spans="1:34" ht="12.6" customHeight="1" x14ac:dyDescent="0.2">
      <c r="A622" s="18"/>
      <c r="B622" s="680" t="s">
        <v>292</v>
      </c>
      <c r="C622" s="691"/>
      <c r="D622" s="691"/>
      <c r="E622" s="692"/>
      <c r="F622" s="319">
        <v>6106</v>
      </c>
      <c r="G622" s="305"/>
      <c r="H622" s="460">
        <f t="shared" ref="H622:H626" si="1799">F622+1000</f>
        <v>7106</v>
      </c>
      <c r="I622" s="288">
        <f t="shared" ref="I622:I626" si="1800">+H622*$X$1</f>
        <v>7106</v>
      </c>
      <c r="J622" s="460">
        <f t="shared" si="1791"/>
        <v>6606</v>
      </c>
      <c r="K622" s="288">
        <f t="shared" si="1792"/>
        <v>6606</v>
      </c>
      <c r="L622" s="460">
        <f t="shared" si="1772"/>
        <v>6556</v>
      </c>
      <c r="M622" s="288">
        <f t="shared" si="1793"/>
        <v>6556</v>
      </c>
      <c r="N622" s="460">
        <f t="shared" si="1774"/>
        <v>6506</v>
      </c>
      <c r="O622" s="288">
        <f t="shared" si="1794"/>
        <v>6506</v>
      </c>
      <c r="P622" s="460">
        <f t="shared" si="1776"/>
        <v>6456</v>
      </c>
      <c r="Q622" s="288">
        <f t="shared" si="1795"/>
        <v>6456</v>
      </c>
      <c r="R622" s="460">
        <f t="shared" si="1778"/>
        <v>6416</v>
      </c>
      <c r="S622" s="288">
        <f t="shared" si="1796"/>
        <v>6416</v>
      </c>
      <c r="T622" s="460">
        <f t="shared" si="1780"/>
        <v>6386</v>
      </c>
      <c r="U622" s="288">
        <f t="shared" si="1797"/>
        <v>6386</v>
      </c>
      <c r="V622" s="460">
        <f t="shared" si="1782"/>
        <v>6356</v>
      </c>
      <c r="W622" s="288">
        <f t="shared" si="1798"/>
        <v>6356</v>
      </c>
      <c r="X622" s="142"/>
      <c r="Y622" s="143"/>
      <c r="Z622" s="143"/>
      <c r="AA622" s="143"/>
      <c r="AB622" s="404" t="s">
        <v>793</v>
      </c>
    </row>
    <row r="623" spans="1:34" ht="12.6" customHeight="1" x14ac:dyDescent="0.2">
      <c r="A623" s="18"/>
      <c r="B623" s="897" t="s">
        <v>293</v>
      </c>
      <c r="C623" s="898"/>
      <c r="D623" s="898"/>
      <c r="E623" s="899"/>
      <c r="F623" s="633">
        <v>2950</v>
      </c>
      <c r="G623" s="255"/>
      <c r="H623" s="586"/>
      <c r="I623" s="287"/>
      <c r="J623" s="586">
        <f t="shared" si="1791"/>
        <v>3450</v>
      </c>
      <c r="K623" s="287">
        <f t="shared" si="1792"/>
        <v>3450</v>
      </c>
      <c r="L623" s="586">
        <f t="shared" si="1772"/>
        <v>3400</v>
      </c>
      <c r="M623" s="287">
        <f t="shared" si="1793"/>
        <v>3400</v>
      </c>
      <c r="N623" s="586">
        <f t="shared" si="1774"/>
        <v>3350</v>
      </c>
      <c r="O623" s="287">
        <f t="shared" si="1794"/>
        <v>3350</v>
      </c>
      <c r="P623" s="586">
        <f t="shared" si="1776"/>
        <v>3300</v>
      </c>
      <c r="Q623" s="287">
        <f t="shared" si="1795"/>
        <v>3300</v>
      </c>
      <c r="R623" s="586">
        <f t="shared" si="1778"/>
        <v>3260</v>
      </c>
      <c r="S623" s="287">
        <f t="shared" si="1796"/>
        <v>3260</v>
      </c>
      <c r="T623" s="586">
        <f t="shared" si="1780"/>
        <v>3230</v>
      </c>
      <c r="U623" s="287">
        <f t="shared" si="1797"/>
        <v>3230</v>
      </c>
      <c r="V623" s="586">
        <f t="shared" si="1782"/>
        <v>3200</v>
      </c>
      <c r="W623" s="287">
        <f t="shared" si="1798"/>
        <v>3200</v>
      </c>
      <c r="X623" s="142"/>
      <c r="Y623" s="143"/>
      <c r="Z623" s="143"/>
      <c r="AA623" s="143"/>
      <c r="AB623" s="404" t="s">
        <v>885</v>
      </c>
    </row>
    <row r="624" spans="1:34" ht="12.6" customHeight="1" x14ac:dyDescent="0.2">
      <c r="A624" s="18"/>
      <c r="B624" s="739" t="s">
        <v>294</v>
      </c>
      <c r="C624" s="749"/>
      <c r="D624" s="749"/>
      <c r="E624" s="749"/>
      <c r="F624" s="288">
        <v>2682</v>
      </c>
      <c r="G624" s="305"/>
      <c r="H624" s="460"/>
      <c r="I624" s="288"/>
      <c r="J624" s="460">
        <f t="shared" si="1791"/>
        <v>3182</v>
      </c>
      <c r="K624" s="288">
        <f t="shared" si="1792"/>
        <v>3182</v>
      </c>
      <c r="L624" s="460">
        <f t="shared" si="1772"/>
        <v>3132</v>
      </c>
      <c r="M624" s="288">
        <f t="shared" si="1793"/>
        <v>3132</v>
      </c>
      <c r="N624" s="460">
        <f t="shared" si="1774"/>
        <v>3082</v>
      </c>
      <c r="O624" s="288">
        <f t="shared" si="1794"/>
        <v>3082</v>
      </c>
      <c r="P624" s="460">
        <f t="shared" si="1776"/>
        <v>3032</v>
      </c>
      <c r="Q624" s="288">
        <f t="shared" si="1795"/>
        <v>3032</v>
      </c>
      <c r="R624" s="460">
        <f t="shared" si="1778"/>
        <v>2992</v>
      </c>
      <c r="S624" s="288">
        <f t="shared" si="1796"/>
        <v>2992</v>
      </c>
      <c r="T624" s="460">
        <f t="shared" si="1780"/>
        <v>2962</v>
      </c>
      <c r="U624" s="288">
        <f t="shared" si="1797"/>
        <v>2962</v>
      </c>
      <c r="V624" s="460">
        <f t="shared" si="1782"/>
        <v>2932</v>
      </c>
      <c r="W624" s="288">
        <f t="shared" si="1798"/>
        <v>2932</v>
      </c>
      <c r="X624" s="142"/>
      <c r="Y624" s="143"/>
      <c r="Z624" s="143"/>
      <c r="AA624" s="143"/>
      <c r="AB624" s="404" t="s">
        <v>794</v>
      </c>
    </row>
    <row r="625" spans="1:28" ht="12.6" customHeight="1" x14ac:dyDescent="0.2">
      <c r="A625" s="18"/>
      <c r="B625" s="723" t="s">
        <v>776</v>
      </c>
      <c r="C625" s="900"/>
      <c r="D625" s="900"/>
      <c r="E625" s="901"/>
      <c r="F625" s="306">
        <v>7526</v>
      </c>
      <c r="G625" s="255"/>
      <c r="H625" s="564">
        <f t="shared" si="1799"/>
        <v>8526</v>
      </c>
      <c r="I625" s="287">
        <f t="shared" si="1800"/>
        <v>8526</v>
      </c>
      <c r="J625" s="564">
        <f t="shared" si="1791"/>
        <v>8026</v>
      </c>
      <c r="K625" s="287">
        <f t="shared" si="1792"/>
        <v>8026</v>
      </c>
      <c r="L625" s="564">
        <f t="shared" si="1772"/>
        <v>7976</v>
      </c>
      <c r="M625" s="287">
        <f t="shared" si="1793"/>
        <v>7976</v>
      </c>
      <c r="N625" s="564">
        <f t="shared" si="1774"/>
        <v>7926</v>
      </c>
      <c r="O625" s="287">
        <f t="shared" si="1794"/>
        <v>7926</v>
      </c>
      <c r="P625" s="564">
        <f t="shared" si="1776"/>
        <v>7876</v>
      </c>
      <c r="Q625" s="287">
        <f t="shared" si="1795"/>
        <v>7876</v>
      </c>
      <c r="R625" s="564">
        <f t="shared" si="1778"/>
        <v>7836</v>
      </c>
      <c r="S625" s="287">
        <f t="shared" si="1796"/>
        <v>7836</v>
      </c>
      <c r="T625" s="564">
        <f t="shared" si="1780"/>
        <v>7806</v>
      </c>
      <c r="U625" s="287">
        <f t="shared" si="1797"/>
        <v>7806</v>
      </c>
      <c r="V625" s="564">
        <f t="shared" si="1782"/>
        <v>7776</v>
      </c>
      <c r="W625" s="287">
        <f t="shared" si="1798"/>
        <v>7776</v>
      </c>
      <c r="X625" s="142"/>
      <c r="Y625" s="143"/>
      <c r="Z625" s="143"/>
      <c r="AA625" s="143"/>
      <c r="AB625" s="32"/>
    </row>
    <row r="626" spans="1:28" ht="12.6" customHeight="1" x14ac:dyDescent="0.2">
      <c r="A626" s="18"/>
      <c r="B626" s="680" t="s">
        <v>504</v>
      </c>
      <c r="C626" s="691"/>
      <c r="D626" s="691"/>
      <c r="E626" s="692"/>
      <c r="F626" s="319">
        <v>7314</v>
      </c>
      <c r="G626" s="305"/>
      <c r="H626" s="460">
        <f t="shared" si="1799"/>
        <v>8314</v>
      </c>
      <c r="I626" s="288">
        <f t="shared" si="1800"/>
        <v>8314</v>
      </c>
      <c r="J626" s="460">
        <f t="shared" si="1791"/>
        <v>7814</v>
      </c>
      <c r="K626" s="288">
        <f t="shared" si="1792"/>
        <v>7814</v>
      </c>
      <c r="L626" s="460">
        <f t="shared" si="1772"/>
        <v>7764</v>
      </c>
      <c r="M626" s="288">
        <f t="shared" si="1793"/>
        <v>7764</v>
      </c>
      <c r="N626" s="460">
        <f t="shared" si="1774"/>
        <v>7714</v>
      </c>
      <c r="O626" s="288">
        <f t="shared" si="1794"/>
        <v>7714</v>
      </c>
      <c r="P626" s="460">
        <f t="shared" si="1776"/>
        <v>7664</v>
      </c>
      <c r="Q626" s="288">
        <f t="shared" si="1795"/>
        <v>7664</v>
      </c>
      <c r="R626" s="460">
        <f t="shared" si="1778"/>
        <v>7624</v>
      </c>
      <c r="S626" s="288">
        <f t="shared" si="1796"/>
        <v>7624</v>
      </c>
      <c r="T626" s="460">
        <f t="shared" si="1780"/>
        <v>7594</v>
      </c>
      <c r="U626" s="288">
        <f t="shared" si="1797"/>
        <v>7594</v>
      </c>
      <c r="V626" s="460">
        <f t="shared" si="1782"/>
        <v>7564</v>
      </c>
      <c r="W626" s="288">
        <f t="shared" si="1798"/>
        <v>7564</v>
      </c>
      <c r="X626" s="142"/>
      <c r="Y626" s="143"/>
      <c r="Z626" s="143"/>
      <c r="AA626" s="143"/>
      <c r="AB626" s="32"/>
    </row>
    <row r="627" spans="1:28" ht="12.6" customHeight="1" x14ac:dyDescent="0.2">
      <c r="A627" s="4"/>
      <c r="B627" s="827" t="s">
        <v>451</v>
      </c>
      <c r="C627" s="684"/>
      <c r="D627" s="684"/>
      <c r="E627" s="685"/>
      <c r="F627" s="287">
        <v>1900</v>
      </c>
      <c r="G627" s="255"/>
      <c r="H627" s="542"/>
      <c r="I627" s="287"/>
      <c r="J627" s="564">
        <f t="shared" si="1791"/>
        <v>2400</v>
      </c>
      <c r="K627" s="287">
        <f t="shared" si="1792"/>
        <v>2400</v>
      </c>
      <c r="L627" s="564">
        <f t="shared" si="1772"/>
        <v>2350</v>
      </c>
      <c r="M627" s="287">
        <f t="shared" si="1793"/>
        <v>2350</v>
      </c>
      <c r="N627" s="564">
        <f t="shared" si="1774"/>
        <v>2300</v>
      </c>
      <c r="O627" s="287">
        <f t="shared" si="1794"/>
        <v>2300</v>
      </c>
      <c r="P627" s="564">
        <f t="shared" si="1776"/>
        <v>2250</v>
      </c>
      <c r="Q627" s="287">
        <f t="shared" si="1795"/>
        <v>2250</v>
      </c>
      <c r="R627" s="564">
        <f t="shared" si="1778"/>
        <v>2210</v>
      </c>
      <c r="S627" s="287">
        <f t="shared" si="1796"/>
        <v>2210</v>
      </c>
      <c r="T627" s="564">
        <f t="shared" si="1780"/>
        <v>2180</v>
      </c>
      <c r="U627" s="287">
        <f t="shared" si="1797"/>
        <v>2180</v>
      </c>
      <c r="V627" s="564">
        <f t="shared" si="1782"/>
        <v>2150</v>
      </c>
      <c r="W627" s="287">
        <f t="shared" si="1798"/>
        <v>2150</v>
      </c>
      <c r="X627" s="142"/>
      <c r="Y627" s="131"/>
      <c r="Z627" s="144"/>
      <c r="AA627" s="144"/>
      <c r="AB627" s="404" t="s">
        <v>450</v>
      </c>
    </row>
    <row r="628" spans="1:28" ht="12.6" customHeight="1" x14ac:dyDescent="0.2">
      <c r="A628" s="4"/>
      <c r="B628" s="786" t="s">
        <v>449</v>
      </c>
      <c r="C628" s="691"/>
      <c r="D628" s="691"/>
      <c r="E628" s="692"/>
      <c r="F628" s="288">
        <v>1900</v>
      </c>
      <c r="G628" s="305"/>
      <c r="H628" s="460"/>
      <c r="I628" s="288"/>
      <c r="J628" s="460">
        <f t="shared" si="1791"/>
        <v>2400</v>
      </c>
      <c r="K628" s="288">
        <f t="shared" si="1792"/>
        <v>2400</v>
      </c>
      <c r="L628" s="460">
        <f t="shared" si="1772"/>
        <v>2350</v>
      </c>
      <c r="M628" s="288">
        <f t="shared" si="1793"/>
        <v>2350</v>
      </c>
      <c r="N628" s="460">
        <f t="shared" si="1774"/>
        <v>2300</v>
      </c>
      <c r="O628" s="288">
        <f t="shared" si="1794"/>
        <v>2300</v>
      </c>
      <c r="P628" s="460">
        <f t="shared" si="1776"/>
        <v>2250</v>
      </c>
      <c r="Q628" s="288">
        <f t="shared" si="1795"/>
        <v>2250</v>
      </c>
      <c r="R628" s="460">
        <f t="shared" si="1778"/>
        <v>2210</v>
      </c>
      <c r="S628" s="288">
        <f t="shared" si="1796"/>
        <v>2210</v>
      </c>
      <c r="T628" s="460">
        <f t="shared" si="1780"/>
        <v>2180</v>
      </c>
      <c r="U628" s="288">
        <f t="shared" si="1797"/>
        <v>2180</v>
      </c>
      <c r="V628" s="460">
        <f t="shared" si="1782"/>
        <v>2150</v>
      </c>
      <c r="W628" s="288">
        <f t="shared" si="1798"/>
        <v>2150</v>
      </c>
      <c r="X628" s="142"/>
      <c r="Y628" s="131"/>
      <c r="Z628" s="144"/>
      <c r="AA628" s="144"/>
      <c r="AB628" s="404" t="s">
        <v>446</v>
      </c>
    </row>
    <row r="629" spans="1:28" ht="12.6" customHeight="1" x14ac:dyDescent="0.2">
      <c r="A629" s="4"/>
      <c r="B629" s="827" t="s">
        <v>447</v>
      </c>
      <c r="C629" s="684"/>
      <c r="D629" s="684"/>
      <c r="E629" s="685"/>
      <c r="F629" s="287">
        <v>2800</v>
      </c>
      <c r="G629" s="255"/>
      <c r="H629" s="542"/>
      <c r="I629" s="287"/>
      <c r="J629" s="564">
        <f t="shared" si="1791"/>
        <v>3300</v>
      </c>
      <c r="K629" s="287">
        <f t="shared" si="1792"/>
        <v>3300</v>
      </c>
      <c r="L629" s="564">
        <f t="shared" si="1772"/>
        <v>3250</v>
      </c>
      <c r="M629" s="287">
        <f t="shared" si="1793"/>
        <v>3250</v>
      </c>
      <c r="N629" s="564">
        <f t="shared" si="1774"/>
        <v>3200</v>
      </c>
      <c r="O629" s="287">
        <f t="shared" si="1794"/>
        <v>3200</v>
      </c>
      <c r="P629" s="564">
        <f t="shared" si="1776"/>
        <v>3150</v>
      </c>
      <c r="Q629" s="287">
        <f t="shared" si="1795"/>
        <v>3150</v>
      </c>
      <c r="R629" s="564">
        <f t="shared" si="1778"/>
        <v>3110</v>
      </c>
      <c r="S629" s="287">
        <f t="shared" si="1796"/>
        <v>3110</v>
      </c>
      <c r="T629" s="564">
        <f t="shared" si="1780"/>
        <v>3080</v>
      </c>
      <c r="U629" s="287">
        <f t="shared" si="1797"/>
        <v>3080</v>
      </c>
      <c r="V629" s="564">
        <f t="shared" si="1782"/>
        <v>3050</v>
      </c>
      <c r="W629" s="287">
        <f t="shared" si="1798"/>
        <v>3050</v>
      </c>
      <c r="X629" s="142"/>
      <c r="Y629" s="131"/>
      <c r="Z629" s="144"/>
      <c r="AA629" s="144"/>
      <c r="AB629" s="404" t="s">
        <v>448</v>
      </c>
    </row>
    <row r="630" spans="1:28" ht="12.6" customHeight="1" x14ac:dyDescent="0.2">
      <c r="A630" s="4"/>
      <c r="B630" s="826" t="s">
        <v>295</v>
      </c>
      <c r="C630" s="690"/>
      <c r="D630" s="690"/>
      <c r="E630" s="690"/>
      <c r="F630" s="93"/>
      <c r="G630" s="94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142"/>
      <c r="Y630" s="131"/>
      <c r="Z630" s="144"/>
      <c r="AA630" s="144"/>
      <c r="AB630" s="404">
        <v>730</v>
      </c>
    </row>
    <row r="631" spans="1:28" ht="12.6" customHeight="1" x14ac:dyDescent="0.2">
      <c r="A631" s="4"/>
      <c r="B631" s="825" t="s">
        <v>296</v>
      </c>
      <c r="C631" s="712"/>
      <c r="D631" s="712"/>
      <c r="E631" s="712"/>
      <c r="F631" s="234"/>
      <c r="G631" s="96"/>
      <c r="H631" s="234"/>
      <c r="I631" s="234"/>
      <c r="J631" s="234"/>
      <c r="K631" s="234"/>
      <c r="L631" s="234"/>
      <c r="M631" s="234"/>
      <c r="N631" s="234"/>
      <c r="O631" s="234"/>
      <c r="P631" s="234"/>
      <c r="Q631" s="234"/>
      <c r="R631" s="234"/>
      <c r="S631" s="234"/>
      <c r="T631" s="234"/>
      <c r="U631" s="234"/>
      <c r="V631" s="234"/>
      <c r="W631" s="234"/>
      <c r="X631" s="142"/>
      <c r="Y631" s="131"/>
      <c r="Z631" s="144"/>
      <c r="AA631" s="144"/>
      <c r="AB631" s="404">
        <v>731</v>
      </c>
    </row>
    <row r="632" spans="1:28" ht="12.6" customHeight="1" x14ac:dyDescent="0.2">
      <c r="A632" s="4"/>
      <c r="B632" s="826" t="s">
        <v>397</v>
      </c>
      <c r="C632" s="690"/>
      <c r="D632" s="690"/>
      <c r="E632" s="690"/>
      <c r="F632" s="93"/>
      <c r="G632" s="94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139"/>
      <c r="Y632" s="134"/>
      <c r="Z632" s="140"/>
      <c r="AA632" s="141"/>
      <c r="AB632" s="404">
        <v>735</v>
      </c>
    </row>
    <row r="633" spans="1:28" ht="12.6" customHeight="1" x14ac:dyDescent="0.2">
      <c r="A633" s="4"/>
      <c r="B633" s="825" t="s">
        <v>396</v>
      </c>
      <c r="C633" s="712"/>
      <c r="D633" s="712"/>
      <c r="E633" s="712"/>
      <c r="F633" s="234"/>
      <c r="G633" s="96"/>
      <c r="H633" s="234"/>
      <c r="I633" s="234"/>
      <c r="J633" s="234"/>
      <c r="K633" s="234"/>
      <c r="L633" s="234"/>
      <c r="M633" s="234"/>
      <c r="N633" s="234"/>
      <c r="O633" s="234"/>
      <c r="P633" s="234"/>
      <c r="Q633" s="234"/>
      <c r="R633" s="234"/>
      <c r="S633" s="234"/>
      <c r="T633" s="234"/>
      <c r="U633" s="234"/>
      <c r="V633" s="234"/>
      <c r="W633" s="234"/>
      <c r="X633" s="139"/>
      <c r="Y633" s="134"/>
      <c r="Z633" s="140"/>
      <c r="AA633" s="141"/>
      <c r="AB633" s="404">
        <v>736</v>
      </c>
    </row>
    <row r="634" spans="1:28" ht="12.6" customHeight="1" x14ac:dyDescent="0.2">
      <c r="A634" s="4"/>
      <c r="B634" s="826" t="s">
        <v>297</v>
      </c>
      <c r="C634" s="704"/>
      <c r="D634" s="704"/>
      <c r="E634" s="704"/>
      <c r="F634" s="100"/>
      <c r="G634" s="94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139"/>
      <c r="Y634" s="134"/>
      <c r="Z634" s="140"/>
      <c r="AA634" s="141"/>
      <c r="AB634" s="404">
        <v>986</v>
      </c>
    </row>
    <row r="635" spans="1:28" ht="12.6" customHeight="1" x14ac:dyDescent="0.2">
      <c r="A635" s="4"/>
      <c r="B635" s="825" t="s">
        <v>412</v>
      </c>
      <c r="C635" s="744"/>
      <c r="D635" s="744"/>
      <c r="E635" s="744"/>
      <c r="F635" s="234"/>
      <c r="G635" s="96"/>
      <c r="H635" s="234"/>
      <c r="I635" s="234"/>
      <c r="J635" s="234"/>
      <c r="K635" s="234"/>
      <c r="L635" s="234"/>
      <c r="M635" s="234"/>
      <c r="N635" s="234"/>
      <c r="O635" s="234"/>
      <c r="P635" s="234"/>
      <c r="Q635" s="234"/>
      <c r="R635" s="234"/>
      <c r="S635" s="234"/>
      <c r="T635" s="234"/>
      <c r="U635" s="234"/>
      <c r="V635" s="234"/>
      <c r="W635" s="234"/>
      <c r="X635" s="139"/>
      <c r="Y635" s="134"/>
      <c r="Z635" s="140"/>
      <c r="AA635" s="141"/>
      <c r="AB635" s="404"/>
    </row>
    <row r="636" spans="1:28" ht="12.6" customHeight="1" x14ac:dyDescent="0.2">
      <c r="A636" s="4"/>
      <c r="B636" s="826" t="s">
        <v>362</v>
      </c>
      <c r="C636" s="704"/>
      <c r="D636" s="704"/>
      <c r="E636" s="704"/>
      <c r="F636" s="100"/>
      <c r="G636" s="94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139"/>
      <c r="Y636" s="134"/>
      <c r="Z636" s="140"/>
      <c r="AA636" s="141"/>
      <c r="AB636" s="404">
        <v>987</v>
      </c>
    </row>
    <row r="637" spans="1:28" ht="12.6" customHeight="1" x14ac:dyDescent="0.2">
      <c r="A637" s="4"/>
      <c r="B637" s="825" t="s">
        <v>413</v>
      </c>
      <c r="C637" s="744"/>
      <c r="D637" s="744"/>
      <c r="E637" s="744"/>
      <c r="F637" s="234"/>
      <c r="G637" s="96"/>
      <c r="H637" s="234"/>
      <c r="I637" s="234"/>
      <c r="J637" s="234"/>
      <c r="K637" s="234"/>
      <c r="L637" s="234"/>
      <c r="M637" s="234"/>
      <c r="N637" s="234"/>
      <c r="O637" s="234"/>
      <c r="P637" s="234"/>
      <c r="Q637" s="234"/>
      <c r="R637" s="234"/>
      <c r="S637" s="234"/>
      <c r="T637" s="234"/>
      <c r="U637" s="234"/>
      <c r="V637" s="234"/>
      <c r="W637" s="234"/>
      <c r="X637" s="139"/>
      <c r="Y637" s="134"/>
      <c r="Z637" s="140"/>
      <c r="AA637" s="141"/>
      <c r="AB637" s="404"/>
    </row>
    <row r="638" spans="1:28" ht="12.6" customHeight="1" x14ac:dyDescent="0.2">
      <c r="A638" s="4"/>
      <c r="B638" s="826" t="s">
        <v>298</v>
      </c>
      <c r="C638" s="690"/>
      <c r="D638" s="690"/>
      <c r="E638" s="690"/>
      <c r="F638" s="93"/>
      <c r="G638" s="94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139"/>
      <c r="Y638" s="134"/>
      <c r="Z638" s="140"/>
      <c r="AA638" s="141"/>
      <c r="AB638" s="404">
        <v>989</v>
      </c>
    </row>
    <row r="639" spans="1:28" ht="12.6" customHeight="1" x14ac:dyDescent="0.2">
      <c r="A639" s="4"/>
      <c r="B639" s="108"/>
      <c r="C639" s="199"/>
      <c r="D639" s="199"/>
      <c r="E639" s="199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200"/>
      <c r="Y639" s="75"/>
      <c r="Z639" s="201"/>
      <c r="AA639" s="201"/>
      <c r="AB639" s="39"/>
    </row>
    <row r="640" spans="1:28" ht="12.6" customHeight="1" x14ac:dyDescent="0.2">
      <c r="A640" s="4"/>
      <c r="B640" s="108"/>
      <c r="C640" s="199"/>
      <c r="D640" s="199"/>
      <c r="E640" s="199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200"/>
      <c r="Y640" s="75"/>
      <c r="Z640" s="201"/>
      <c r="AA640" s="201"/>
      <c r="AB640" s="39"/>
    </row>
    <row r="641" spans="1:38" ht="15.75" customHeight="1" x14ac:dyDescent="0.2">
      <c r="B641" s="793" t="s">
        <v>299</v>
      </c>
      <c r="C641" s="794"/>
      <c r="D641" s="794"/>
      <c r="E641" s="794"/>
      <c r="F641" s="794"/>
      <c r="G641" s="794"/>
      <c r="H641" s="794"/>
      <c r="I641" s="794"/>
      <c r="J641" s="794"/>
      <c r="K641" s="794"/>
      <c r="L641" s="794"/>
      <c r="M641" s="794"/>
      <c r="N641" s="794"/>
      <c r="O641" s="794"/>
      <c r="P641" s="794"/>
      <c r="Q641" s="794"/>
      <c r="R641" s="794"/>
      <c r="S641" s="794"/>
      <c r="T641" s="878"/>
      <c r="U641" s="878"/>
      <c r="V641" s="879"/>
      <c r="W641" s="879"/>
      <c r="AB641" s="4"/>
    </row>
    <row r="642" spans="1:38" ht="14.25" customHeight="1" x14ac:dyDescent="0.2">
      <c r="B642" s="830" t="s">
        <v>11</v>
      </c>
      <c r="C642" s="830" t="s">
        <v>12</v>
      </c>
      <c r="D642" s="831"/>
      <c r="E642" s="831"/>
      <c r="F642" s="709" t="s">
        <v>287</v>
      </c>
      <c r="G642" s="709" t="s">
        <v>13</v>
      </c>
      <c r="H642" s="730" t="s">
        <v>815</v>
      </c>
      <c r="I642" s="730"/>
      <c r="J642" s="731"/>
      <c r="K642" s="731"/>
      <c r="L642" s="731"/>
      <c r="M642" s="731"/>
      <c r="N642" s="731"/>
      <c r="O642" s="731"/>
      <c r="P642" s="731"/>
      <c r="Q642" s="731"/>
      <c r="R642" s="731"/>
      <c r="S642" s="731"/>
      <c r="T642" s="731"/>
      <c r="U642" s="731"/>
      <c r="V642" s="731"/>
      <c r="W642" s="731"/>
      <c r="X642" s="753" t="s">
        <v>14</v>
      </c>
      <c r="Y642" s="810"/>
      <c r="Z642" s="810"/>
      <c r="AA642" s="811"/>
      <c r="AB642" s="791" t="s">
        <v>15</v>
      </c>
      <c r="AF642" s="789" t="s">
        <v>3</v>
      </c>
      <c r="AG642" s="790"/>
      <c r="AH642" s="790"/>
    </row>
    <row r="643" spans="1:38" ht="12" customHeight="1" x14ac:dyDescent="0.2">
      <c r="B643" s="831"/>
      <c r="C643" s="831"/>
      <c r="D643" s="831"/>
      <c r="E643" s="831"/>
      <c r="F643" s="710"/>
      <c r="G643" s="710"/>
      <c r="H643" s="473"/>
      <c r="I643" s="474" t="s">
        <v>565</v>
      </c>
      <c r="J643" s="473"/>
      <c r="K643" s="474" t="s">
        <v>288</v>
      </c>
      <c r="L643" s="474"/>
      <c r="M643" s="474" t="s">
        <v>289</v>
      </c>
      <c r="N643" s="474"/>
      <c r="O643" s="474" t="s">
        <v>290</v>
      </c>
      <c r="P643" s="474"/>
      <c r="Q643" s="474" t="s">
        <v>18</v>
      </c>
      <c r="R643" s="474"/>
      <c r="S643" s="474" t="s">
        <v>19</v>
      </c>
      <c r="T643" s="474"/>
      <c r="U643" s="474" t="s">
        <v>291</v>
      </c>
      <c r="V643" s="474"/>
      <c r="W643" s="474" t="s">
        <v>20</v>
      </c>
      <c r="X643" s="812"/>
      <c r="Y643" s="813"/>
      <c r="Z643" s="813"/>
      <c r="AA643" s="814"/>
      <c r="AB643" s="792"/>
    </row>
    <row r="644" spans="1:38" ht="12.6" customHeight="1" x14ac:dyDescent="0.2">
      <c r="B644" s="815" t="s">
        <v>760</v>
      </c>
      <c r="C644" s="815"/>
      <c r="D644" s="815"/>
      <c r="E644" s="815"/>
      <c r="F644" s="525">
        <f>21.73*X2</f>
        <v>23142.45</v>
      </c>
      <c r="G644" s="306">
        <f>+F644*$X$1</f>
        <v>23142.45</v>
      </c>
      <c r="H644" s="103">
        <f>F644+3000</f>
        <v>26142.45</v>
      </c>
      <c r="I644" s="306">
        <f t="shared" ref="I644" si="1801">+H644*$X$1</f>
        <v>26142.45</v>
      </c>
      <c r="J644" s="71">
        <f>F644+600</f>
        <v>23742.45</v>
      </c>
      <c r="K644" s="287">
        <f>+J644*$X$1</f>
        <v>23742.45</v>
      </c>
      <c r="L644" s="605">
        <f>F644+310</f>
        <v>23452.45</v>
      </c>
      <c r="M644" s="287">
        <f>+L644*$X$1</f>
        <v>23452.45</v>
      </c>
      <c r="N644" s="605">
        <f>F644+250</f>
        <v>23392.45</v>
      </c>
      <c r="O644" s="287">
        <f>+N644*$X$1</f>
        <v>23392.45</v>
      </c>
      <c r="P644" s="605">
        <f>F644+200</f>
        <v>23342.45</v>
      </c>
      <c r="Q644" s="287">
        <f>+P644*$X$1</f>
        <v>23342.45</v>
      </c>
      <c r="R644" s="605">
        <f>F644+170</f>
        <v>23312.45</v>
      </c>
      <c r="S644" s="287">
        <f>+R644*$X$1</f>
        <v>23312.45</v>
      </c>
      <c r="T644" s="605">
        <f>F644+130</f>
        <v>23272.45</v>
      </c>
      <c r="U644" s="287">
        <f>+T644*$X$1</f>
        <v>23272.45</v>
      </c>
      <c r="V644" s="605">
        <f>F644+110</f>
        <v>23252.45</v>
      </c>
      <c r="W644" s="287">
        <f>+V644*$X$1</f>
        <v>23252.45</v>
      </c>
      <c r="X644" s="457"/>
      <c r="Y644" s="136"/>
      <c r="Z644" s="134"/>
      <c r="AA644" s="137"/>
      <c r="AB644" s="424" t="s">
        <v>761</v>
      </c>
    </row>
    <row r="645" spans="1:38" ht="12.6" customHeight="1" x14ac:dyDescent="0.2">
      <c r="B645" s="826" t="s">
        <v>300</v>
      </c>
      <c r="C645" s="826"/>
      <c r="D645" s="826"/>
      <c r="E645" s="826"/>
      <c r="F645" s="453"/>
      <c r="G645" s="460"/>
      <c r="H645" s="105"/>
      <c r="I645" s="105"/>
      <c r="J645" s="460"/>
      <c r="K645" s="460"/>
      <c r="L645" s="460"/>
      <c r="M645" s="460"/>
      <c r="N645" s="115"/>
      <c r="O645" s="460"/>
      <c r="P645" s="460"/>
      <c r="Q645" s="460"/>
      <c r="R645" s="460"/>
      <c r="S645" s="460"/>
      <c r="T645" s="460"/>
      <c r="U645" s="460"/>
      <c r="V645" s="280"/>
      <c r="W645" s="625"/>
      <c r="X645" s="134"/>
      <c r="Y645" s="134"/>
      <c r="Z645" s="134"/>
      <c r="AA645" s="137"/>
      <c r="AB645" s="423" t="s">
        <v>301</v>
      </c>
    </row>
    <row r="646" spans="1:38" ht="12.6" customHeight="1" x14ac:dyDescent="0.2">
      <c r="B646" s="825" t="s">
        <v>302</v>
      </c>
      <c r="C646" s="825"/>
      <c r="D646" s="825"/>
      <c r="E646" s="825"/>
      <c r="F646" s="116"/>
      <c r="G646" s="605"/>
      <c r="H646" s="101"/>
      <c r="I646" s="101"/>
      <c r="J646" s="605"/>
      <c r="K646" s="605"/>
      <c r="L646" s="605"/>
      <c r="M646" s="605"/>
      <c r="N646" s="114"/>
      <c r="O646" s="605"/>
      <c r="P646" s="605"/>
      <c r="Q646" s="605"/>
      <c r="R646" s="605"/>
      <c r="S646" s="605"/>
      <c r="T646" s="605"/>
      <c r="U646" s="605"/>
      <c r="V646" s="281"/>
      <c r="W646" s="626"/>
      <c r="X646" s="134"/>
      <c r="Y646" s="134"/>
      <c r="Z646" s="134"/>
      <c r="AA646" s="137"/>
      <c r="AB646" s="423" t="s">
        <v>303</v>
      </c>
    </row>
    <row r="647" spans="1:38" ht="12.6" customHeight="1" x14ac:dyDescent="0.2">
      <c r="B647" s="826" t="s">
        <v>725</v>
      </c>
      <c r="C647" s="826"/>
      <c r="D647" s="826"/>
      <c r="E647" s="826"/>
      <c r="F647" s="455">
        <f>20.59*X2</f>
        <v>21928.35</v>
      </c>
      <c r="G647" s="288">
        <f>+F647*$X$1</f>
        <v>21928.35</v>
      </c>
      <c r="H647" s="460">
        <f>F647+3000</f>
        <v>24928.35</v>
      </c>
      <c r="I647" s="288">
        <f t="shared" ref="I647" si="1802">+H647*$X$1</f>
        <v>24928.35</v>
      </c>
      <c r="J647" s="460">
        <f>F647+750</f>
        <v>22678.35</v>
      </c>
      <c r="K647" s="288">
        <f t="shared" ref="K647" si="1803">+J647*$X$1</f>
        <v>22678.35</v>
      </c>
      <c r="L647" s="460">
        <f>F647+540</f>
        <v>22468.35</v>
      </c>
      <c r="M647" s="288">
        <f t="shared" ref="M647" si="1804">+L647*$X$1</f>
        <v>22468.35</v>
      </c>
      <c r="N647" s="460">
        <f>F647+400</f>
        <v>22328.35</v>
      </c>
      <c r="O647" s="288">
        <f t="shared" ref="O647" si="1805">+N647*$X$1</f>
        <v>22328.35</v>
      </c>
      <c r="P647" s="460">
        <f>F647+350</f>
        <v>22278.35</v>
      </c>
      <c r="Q647" s="288">
        <f t="shared" ref="Q647" si="1806">+P647*$X$1</f>
        <v>22278.35</v>
      </c>
      <c r="R647" s="460">
        <f>F647+300</f>
        <v>22228.35</v>
      </c>
      <c r="S647" s="288">
        <f t="shared" ref="S647" si="1807">+R647*$X$1</f>
        <v>22228.35</v>
      </c>
      <c r="T647" s="460">
        <f>F647+250</f>
        <v>22178.35</v>
      </c>
      <c r="U647" s="288">
        <f t="shared" ref="U647" si="1808">+T647*$X$1</f>
        <v>22178.35</v>
      </c>
      <c r="V647" s="460">
        <f>F647+200</f>
        <v>22128.35</v>
      </c>
      <c r="W647" s="288">
        <f t="shared" ref="W647" si="1809">+V647*$X$1</f>
        <v>22128.35</v>
      </c>
      <c r="X647" s="450"/>
      <c r="Y647" s="136"/>
      <c r="Z647" s="134"/>
      <c r="AA647" s="137"/>
      <c r="AB647" s="423" t="s">
        <v>726</v>
      </c>
    </row>
    <row r="648" spans="1:38" ht="12.6" customHeight="1" x14ac:dyDescent="0.2">
      <c r="B648" s="825" t="s">
        <v>877</v>
      </c>
      <c r="C648" s="825"/>
      <c r="D648" s="825"/>
      <c r="E648" s="825"/>
      <c r="F648" s="454">
        <f>22.35*X2</f>
        <v>23802.75</v>
      </c>
      <c r="G648" s="287">
        <f>+F648*$X$1</f>
        <v>23802.75</v>
      </c>
      <c r="H648" s="103"/>
      <c r="I648" s="306"/>
      <c r="J648" s="103">
        <f>F648+1100</f>
        <v>24902.75</v>
      </c>
      <c r="K648" s="306">
        <f t="shared" ref="K648:K649" si="1810">+J648*$X$1</f>
        <v>24902.75</v>
      </c>
      <c r="L648" s="103">
        <f>F648+710</f>
        <v>24512.75</v>
      </c>
      <c r="M648" s="306">
        <f t="shared" ref="M648:M649" si="1811">+L648*$X$1</f>
        <v>24512.75</v>
      </c>
      <c r="N648" s="103">
        <f>F648+600</f>
        <v>24402.75</v>
      </c>
      <c r="O648" s="306">
        <f t="shared" ref="O648:O649" si="1812">+N648*$X$1</f>
        <v>24402.75</v>
      </c>
      <c r="P648" s="103">
        <f>F648+530</f>
        <v>24332.75</v>
      </c>
      <c r="Q648" s="306">
        <f t="shared" ref="Q648:Q649" si="1813">+P648*$X$1</f>
        <v>24332.75</v>
      </c>
      <c r="R648" s="103">
        <f>F648+490</f>
        <v>24292.75</v>
      </c>
      <c r="S648" s="306">
        <f t="shared" ref="S648:S649" si="1814">+R648*$X$1</f>
        <v>24292.75</v>
      </c>
      <c r="T648" s="103">
        <f>F648+450</f>
        <v>24252.75</v>
      </c>
      <c r="U648" s="306">
        <f t="shared" ref="U648:U649" si="1815">+T648*$X$1</f>
        <v>24252.75</v>
      </c>
      <c r="V648" s="103">
        <f>F648+400</f>
        <v>24202.75</v>
      </c>
      <c r="W648" s="306">
        <f t="shared" ref="W648:W649" si="1816">+V648*$X$1</f>
        <v>24202.75</v>
      </c>
      <c r="X648" s="522"/>
      <c r="Y648" s="136"/>
      <c r="Z648" s="134"/>
      <c r="AA648" s="137"/>
      <c r="AB648" s="423" t="s">
        <v>876</v>
      </c>
    </row>
    <row r="649" spans="1:38" ht="12.6" customHeight="1" x14ac:dyDescent="0.2">
      <c r="B649" s="997" t="s">
        <v>727</v>
      </c>
      <c r="C649" s="997"/>
      <c r="D649" s="997"/>
      <c r="E649" s="997"/>
      <c r="F649" s="455">
        <f>38.5*X2</f>
        <v>41002.5</v>
      </c>
      <c r="G649" s="288">
        <f>+F649*$X$1</f>
        <v>41002.5</v>
      </c>
      <c r="H649" s="460">
        <f>F649+3000</f>
        <v>44002.5</v>
      </c>
      <c r="I649" s="288">
        <f t="shared" ref="I649" si="1817">+H649*$X$1</f>
        <v>44002.5</v>
      </c>
      <c r="J649" s="460">
        <f>F649+750</f>
        <v>41752.5</v>
      </c>
      <c r="K649" s="288">
        <f t="shared" si="1810"/>
        <v>41752.5</v>
      </c>
      <c r="L649" s="460">
        <f>F649+540</f>
        <v>41542.5</v>
      </c>
      <c r="M649" s="288">
        <f t="shared" si="1811"/>
        <v>41542.5</v>
      </c>
      <c r="N649" s="460">
        <f>F649+400</f>
        <v>41402.5</v>
      </c>
      <c r="O649" s="288">
        <f t="shared" si="1812"/>
        <v>41402.5</v>
      </c>
      <c r="P649" s="460">
        <f>F649+350</f>
        <v>41352.5</v>
      </c>
      <c r="Q649" s="288">
        <f t="shared" si="1813"/>
        <v>41352.5</v>
      </c>
      <c r="R649" s="460">
        <f>F649+300</f>
        <v>41302.5</v>
      </c>
      <c r="S649" s="288">
        <f t="shared" si="1814"/>
        <v>41302.5</v>
      </c>
      <c r="T649" s="460">
        <f>F649+250</f>
        <v>41252.5</v>
      </c>
      <c r="U649" s="288">
        <f t="shared" si="1815"/>
        <v>41252.5</v>
      </c>
      <c r="V649" s="460">
        <f>F649+200</f>
        <v>41202.5</v>
      </c>
      <c r="W649" s="288">
        <f t="shared" si="1816"/>
        <v>41202.5</v>
      </c>
      <c r="X649" s="450"/>
      <c r="Y649" s="136"/>
      <c r="Z649" s="134"/>
      <c r="AA649" s="137"/>
      <c r="AB649" s="423" t="s">
        <v>728</v>
      </c>
    </row>
    <row r="650" spans="1:38" ht="12.6" customHeight="1" x14ac:dyDescent="0.2">
      <c r="B650" s="825" t="s">
        <v>870</v>
      </c>
      <c r="C650" s="825"/>
      <c r="D650" s="825"/>
      <c r="E650" s="825"/>
      <c r="F650" s="454">
        <f>30.6*X2</f>
        <v>32589</v>
      </c>
      <c r="G650" s="287">
        <f>+F650*$X$1</f>
        <v>32589</v>
      </c>
      <c r="H650" s="103">
        <f>F650+5000</f>
        <v>37589</v>
      </c>
      <c r="I650" s="306">
        <f t="shared" ref="I650" si="1818">+H650*$X$1</f>
        <v>37589</v>
      </c>
      <c r="J650" s="103">
        <f>F650+2200</f>
        <v>34789</v>
      </c>
      <c r="K650" s="306">
        <f t="shared" ref="K650" si="1819">+J650*$X$1</f>
        <v>34789</v>
      </c>
      <c r="L650" s="103">
        <f>F650+1900</f>
        <v>34489</v>
      </c>
      <c r="M650" s="306">
        <f t="shared" ref="M650" si="1820">+L650*$X$1</f>
        <v>34489</v>
      </c>
      <c r="N650" s="103">
        <f>F650+1500</f>
        <v>34089</v>
      </c>
      <c r="O650" s="306">
        <f t="shared" ref="O650" si="1821">+N650*$X$1</f>
        <v>34089</v>
      </c>
      <c r="P650" s="103">
        <f>F650+1350</f>
        <v>33939</v>
      </c>
      <c r="Q650" s="306">
        <f t="shared" ref="Q650" si="1822">+P650*$X$1</f>
        <v>33939</v>
      </c>
      <c r="R650" s="103">
        <f>F650+1250</f>
        <v>33839</v>
      </c>
      <c r="S650" s="306">
        <f t="shared" ref="S650" si="1823">+R650*$X$1</f>
        <v>33839</v>
      </c>
      <c r="T650" s="103">
        <f>F650+1100</f>
        <v>33689</v>
      </c>
      <c r="U650" s="306">
        <f t="shared" ref="U650" si="1824">+T650*$X$1</f>
        <v>33689</v>
      </c>
      <c r="V650" s="103">
        <f>F650+900</f>
        <v>33489</v>
      </c>
      <c r="W650" s="306">
        <f t="shared" ref="W650" si="1825">+V650*$X$1</f>
        <v>33489</v>
      </c>
      <c r="X650" s="521"/>
      <c r="Y650" s="136"/>
      <c r="Z650" s="134"/>
      <c r="AA650" s="137"/>
      <c r="AB650" s="423" t="s">
        <v>893</v>
      </c>
    </row>
    <row r="651" spans="1:38" ht="12.6" customHeight="1" x14ac:dyDescent="0.2">
      <c r="B651" s="826" t="s">
        <v>304</v>
      </c>
      <c r="C651" s="826"/>
      <c r="D651" s="826"/>
      <c r="E651" s="826"/>
      <c r="F651" s="453"/>
      <c r="G651" s="460"/>
      <c r="H651" s="105"/>
      <c r="I651" s="105"/>
      <c r="J651" s="460"/>
      <c r="K651" s="460"/>
      <c r="L651" s="460"/>
      <c r="M651" s="460"/>
      <c r="N651" s="460"/>
      <c r="O651" s="460"/>
      <c r="P651" s="115"/>
      <c r="Q651" s="460"/>
      <c r="R651" s="115"/>
      <c r="S651" s="460"/>
      <c r="T651" s="115"/>
      <c r="U651" s="460"/>
      <c r="V651" s="280"/>
      <c r="W651" s="627"/>
      <c r="X651" s="162"/>
      <c r="Y651" s="162"/>
      <c r="Z651" s="162"/>
      <c r="AA651" s="163"/>
      <c r="AB651" s="423" t="s">
        <v>305</v>
      </c>
    </row>
    <row r="652" spans="1:38" ht="12.6" customHeight="1" x14ac:dyDescent="0.2">
      <c r="B652" s="825" t="s">
        <v>306</v>
      </c>
      <c r="C652" s="825"/>
      <c r="D652" s="825"/>
      <c r="E652" s="825"/>
      <c r="F652" s="116"/>
      <c r="G652" s="605"/>
      <c r="H652" s="101"/>
      <c r="I652" s="101"/>
      <c r="J652" s="605"/>
      <c r="K652" s="605"/>
      <c r="L652" s="605"/>
      <c r="M652" s="605"/>
      <c r="N652" s="605"/>
      <c r="O652" s="605"/>
      <c r="P652" s="114"/>
      <c r="Q652" s="605"/>
      <c r="R652" s="114"/>
      <c r="S652" s="605"/>
      <c r="T652" s="114"/>
      <c r="U652" s="605"/>
      <c r="V652" s="628"/>
      <c r="W652" s="629"/>
      <c r="X652" s="162"/>
      <c r="Y652" s="162"/>
      <c r="Z652" s="162"/>
      <c r="AA652" s="163"/>
      <c r="AB652" s="423" t="s">
        <v>307</v>
      </c>
    </row>
    <row r="653" spans="1:38" ht="12.6" customHeight="1" x14ac:dyDescent="0.2">
      <c r="B653" s="826" t="s">
        <v>308</v>
      </c>
      <c r="C653" s="826"/>
      <c r="D653" s="826"/>
      <c r="E653" s="826"/>
      <c r="F653" s="453"/>
      <c r="G653" s="460"/>
      <c r="H653" s="105"/>
      <c r="I653" s="105"/>
      <c r="J653" s="460"/>
      <c r="K653" s="460"/>
      <c r="L653" s="460"/>
      <c r="M653" s="460"/>
      <c r="N653" s="460"/>
      <c r="O653" s="460"/>
      <c r="P653" s="115"/>
      <c r="Q653" s="460"/>
      <c r="R653" s="115"/>
      <c r="S653" s="460"/>
      <c r="T653" s="115"/>
      <c r="U653" s="460"/>
      <c r="V653" s="280"/>
      <c r="W653" s="627"/>
      <c r="X653" s="136"/>
      <c r="Y653" s="136"/>
      <c r="Z653" s="136"/>
      <c r="AA653" s="136"/>
      <c r="AB653" s="423" t="s">
        <v>430</v>
      </c>
    </row>
    <row r="654" spans="1:38" ht="12.6" customHeight="1" x14ac:dyDescent="0.2">
      <c r="B654" s="825" t="s">
        <v>733</v>
      </c>
      <c r="C654" s="825"/>
      <c r="D654" s="825"/>
      <c r="E654" s="825"/>
      <c r="F654" s="454">
        <f>36*X2</f>
        <v>38340</v>
      </c>
      <c r="G654" s="287">
        <f t="shared" ref="G654" si="1826">+F654*$X$1</f>
        <v>38340</v>
      </c>
      <c r="H654" s="605">
        <f>F654+4000</f>
        <v>42340</v>
      </c>
      <c r="I654" s="287">
        <f t="shared" ref="I654" si="1827">+H654*$X$1</f>
        <v>42340</v>
      </c>
      <c r="J654" s="605">
        <f>F654+800</f>
        <v>39140</v>
      </c>
      <c r="K654" s="287">
        <f t="shared" ref="K654" si="1828">+J654*$X$1</f>
        <v>39140</v>
      </c>
      <c r="L654" s="103">
        <f>F654+600</f>
        <v>38940</v>
      </c>
      <c r="M654" s="306">
        <f>+L654*$X$1</f>
        <v>38940</v>
      </c>
      <c r="N654" s="103">
        <f>F654+500</f>
        <v>38840</v>
      </c>
      <c r="O654" s="306">
        <f>+N654*$X$1</f>
        <v>38840</v>
      </c>
      <c r="P654" s="103">
        <f>F654+440</f>
        <v>38780</v>
      </c>
      <c r="Q654" s="306">
        <f>+P654*$X$1</f>
        <v>38780</v>
      </c>
      <c r="R654" s="103">
        <f>F654+400</f>
        <v>38740</v>
      </c>
      <c r="S654" s="306">
        <f>+R654*$X$1</f>
        <v>38740</v>
      </c>
      <c r="T654" s="605">
        <f>F654+370</f>
        <v>38710</v>
      </c>
      <c r="U654" s="287">
        <f t="shared" ref="U654" si="1829">+T654*$X$1</f>
        <v>38710</v>
      </c>
      <c r="V654" s="605">
        <f>F654+340</f>
        <v>38680</v>
      </c>
      <c r="W654" s="287">
        <f t="shared" ref="W654" si="1830">+V654*$X$1</f>
        <v>38680</v>
      </c>
      <c r="X654" s="452"/>
      <c r="Y654" s="136"/>
      <c r="Z654" s="134"/>
      <c r="AA654" s="137"/>
      <c r="AB654" s="423" t="s">
        <v>734</v>
      </c>
    </row>
    <row r="655" spans="1:38" s="1" customFormat="1" ht="12.6" customHeight="1" x14ac:dyDescent="0.2">
      <c r="A655" s="19"/>
      <c r="B655" s="689" t="s">
        <v>203</v>
      </c>
      <c r="C655" s="690"/>
      <c r="D655" s="690"/>
      <c r="E655" s="690"/>
      <c r="F655" s="288"/>
      <c r="G655" s="288"/>
      <c r="H655" s="460"/>
      <c r="I655" s="288"/>
      <c r="J655" s="89"/>
      <c r="K655" s="288"/>
      <c r="L655" s="460"/>
      <c r="M655" s="288"/>
      <c r="N655" s="460"/>
      <c r="O655" s="288"/>
      <c r="P655" s="460"/>
      <c r="Q655" s="288"/>
      <c r="R655" s="460"/>
      <c r="S655" s="288"/>
      <c r="T655" s="460"/>
      <c r="U655" s="288"/>
      <c r="V655" s="460"/>
      <c r="W655" s="288"/>
      <c r="X655" s="686"/>
      <c r="Y655" s="717"/>
      <c r="Z655" s="717"/>
      <c r="AA655" s="688"/>
      <c r="AB655" s="192">
        <v>965</v>
      </c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s="1" customFormat="1" ht="12.6" customHeight="1" x14ac:dyDescent="0.2">
      <c r="A656" s="19"/>
      <c r="B656" s="683" t="s">
        <v>204</v>
      </c>
      <c r="C656" s="684"/>
      <c r="D656" s="684"/>
      <c r="E656" s="685"/>
      <c r="F656" s="287"/>
      <c r="G656" s="287"/>
      <c r="H656" s="285"/>
      <c r="I656" s="343"/>
      <c r="J656" s="71"/>
      <c r="K656" s="287"/>
      <c r="L656" s="316"/>
      <c r="M656" s="287"/>
      <c r="N656" s="316"/>
      <c r="O656" s="287"/>
      <c r="P656" s="316"/>
      <c r="Q656" s="287"/>
      <c r="R656" s="316"/>
      <c r="S656" s="287"/>
      <c r="T656" s="316"/>
      <c r="U656" s="287"/>
      <c r="V656" s="316"/>
      <c r="W656" s="287"/>
      <c r="X656" s="153"/>
      <c r="Y656" s="154"/>
      <c r="Z656" s="154"/>
      <c r="AA656" s="155"/>
      <c r="AB656" s="416">
        <v>967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680" t="s">
        <v>356</v>
      </c>
      <c r="C657" s="691"/>
      <c r="D657" s="691"/>
      <c r="E657" s="692"/>
      <c r="F657" s="288"/>
      <c r="G657" s="288"/>
      <c r="H657" s="460"/>
      <c r="I657" s="288"/>
      <c r="J657" s="89"/>
      <c r="K657" s="288"/>
      <c r="L657" s="460"/>
      <c r="M657" s="288"/>
      <c r="N657" s="460"/>
      <c r="O657" s="288"/>
      <c r="P657" s="460"/>
      <c r="Q657" s="288"/>
      <c r="R657" s="460"/>
      <c r="S657" s="288"/>
      <c r="T657" s="460"/>
      <c r="U657" s="288"/>
      <c r="V657" s="460"/>
      <c r="W657" s="288"/>
      <c r="X657" s="686"/>
      <c r="Y657" s="717"/>
      <c r="Z657" s="717"/>
      <c r="AA657" s="688"/>
      <c r="AB657" s="416">
        <v>968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711" t="s">
        <v>205</v>
      </c>
      <c r="C658" s="712"/>
      <c r="D658" s="712"/>
      <c r="E658" s="712"/>
      <c r="F658" s="287"/>
      <c r="G658" s="287"/>
      <c r="H658" s="640"/>
      <c r="I658" s="287"/>
      <c r="J658" s="71"/>
      <c r="K658" s="287"/>
      <c r="L658" s="640"/>
      <c r="M658" s="287"/>
      <c r="N658" s="640"/>
      <c r="O658" s="287"/>
      <c r="P658" s="640"/>
      <c r="Q658" s="287"/>
      <c r="R658" s="640"/>
      <c r="S658" s="287"/>
      <c r="T658" s="640"/>
      <c r="U658" s="287"/>
      <c r="V658" s="640"/>
      <c r="W658" s="287"/>
      <c r="X658" s="686"/>
      <c r="Y658" s="717"/>
      <c r="Z658" s="717"/>
      <c r="AA658" s="688"/>
      <c r="AB658" s="416">
        <v>969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80" t="s">
        <v>373</v>
      </c>
      <c r="C659" s="691"/>
      <c r="D659" s="691"/>
      <c r="E659" s="692"/>
      <c r="F659" s="288"/>
      <c r="G659" s="288"/>
      <c r="H659" s="100"/>
      <c r="I659" s="288"/>
      <c r="J659" s="89"/>
      <c r="K659" s="288"/>
      <c r="L659" s="460"/>
      <c r="M659" s="288"/>
      <c r="N659" s="460"/>
      <c r="O659" s="288"/>
      <c r="P659" s="460"/>
      <c r="Q659" s="288"/>
      <c r="R659" s="460"/>
      <c r="S659" s="288"/>
      <c r="T659" s="460"/>
      <c r="U659" s="288"/>
      <c r="V659" s="460"/>
      <c r="W659" s="288"/>
      <c r="X659" s="216"/>
      <c r="Y659" s="218"/>
      <c r="Z659" s="218"/>
      <c r="AA659" s="217"/>
      <c r="AB659" s="416" t="s">
        <v>457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711" t="s">
        <v>206</v>
      </c>
      <c r="C660" s="712"/>
      <c r="D660" s="712"/>
      <c r="E660" s="712"/>
      <c r="F660" s="287"/>
      <c r="G660" s="287"/>
      <c r="H660" s="393"/>
      <c r="I660" s="287"/>
      <c r="J660" s="71"/>
      <c r="K660" s="287"/>
      <c r="L660" s="640"/>
      <c r="M660" s="287"/>
      <c r="N660" s="640"/>
      <c r="O660" s="287"/>
      <c r="P660" s="640"/>
      <c r="Q660" s="287"/>
      <c r="R660" s="640"/>
      <c r="S660" s="287"/>
      <c r="T660" s="640"/>
      <c r="U660" s="287"/>
      <c r="V660" s="640"/>
      <c r="W660" s="287"/>
      <c r="X660" s="686"/>
      <c r="Y660" s="717"/>
      <c r="Z660" s="717"/>
      <c r="AA660" s="688"/>
      <c r="AB660" s="416">
        <v>970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89" t="s">
        <v>207</v>
      </c>
      <c r="C661" s="690"/>
      <c r="D661" s="690"/>
      <c r="E661" s="690"/>
      <c r="F661" s="288"/>
      <c r="G661" s="288"/>
      <c r="H661" s="100"/>
      <c r="I661" s="288"/>
      <c r="J661" s="89"/>
      <c r="K661" s="288"/>
      <c r="L661" s="460"/>
      <c r="M661" s="288"/>
      <c r="N661" s="460"/>
      <c r="O661" s="288"/>
      <c r="P661" s="460"/>
      <c r="Q661" s="288"/>
      <c r="R661" s="460"/>
      <c r="S661" s="288"/>
      <c r="T661" s="460"/>
      <c r="U661" s="288"/>
      <c r="V661" s="460"/>
      <c r="W661" s="288"/>
      <c r="X661" s="686"/>
      <c r="Y661" s="717"/>
      <c r="Z661" s="717"/>
      <c r="AA661" s="688"/>
      <c r="AB661" s="416">
        <v>971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83" t="s">
        <v>374</v>
      </c>
      <c r="C662" s="684"/>
      <c r="D662" s="684"/>
      <c r="E662" s="685"/>
      <c r="F662" s="287"/>
      <c r="G662" s="287"/>
      <c r="H662" s="393"/>
      <c r="I662" s="287"/>
      <c r="J662" s="71"/>
      <c r="K662" s="287"/>
      <c r="L662" s="640"/>
      <c r="M662" s="287"/>
      <c r="N662" s="640"/>
      <c r="O662" s="287"/>
      <c r="P662" s="640"/>
      <c r="Q662" s="287"/>
      <c r="R662" s="640"/>
      <c r="S662" s="287"/>
      <c r="T662" s="640"/>
      <c r="U662" s="287"/>
      <c r="V662" s="640"/>
      <c r="W662" s="287"/>
      <c r="X662" s="153"/>
      <c r="Y662" s="154"/>
      <c r="Z662" s="154"/>
      <c r="AA662" s="155"/>
      <c r="AB662" s="416">
        <v>972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89" t="s">
        <v>208</v>
      </c>
      <c r="C663" s="690"/>
      <c r="D663" s="690"/>
      <c r="E663" s="690"/>
      <c r="F663" s="460"/>
      <c r="G663" s="460"/>
      <c r="H663" s="280"/>
      <c r="I663" s="280"/>
      <c r="J663" s="89"/>
      <c r="K663" s="460"/>
      <c r="L663" s="460"/>
      <c r="M663" s="460"/>
      <c r="N663" s="460"/>
      <c r="O663" s="460"/>
      <c r="P663" s="460"/>
      <c r="Q663" s="460"/>
      <c r="R663" s="460"/>
      <c r="S663" s="460"/>
      <c r="T663" s="460"/>
      <c r="U663" s="460"/>
      <c r="V663" s="460"/>
      <c r="W663" s="460"/>
      <c r="X663" s="674"/>
      <c r="Y663" s="718"/>
      <c r="Z663" s="718"/>
      <c r="AA663" s="719"/>
      <c r="AB663" s="192">
        <v>980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711" t="s">
        <v>209</v>
      </c>
      <c r="C664" s="744"/>
      <c r="D664" s="744"/>
      <c r="E664" s="744"/>
      <c r="F664" s="103"/>
      <c r="G664" s="640"/>
      <c r="H664" s="281"/>
      <c r="I664" s="281"/>
      <c r="J664" s="71"/>
      <c r="K664" s="640"/>
      <c r="L664" s="640"/>
      <c r="M664" s="640"/>
      <c r="N664" s="640"/>
      <c r="O664" s="640"/>
      <c r="P664" s="640"/>
      <c r="Q664" s="640"/>
      <c r="R664" s="640"/>
      <c r="S664" s="640"/>
      <c r="T664" s="640"/>
      <c r="U664" s="640"/>
      <c r="V664" s="640"/>
      <c r="W664" s="640"/>
      <c r="X664" s="674"/>
      <c r="Y664" s="718"/>
      <c r="Z664" s="718"/>
      <c r="AA664" s="719"/>
      <c r="AB664" s="192">
        <v>981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80" t="s">
        <v>473</v>
      </c>
      <c r="C665" s="765"/>
      <c r="D665" s="765"/>
      <c r="E665" s="766"/>
      <c r="F665" s="102"/>
      <c r="G665" s="460"/>
      <c r="H665" s="280"/>
      <c r="I665" s="280"/>
      <c r="J665" s="89"/>
      <c r="K665" s="460"/>
      <c r="L665" s="460"/>
      <c r="M665" s="460"/>
      <c r="N665" s="460"/>
      <c r="O665" s="460"/>
      <c r="P665" s="460"/>
      <c r="Q665" s="460"/>
      <c r="R665" s="460"/>
      <c r="S665" s="460"/>
      <c r="T665" s="460"/>
      <c r="U665" s="460"/>
      <c r="V665" s="460"/>
      <c r="W665" s="460"/>
      <c r="X665" s="674"/>
      <c r="Y665" s="718"/>
      <c r="Z665" s="718"/>
      <c r="AA665" s="719"/>
      <c r="AB665" s="192">
        <v>982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683" t="s">
        <v>506</v>
      </c>
      <c r="C666" s="737"/>
      <c r="D666" s="737"/>
      <c r="E666" s="738"/>
      <c r="F666" s="103"/>
      <c r="G666" s="640"/>
      <c r="H666" s="281"/>
      <c r="I666" s="281"/>
      <c r="J666" s="71"/>
      <c r="K666" s="640"/>
      <c r="L666" s="640"/>
      <c r="M666" s="640"/>
      <c r="N666" s="640"/>
      <c r="O666" s="640"/>
      <c r="P666" s="640"/>
      <c r="Q666" s="640"/>
      <c r="R666" s="640"/>
      <c r="S666" s="640"/>
      <c r="T666" s="640"/>
      <c r="U666" s="640"/>
      <c r="V666" s="640"/>
      <c r="W666" s="640"/>
      <c r="X666" s="674"/>
      <c r="Y666" s="718"/>
      <c r="Z666" s="718"/>
      <c r="AA666" s="719"/>
      <c r="AB666" s="192">
        <v>983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680" t="s">
        <v>210</v>
      </c>
      <c r="C667" s="765"/>
      <c r="D667" s="765"/>
      <c r="E667" s="766"/>
      <c r="F667" s="460"/>
      <c r="G667" s="460"/>
      <c r="H667" s="280"/>
      <c r="I667" s="280"/>
      <c r="J667" s="89"/>
      <c r="K667" s="460"/>
      <c r="L667" s="460"/>
      <c r="M667" s="460"/>
      <c r="N667" s="460"/>
      <c r="O667" s="460"/>
      <c r="P667" s="460"/>
      <c r="Q667" s="460"/>
      <c r="R667" s="460"/>
      <c r="S667" s="460"/>
      <c r="T667" s="460"/>
      <c r="U667" s="460"/>
      <c r="V667" s="460"/>
      <c r="W667" s="460"/>
      <c r="X667" s="674"/>
      <c r="Y667" s="718"/>
      <c r="Z667" s="718"/>
      <c r="AA667" s="719"/>
      <c r="AB667" s="192">
        <v>984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683" t="s">
        <v>211</v>
      </c>
      <c r="C668" s="737"/>
      <c r="D668" s="737"/>
      <c r="E668" s="738"/>
      <c r="F668" s="640"/>
      <c r="G668" s="640"/>
      <c r="H668" s="281"/>
      <c r="I668" s="281"/>
      <c r="J668" s="71"/>
      <c r="K668" s="640"/>
      <c r="L668" s="640"/>
      <c r="M668" s="640"/>
      <c r="N668" s="640"/>
      <c r="O668" s="640"/>
      <c r="P668" s="640"/>
      <c r="Q668" s="640"/>
      <c r="R668" s="640"/>
      <c r="S668" s="640"/>
      <c r="T668" s="640"/>
      <c r="U668" s="640"/>
      <c r="V668" s="640"/>
      <c r="W668" s="640"/>
      <c r="X668" s="674"/>
      <c r="Y668" s="718"/>
      <c r="Z668" s="718"/>
      <c r="AA668" s="719"/>
      <c r="AB668" s="192">
        <v>985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671" t="s">
        <v>959</v>
      </c>
      <c r="C669" s="672"/>
      <c r="D669" s="672"/>
      <c r="E669" s="673"/>
      <c r="F669" s="455">
        <f>21.75*X2</f>
        <v>23163.75</v>
      </c>
      <c r="G669" s="288">
        <f>+F669*$X$1</f>
        <v>23163.75</v>
      </c>
      <c r="H669" s="460">
        <f>F669+3000</f>
        <v>26163.75</v>
      </c>
      <c r="I669" s="288">
        <f t="shared" ref="I669" si="1831">+H669*$X$1</f>
        <v>26163.75</v>
      </c>
      <c r="J669" s="460">
        <f>F669+750</f>
        <v>23913.75</v>
      </c>
      <c r="K669" s="288">
        <f t="shared" ref="K669" si="1832">+J669*$X$1</f>
        <v>23913.75</v>
      </c>
      <c r="L669" s="460">
        <f>F669+540</f>
        <v>23703.75</v>
      </c>
      <c r="M669" s="288">
        <f t="shared" ref="M669" si="1833">+L669*$X$1</f>
        <v>23703.75</v>
      </c>
      <c r="N669" s="460">
        <f>F669+400</f>
        <v>23563.75</v>
      </c>
      <c r="O669" s="288">
        <f t="shared" ref="O669" si="1834">+N669*$X$1</f>
        <v>23563.75</v>
      </c>
      <c r="P669" s="460">
        <f>F669+350</f>
        <v>23513.75</v>
      </c>
      <c r="Q669" s="288">
        <f t="shared" ref="Q669" si="1835">+P669*$X$1</f>
        <v>23513.75</v>
      </c>
      <c r="R669" s="460">
        <f>F669+300</f>
        <v>23463.75</v>
      </c>
      <c r="S669" s="288">
        <f t="shared" ref="S669" si="1836">+R669*$X$1</f>
        <v>23463.75</v>
      </c>
      <c r="T669" s="460">
        <f>F669+250</f>
        <v>23413.75</v>
      </c>
      <c r="U669" s="288">
        <f t="shared" ref="U669" si="1837">+T669*$X$1</f>
        <v>23413.75</v>
      </c>
      <c r="V669" s="460">
        <f>F669+200</f>
        <v>23363.75</v>
      </c>
      <c r="W669" s="288">
        <f t="shared" ref="W669" si="1838">+V669*$X$1</f>
        <v>23363.75</v>
      </c>
      <c r="X669" s="686"/>
      <c r="Y669" s="687"/>
      <c r="Z669" s="687"/>
      <c r="AA669" s="688"/>
      <c r="AB669" s="192">
        <v>990</v>
      </c>
      <c r="AC669" s="4"/>
      <c r="AD669" s="4"/>
      <c r="AE669" s="4"/>
      <c r="AF669" s="4"/>
      <c r="AG669" s="4"/>
      <c r="AH669" s="128"/>
      <c r="AI669" s="4"/>
      <c r="AJ669" s="4"/>
      <c r="AK669" s="4"/>
      <c r="AL669" s="4"/>
    </row>
    <row r="670" spans="1:38" ht="12.6" customHeight="1" x14ac:dyDescent="0.2">
      <c r="B670" s="825" t="s">
        <v>730</v>
      </c>
      <c r="C670" s="825"/>
      <c r="D670" s="825"/>
      <c r="E670" s="825"/>
      <c r="F670" s="454">
        <f>23*X2</f>
        <v>24495</v>
      </c>
      <c r="G670" s="287">
        <f>+F670*$X$1</f>
        <v>24495</v>
      </c>
      <c r="H670" s="640">
        <f>F670+3500</f>
        <v>27995</v>
      </c>
      <c r="I670" s="287">
        <f t="shared" ref="I670:I671" si="1839">+H670*$X$1</f>
        <v>27995</v>
      </c>
      <c r="J670" s="640">
        <f>F670+1100</f>
        <v>25595</v>
      </c>
      <c r="K670" s="287">
        <f t="shared" ref="K670:K671" si="1840">+J670*$X$1</f>
        <v>25595</v>
      </c>
      <c r="L670" s="640">
        <f>F670+800</f>
        <v>25295</v>
      </c>
      <c r="M670" s="287">
        <f t="shared" ref="M670:M671" si="1841">+L670*$X$1</f>
        <v>25295</v>
      </c>
      <c r="N670" s="640">
        <f>F670+600</f>
        <v>25095</v>
      </c>
      <c r="O670" s="287">
        <f t="shared" ref="O670:O671" si="1842">+N670*$X$1</f>
        <v>25095</v>
      </c>
      <c r="P670" s="640">
        <f>F670+500</f>
        <v>24995</v>
      </c>
      <c r="Q670" s="287">
        <f t="shared" ref="Q670:Q671" si="1843">+P670*$X$1</f>
        <v>24995</v>
      </c>
      <c r="R670" s="640">
        <f>F670+410</f>
        <v>24905</v>
      </c>
      <c r="S670" s="287">
        <f t="shared" ref="S670:S671" si="1844">+R670*$X$1</f>
        <v>24905</v>
      </c>
      <c r="T670" s="640">
        <f>F670+350</f>
        <v>24845</v>
      </c>
      <c r="U670" s="287">
        <f t="shared" ref="U670:U671" si="1845">+T670*$X$1</f>
        <v>24845</v>
      </c>
      <c r="V670" s="640">
        <f>F670+290</f>
        <v>24785</v>
      </c>
      <c r="W670" s="287">
        <f t="shared" ref="W670:W671" si="1846">+V670*$X$1</f>
        <v>24785</v>
      </c>
      <c r="X670" s="452"/>
      <c r="Y670" s="136"/>
      <c r="Z670" s="134"/>
      <c r="AA670" s="137"/>
      <c r="AB670" s="423" t="s">
        <v>729</v>
      </c>
    </row>
    <row r="671" spans="1:38" s="1" customFormat="1" ht="12.6" customHeight="1" x14ac:dyDescent="0.2">
      <c r="A671" s="19"/>
      <c r="B671" s="671" t="s">
        <v>933</v>
      </c>
      <c r="C671" s="672"/>
      <c r="D671" s="672"/>
      <c r="E671" s="673"/>
      <c r="F671" s="455">
        <f>18.44*X2</f>
        <v>19638.600000000002</v>
      </c>
      <c r="G671" s="288">
        <f>+F671*$X$1</f>
        <v>19638.600000000002</v>
      </c>
      <c r="H671" s="460">
        <f>F671+3000</f>
        <v>22638.600000000002</v>
      </c>
      <c r="I671" s="288">
        <f t="shared" si="1839"/>
        <v>22638.600000000002</v>
      </c>
      <c r="J671" s="460">
        <f>F671+750</f>
        <v>20388.600000000002</v>
      </c>
      <c r="K671" s="288">
        <f t="shared" si="1840"/>
        <v>20388.600000000002</v>
      </c>
      <c r="L671" s="460">
        <f>F671+540</f>
        <v>20178.600000000002</v>
      </c>
      <c r="M671" s="288">
        <f t="shared" si="1841"/>
        <v>20178.600000000002</v>
      </c>
      <c r="N671" s="460">
        <f>F671+400</f>
        <v>20038.600000000002</v>
      </c>
      <c r="O671" s="288">
        <f t="shared" si="1842"/>
        <v>20038.600000000002</v>
      </c>
      <c r="P671" s="460">
        <f>F671+350</f>
        <v>19988.600000000002</v>
      </c>
      <c r="Q671" s="288">
        <f t="shared" si="1843"/>
        <v>19988.600000000002</v>
      </c>
      <c r="R671" s="460">
        <f>F671+300</f>
        <v>19938.600000000002</v>
      </c>
      <c r="S671" s="288">
        <f t="shared" si="1844"/>
        <v>19938.600000000002</v>
      </c>
      <c r="T671" s="460">
        <f>F671+250</f>
        <v>19888.600000000002</v>
      </c>
      <c r="U671" s="288">
        <f t="shared" si="1845"/>
        <v>19888.600000000002</v>
      </c>
      <c r="V671" s="460">
        <f>F671+200</f>
        <v>19838.600000000002</v>
      </c>
      <c r="W671" s="288">
        <f t="shared" si="1846"/>
        <v>19838.600000000002</v>
      </c>
      <c r="X671" s="686"/>
      <c r="Y671" s="687"/>
      <c r="Z671" s="687"/>
      <c r="AA671" s="688"/>
      <c r="AB671" s="192">
        <v>993</v>
      </c>
      <c r="AC671" s="4"/>
      <c r="AD671" s="4"/>
      <c r="AE671" s="4"/>
      <c r="AF671" s="4"/>
      <c r="AG671" s="4"/>
      <c r="AH671" s="128"/>
      <c r="AI671" s="4"/>
      <c r="AJ671" s="4"/>
      <c r="AK671" s="4"/>
      <c r="AL671" s="4"/>
    </row>
    <row r="672" spans="1:38" ht="12.6" customHeight="1" x14ac:dyDescent="0.2">
      <c r="B672" s="825" t="s">
        <v>878</v>
      </c>
      <c r="C672" s="825"/>
      <c r="D672" s="825"/>
      <c r="E672" s="825"/>
      <c r="F672" s="454">
        <f>23.6*X2</f>
        <v>25134</v>
      </c>
      <c r="G672" s="287">
        <f t="shared" ref="G672" si="1847">+F672*$X$1</f>
        <v>25134</v>
      </c>
      <c r="H672" s="640">
        <f>F672+3000</f>
        <v>28134</v>
      </c>
      <c r="I672" s="287">
        <f t="shared" ref="I672:I673" si="1848">+H672*$X$1</f>
        <v>28134</v>
      </c>
      <c r="J672" s="640">
        <f>F672+750</f>
        <v>25884</v>
      </c>
      <c r="K672" s="287">
        <f t="shared" ref="K672:K673" si="1849">+J672*$X$1</f>
        <v>25884</v>
      </c>
      <c r="L672" s="640">
        <f>F672+540</f>
        <v>25674</v>
      </c>
      <c r="M672" s="287">
        <f t="shared" ref="M672:M673" si="1850">+L672*$X$1</f>
        <v>25674</v>
      </c>
      <c r="N672" s="640">
        <f>F672+400</f>
        <v>25534</v>
      </c>
      <c r="O672" s="287">
        <f t="shared" ref="O672:O673" si="1851">+N672*$X$1</f>
        <v>25534</v>
      </c>
      <c r="P672" s="640">
        <f>F672+350</f>
        <v>25484</v>
      </c>
      <c r="Q672" s="287">
        <f t="shared" ref="Q672:Q673" si="1852">+P672*$X$1</f>
        <v>25484</v>
      </c>
      <c r="R672" s="640">
        <f>F672+300</f>
        <v>25434</v>
      </c>
      <c r="S672" s="287">
        <f t="shared" ref="S672:S673" si="1853">+R672*$X$1</f>
        <v>25434</v>
      </c>
      <c r="T672" s="640">
        <f>F672+250</f>
        <v>25384</v>
      </c>
      <c r="U672" s="287">
        <f t="shared" ref="U672:U673" si="1854">+T672*$X$1</f>
        <v>25384</v>
      </c>
      <c r="V672" s="640">
        <f>F672+200</f>
        <v>25334</v>
      </c>
      <c r="W672" s="287">
        <f t="shared" ref="W672:W673" si="1855">+V672*$X$1</f>
        <v>25334</v>
      </c>
      <c r="X672" s="522"/>
      <c r="Y672" s="136"/>
      <c r="Z672" s="134"/>
      <c r="AA672" s="137"/>
      <c r="AB672" s="423" t="s">
        <v>879</v>
      </c>
    </row>
    <row r="673" spans="1:38" ht="12.6" customHeight="1" x14ac:dyDescent="0.2">
      <c r="B673" s="826" t="s">
        <v>731</v>
      </c>
      <c r="C673" s="826"/>
      <c r="D673" s="826"/>
      <c r="E673" s="826"/>
      <c r="F673" s="455">
        <f>36.297*X2</f>
        <v>38656.305</v>
      </c>
      <c r="G673" s="288">
        <f t="shared" ref="G673:G681" si="1856">+F673*$X$1</f>
        <v>38656.305</v>
      </c>
      <c r="H673" s="460">
        <f>F673+3500</f>
        <v>42156.305</v>
      </c>
      <c r="I673" s="288">
        <f t="shared" si="1848"/>
        <v>42156.305</v>
      </c>
      <c r="J673" s="460">
        <f>F673+1100</f>
        <v>39756.305</v>
      </c>
      <c r="K673" s="288">
        <f t="shared" si="1849"/>
        <v>39756.305</v>
      </c>
      <c r="L673" s="460">
        <f>F673+800</f>
        <v>39456.305</v>
      </c>
      <c r="M673" s="288">
        <f t="shared" si="1850"/>
        <v>39456.305</v>
      </c>
      <c r="N673" s="460">
        <f>F673+600</f>
        <v>39256.305</v>
      </c>
      <c r="O673" s="288">
        <f t="shared" si="1851"/>
        <v>39256.305</v>
      </c>
      <c r="P673" s="460">
        <f>F673+500</f>
        <v>39156.305</v>
      </c>
      <c r="Q673" s="288">
        <f t="shared" si="1852"/>
        <v>39156.305</v>
      </c>
      <c r="R673" s="460">
        <f>F673+410</f>
        <v>39066.305</v>
      </c>
      <c r="S673" s="288">
        <f t="shared" si="1853"/>
        <v>39066.305</v>
      </c>
      <c r="T673" s="460">
        <f>F673+350</f>
        <v>39006.305</v>
      </c>
      <c r="U673" s="288">
        <f t="shared" si="1854"/>
        <v>39006.305</v>
      </c>
      <c r="V673" s="460">
        <f>F673+290</f>
        <v>38946.305</v>
      </c>
      <c r="W673" s="288">
        <f t="shared" si="1855"/>
        <v>38946.305</v>
      </c>
      <c r="X673" s="452"/>
      <c r="Y673" s="136"/>
      <c r="Z673" s="134"/>
      <c r="AA673" s="137"/>
      <c r="AB673" s="423" t="s">
        <v>732</v>
      </c>
    </row>
    <row r="674" spans="1:38" s="1" customFormat="1" ht="12.6" customHeight="1" x14ac:dyDescent="0.2">
      <c r="A674" s="19"/>
      <c r="B674" s="683" t="s">
        <v>558</v>
      </c>
      <c r="C674" s="684"/>
      <c r="D674" s="684"/>
      <c r="E674" s="685"/>
      <c r="F674" s="456">
        <v>9116</v>
      </c>
      <c r="G674" s="289">
        <f t="shared" si="1856"/>
        <v>9116</v>
      </c>
      <c r="H674" s="640">
        <f>F674+2500</f>
        <v>11616</v>
      </c>
      <c r="I674" s="287">
        <f t="shared" ref="I674" si="1857">+H674*$X$1</f>
        <v>11616</v>
      </c>
      <c r="J674" s="71">
        <f>F674+600</f>
        <v>9716</v>
      </c>
      <c r="K674" s="287">
        <f>+J674*$X$1</f>
        <v>9716</v>
      </c>
      <c r="L674" s="640">
        <f>F674+310</f>
        <v>9426</v>
      </c>
      <c r="M674" s="287">
        <f>+L674*$X$1</f>
        <v>9426</v>
      </c>
      <c r="N674" s="640">
        <f>F674+250</f>
        <v>9366</v>
      </c>
      <c r="O674" s="287">
        <f>+N674*$X$1</f>
        <v>9366</v>
      </c>
      <c r="P674" s="640">
        <f>F674+200</f>
        <v>9316</v>
      </c>
      <c r="Q674" s="287">
        <f>+P674*$X$1</f>
        <v>9316</v>
      </c>
      <c r="R674" s="640">
        <f>F674+170</f>
        <v>9286</v>
      </c>
      <c r="S674" s="287">
        <f>+R674*$X$1</f>
        <v>9286</v>
      </c>
      <c r="T674" s="640">
        <f>F674+130</f>
        <v>9246</v>
      </c>
      <c r="U674" s="287">
        <f>+T674*$X$1</f>
        <v>9246</v>
      </c>
      <c r="V674" s="640">
        <f>F674+110</f>
        <v>9226</v>
      </c>
      <c r="W674" s="287">
        <f>+V674*$X$1</f>
        <v>9226</v>
      </c>
      <c r="X674" s="686"/>
      <c r="Y674" s="687"/>
      <c r="Z674" s="687"/>
      <c r="AA674" s="688"/>
      <c r="AB674" s="192">
        <v>1010</v>
      </c>
      <c r="AC674" s="4"/>
      <c r="AD674" s="4"/>
      <c r="AE674" s="4"/>
      <c r="AF674" s="4"/>
      <c r="AG674" s="4"/>
      <c r="AH674" s="128"/>
      <c r="AI674" s="4"/>
      <c r="AJ674" s="4"/>
      <c r="AK674" s="4"/>
      <c r="AL674" s="4"/>
    </row>
    <row r="675" spans="1:38" s="1" customFormat="1" ht="12.6" customHeight="1" x14ac:dyDescent="0.2">
      <c r="A675" s="19"/>
      <c r="B675" s="680" t="s">
        <v>559</v>
      </c>
      <c r="C675" s="691"/>
      <c r="D675" s="691"/>
      <c r="E675" s="692"/>
      <c r="F675" s="329">
        <v>20824</v>
      </c>
      <c r="G675" s="288">
        <f t="shared" si="1856"/>
        <v>20824</v>
      </c>
      <c r="H675" s="460">
        <f>F675+2500</f>
        <v>23324</v>
      </c>
      <c r="I675" s="288">
        <f t="shared" ref="I675" si="1858">+H675*$X$1</f>
        <v>23324</v>
      </c>
      <c r="J675" s="89">
        <f>F675+600</f>
        <v>21424</v>
      </c>
      <c r="K675" s="288">
        <f>+J675*$X$1</f>
        <v>21424</v>
      </c>
      <c r="L675" s="460">
        <f>F675+310</f>
        <v>21134</v>
      </c>
      <c r="M675" s="288">
        <f t="shared" ref="M675:M676" si="1859">+L675*$X$1</f>
        <v>21134</v>
      </c>
      <c r="N675" s="460">
        <f>F675+250</f>
        <v>21074</v>
      </c>
      <c r="O675" s="288">
        <f t="shared" ref="O675:O676" si="1860">+N675*$X$1</f>
        <v>21074</v>
      </c>
      <c r="P675" s="460">
        <f>F675+200</f>
        <v>21024</v>
      </c>
      <c r="Q675" s="288">
        <f t="shared" ref="Q675:Q676" si="1861">+P675*$X$1</f>
        <v>21024</v>
      </c>
      <c r="R675" s="460">
        <f>F675+170</f>
        <v>20994</v>
      </c>
      <c r="S675" s="288">
        <f t="shared" ref="S675:S676" si="1862">+R675*$X$1</f>
        <v>20994</v>
      </c>
      <c r="T675" s="460">
        <f>F675+130</f>
        <v>20954</v>
      </c>
      <c r="U675" s="288">
        <f t="shared" ref="U675:U676" si="1863">+T675*$X$1</f>
        <v>20954</v>
      </c>
      <c r="V675" s="460">
        <f>F675+110</f>
        <v>20934</v>
      </c>
      <c r="W675" s="288">
        <f t="shared" ref="W675:W676" si="1864">+V675*$X$1</f>
        <v>20934</v>
      </c>
      <c r="X675" s="686"/>
      <c r="Y675" s="687"/>
      <c r="Z675" s="687"/>
      <c r="AA675" s="688"/>
      <c r="AB675" s="192">
        <v>1011</v>
      </c>
      <c r="AC675" s="4"/>
      <c r="AD675" s="4"/>
      <c r="AE675" s="4"/>
      <c r="AF675" s="4"/>
      <c r="AG675" s="4"/>
      <c r="AH675" s="128"/>
      <c r="AI675" s="4"/>
      <c r="AJ675" s="4"/>
      <c r="AK675" s="4"/>
      <c r="AL675" s="4"/>
    </row>
    <row r="676" spans="1:38" s="1" customFormat="1" ht="12.6" customHeight="1" x14ac:dyDescent="0.2">
      <c r="A676" s="19"/>
      <c r="B676" s="671" t="s">
        <v>960</v>
      </c>
      <c r="C676" s="672"/>
      <c r="D676" s="672"/>
      <c r="E676" s="673"/>
      <c r="F676" s="454">
        <f>9.45*X2</f>
        <v>10064.25</v>
      </c>
      <c r="G676" s="287">
        <f>+F676*$X$1</f>
        <v>10064.25</v>
      </c>
      <c r="H676" s="640"/>
      <c r="I676" s="287"/>
      <c r="J676" s="640">
        <f>F676+1500</f>
        <v>11564.25</v>
      </c>
      <c r="K676" s="287">
        <f t="shared" ref="K676" si="1865">+J676*$X$1</f>
        <v>11564.25</v>
      </c>
      <c r="L676" s="640">
        <f>F676+1100</f>
        <v>11164.25</v>
      </c>
      <c r="M676" s="287">
        <f t="shared" si="1859"/>
        <v>11164.25</v>
      </c>
      <c r="N676" s="640">
        <f>F676+850</f>
        <v>10914.25</v>
      </c>
      <c r="O676" s="287">
        <f t="shared" si="1860"/>
        <v>10914.25</v>
      </c>
      <c r="P676" s="640">
        <f>F676+750</f>
        <v>10814.25</v>
      </c>
      <c r="Q676" s="287">
        <f t="shared" si="1861"/>
        <v>10814.25</v>
      </c>
      <c r="R676" s="640">
        <f>F676+650</f>
        <v>10714.25</v>
      </c>
      <c r="S676" s="287">
        <f t="shared" si="1862"/>
        <v>10714.25</v>
      </c>
      <c r="T676" s="640">
        <f>F676+550</f>
        <v>10614.25</v>
      </c>
      <c r="U676" s="287">
        <f t="shared" si="1863"/>
        <v>10614.25</v>
      </c>
      <c r="V676" s="640">
        <f>F676+450</f>
        <v>10514.25</v>
      </c>
      <c r="W676" s="287">
        <f t="shared" si="1864"/>
        <v>10514.25</v>
      </c>
      <c r="X676" s="686"/>
      <c r="Y676" s="687"/>
      <c r="Z676" s="687"/>
      <c r="AA676" s="688"/>
      <c r="AB676" s="192">
        <v>1020</v>
      </c>
      <c r="AC676" s="4"/>
      <c r="AD676" s="4"/>
      <c r="AE676" s="4"/>
      <c r="AF676" s="4"/>
      <c r="AG676" s="4"/>
      <c r="AH676" s="128"/>
      <c r="AI676" s="4"/>
      <c r="AJ676" s="4"/>
      <c r="AK676" s="4"/>
      <c r="AL676" s="4"/>
    </row>
    <row r="677" spans="1:38" ht="12.6" customHeight="1" x14ac:dyDescent="0.2">
      <c r="B677" s="826" t="s">
        <v>660</v>
      </c>
      <c r="C677" s="826"/>
      <c r="D677" s="826"/>
      <c r="E677" s="826"/>
      <c r="F677" s="381">
        <f>3.04*X2</f>
        <v>3237.6</v>
      </c>
      <c r="G677" s="288">
        <f t="shared" si="1856"/>
        <v>3237.6</v>
      </c>
      <c r="H677" s="105"/>
      <c r="I677" s="105"/>
      <c r="J677" s="280"/>
      <c r="K677" s="280"/>
      <c r="L677" s="460">
        <f>F677+310</f>
        <v>3547.6</v>
      </c>
      <c r="M677" s="288">
        <f>+L677*$X$1</f>
        <v>3547.6</v>
      </c>
      <c r="N677" s="460">
        <f>F677+250</f>
        <v>3487.6</v>
      </c>
      <c r="O677" s="288">
        <f>+N677*$X$1</f>
        <v>3487.6</v>
      </c>
      <c r="P677" s="460">
        <f>F677+200</f>
        <v>3437.6</v>
      </c>
      <c r="Q677" s="288">
        <f>+P677*$X$1</f>
        <v>3437.6</v>
      </c>
      <c r="R677" s="460">
        <f>F677+170</f>
        <v>3407.6</v>
      </c>
      <c r="S677" s="288">
        <f>+R677*$X$1</f>
        <v>3407.6</v>
      </c>
      <c r="T677" s="460">
        <f>F677+130</f>
        <v>3367.6</v>
      </c>
      <c r="U677" s="288">
        <f>+T677*$X$1</f>
        <v>3367.6</v>
      </c>
      <c r="V677" s="460">
        <f>F677+110</f>
        <v>3347.6</v>
      </c>
      <c r="W677" s="288">
        <f>+V677*$X$1</f>
        <v>3347.6</v>
      </c>
      <c r="X677" s="425"/>
      <c r="Y677" s="136"/>
      <c r="Z677" s="134"/>
      <c r="AA677" s="137"/>
      <c r="AB677" s="423" t="s">
        <v>661</v>
      </c>
    </row>
    <row r="678" spans="1:38" ht="12.6" customHeight="1" x14ac:dyDescent="0.2">
      <c r="B678" s="825" t="s">
        <v>665</v>
      </c>
      <c r="C678" s="825"/>
      <c r="D678" s="825"/>
      <c r="E678" s="825"/>
      <c r="F678" s="380">
        <f>11.3*X2</f>
        <v>12034.5</v>
      </c>
      <c r="G678" s="287">
        <f t="shared" si="1856"/>
        <v>12034.5</v>
      </c>
      <c r="H678" s="101"/>
      <c r="I678" s="101"/>
      <c r="J678" s="71">
        <f>F678+600</f>
        <v>12634.5</v>
      </c>
      <c r="K678" s="287">
        <f>+J678*$X$1</f>
        <v>12634.5</v>
      </c>
      <c r="L678" s="605">
        <f>F678+310</f>
        <v>12344.5</v>
      </c>
      <c r="M678" s="287">
        <f t="shared" ref="M678" si="1866">+L678*$X$1</f>
        <v>12344.5</v>
      </c>
      <c r="N678" s="605">
        <f>F678+250</f>
        <v>12284.5</v>
      </c>
      <c r="O678" s="287">
        <f t="shared" ref="O678" si="1867">+N678*$X$1</f>
        <v>12284.5</v>
      </c>
      <c r="P678" s="605">
        <f>F678+200</f>
        <v>12234.5</v>
      </c>
      <c r="Q678" s="287">
        <f t="shared" ref="Q678" si="1868">+P678*$X$1</f>
        <v>12234.5</v>
      </c>
      <c r="R678" s="605">
        <f>F678+170</f>
        <v>12204.5</v>
      </c>
      <c r="S678" s="287">
        <f t="shared" ref="S678" si="1869">+R678*$X$1</f>
        <v>12204.5</v>
      </c>
      <c r="T678" s="605">
        <f>F678+130</f>
        <v>12164.5</v>
      </c>
      <c r="U678" s="287">
        <f t="shared" ref="U678" si="1870">+T678*$X$1</f>
        <v>12164.5</v>
      </c>
      <c r="V678" s="605">
        <f>F678+110</f>
        <v>12144.5</v>
      </c>
      <c r="W678" s="287">
        <f t="shared" ref="W678" si="1871">+V678*$X$1</f>
        <v>12144.5</v>
      </c>
      <c r="X678" s="426"/>
      <c r="Y678" s="136"/>
      <c r="Z678" s="134"/>
      <c r="AA678" s="137"/>
      <c r="AB678" s="423" t="s">
        <v>666</v>
      </c>
    </row>
    <row r="679" spans="1:38" ht="12.6" customHeight="1" x14ac:dyDescent="0.2">
      <c r="B679" s="826" t="s">
        <v>494</v>
      </c>
      <c r="C679" s="826"/>
      <c r="D679" s="826"/>
      <c r="E679" s="826"/>
      <c r="F679" s="381">
        <f>4.3*X2</f>
        <v>4579.5</v>
      </c>
      <c r="G679" s="288">
        <f t="shared" si="1856"/>
        <v>4579.5</v>
      </c>
      <c r="H679" s="105"/>
      <c r="I679" s="105"/>
      <c r="J679" s="460">
        <f>F679+600</f>
        <v>5179.5</v>
      </c>
      <c r="K679" s="288">
        <f t="shared" ref="K679" si="1872">+J679*$X$1</f>
        <v>5179.5</v>
      </c>
      <c r="L679" s="460">
        <f>F679+300</f>
        <v>4879.5</v>
      </c>
      <c r="M679" s="288">
        <f t="shared" ref="M679:M681" si="1873">+L679*$X$1</f>
        <v>4879.5</v>
      </c>
      <c r="N679" s="460">
        <f>F679+230</f>
        <v>4809.5</v>
      </c>
      <c r="O679" s="288">
        <f t="shared" ref="O679:O681" si="1874">+N679*$X$1</f>
        <v>4809.5</v>
      </c>
      <c r="P679" s="460">
        <f>F679+170</f>
        <v>4749.5</v>
      </c>
      <c r="Q679" s="288">
        <f t="shared" ref="Q679:Q681" si="1875">+P679*$X$1</f>
        <v>4749.5</v>
      </c>
      <c r="R679" s="460">
        <f>F679+130</f>
        <v>4709.5</v>
      </c>
      <c r="S679" s="288">
        <f t="shared" ref="S679:S681" si="1876">+R679*$X$1</f>
        <v>4709.5</v>
      </c>
      <c r="T679" s="460">
        <f>F679+100</f>
        <v>4679.5</v>
      </c>
      <c r="U679" s="288">
        <f t="shared" ref="U679:U681" si="1877">+T679*$X$1</f>
        <v>4679.5</v>
      </c>
      <c r="V679" s="460">
        <f>F679+70</f>
        <v>4649.5</v>
      </c>
      <c r="W679" s="288">
        <f t="shared" ref="W679:W681" si="1878">+V679*$X$1</f>
        <v>4649.5</v>
      </c>
      <c r="X679" s="232"/>
      <c r="Y679" s="136"/>
      <c r="Z679" s="134"/>
      <c r="AA679" s="137"/>
      <c r="AB679" s="423" t="s">
        <v>424</v>
      </c>
    </row>
    <row r="680" spans="1:38" s="1" customFormat="1" ht="12.6" customHeight="1" x14ac:dyDescent="0.2">
      <c r="A680" s="19"/>
      <c r="B680" s="671" t="s">
        <v>958</v>
      </c>
      <c r="C680" s="672"/>
      <c r="D680" s="672"/>
      <c r="E680" s="673"/>
      <c r="F680" s="380">
        <f>22.49*X2</f>
        <v>23951.85</v>
      </c>
      <c r="G680" s="287">
        <f t="shared" ref="G680" si="1879">+F680*$X$1</f>
        <v>23951.85</v>
      </c>
      <c r="H680" s="640">
        <f>F680+2500</f>
        <v>26451.85</v>
      </c>
      <c r="I680" s="287">
        <f t="shared" ref="I680" si="1880">+H680*$X$1</f>
        <v>26451.85</v>
      </c>
      <c r="J680" s="71">
        <f>F680+600</f>
        <v>24551.85</v>
      </c>
      <c r="K680" s="287">
        <f>+J680*$X$1</f>
        <v>24551.85</v>
      </c>
      <c r="L680" s="640">
        <f>F680+310</f>
        <v>24261.85</v>
      </c>
      <c r="M680" s="287">
        <f t="shared" ref="M680" si="1881">+L680*$X$1</f>
        <v>24261.85</v>
      </c>
      <c r="N680" s="640">
        <f>F680+250</f>
        <v>24201.85</v>
      </c>
      <c r="O680" s="287">
        <f t="shared" ref="O680" si="1882">+N680*$X$1</f>
        <v>24201.85</v>
      </c>
      <c r="P680" s="640">
        <f>F680+200</f>
        <v>24151.85</v>
      </c>
      <c r="Q680" s="287">
        <f t="shared" ref="Q680" si="1883">+P680*$X$1</f>
        <v>24151.85</v>
      </c>
      <c r="R680" s="640">
        <f>F680+170</f>
        <v>24121.85</v>
      </c>
      <c r="S680" s="287">
        <f t="shared" ref="S680" si="1884">+R680*$X$1</f>
        <v>24121.85</v>
      </c>
      <c r="T680" s="640">
        <f>F680+130</f>
        <v>24081.85</v>
      </c>
      <c r="U680" s="287">
        <f t="shared" ref="U680" si="1885">+T680*$X$1</f>
        <v>24081.85</v>
      </c>
      <c r="V680" s="640">
        <f>F680+110</f>
        <v>24061.85</v>
      </c>
      <c r="W680" s="287">
        <f t="shared" ref="W680" si="1886">+V680*$X$1</f>
        <v>24061.85</v>
      </c>
      <c r="X680" s="686"/>
      <c r="Y680" s="687"/>
      <c r="Z680" s="687"/>
      <c r="AA680" s="688"/>
      <c r="AB680" s="192">
        <v>10506</v>
      </c>
      <c r="AC680" s="4"/>
      <c r="AD680" s="4"/>
      <c r="AE680" s="4"/>
      <c r="AF680" s="4"/>
      <c r="AG680" s="4"/>
      <c r="AH680" s="128"/>
      <c r="AI680" s="4"/>
      <c r="AJ680" s="4"/>
      <c r="AK680" s="4"/>
      <c r="AL680" s="4"/>
    </row>
    <row r="681" spans="1:38" s="1" customFormat="1" ht="12.6" customHeight="1" x14ac:dyDescent="0.2">
      <c r="A681" s="19"/>
      <c r="B681" s="671" t="s">
        <v>932</v>
      </c>
      <c r="C681" s="672"/>
      <c r="D681" s="672"/>
      <c r="E681" s="673"/>
      <c r="F681" s="381">
        <f>29.6*X2</f>
        <v>31524</v>
      </c>
      <c r="G681" s="288">
        <f t="shared" si="1856"/>
        <v>31524</v>
      </c>
      <c r="H681" s="460">
        <f>F681+2500</f>
        <v>34024</v>
      </c>
      <c r="I681" s="288">
        <f t="shared" ref="I681" si="1887">+H681*$X$1</f>
        <v>34024</v>
      </c>
      <c r="J681" s="89">
        <f>F681+600</f>
        <v>32124</v>
      </c>
      <c r="K681" s="288">
        <f>+J681*$X$1</f>
        <v>32124</v>
      </c>
      <c r="L681" s="460">
        <f>F681+310</f>
        <v>31834</v>
      </c>
      <c r="M681" s="288">
        <f t="shared" si="1873"/>
        <v>31834</v>
      </c>
      <c r="N681" s="460">
        <f>F681+250</f>
        <v>31774</v>
      </c>
      <c r="O681" s="288">
        <f t="shared" si="1874"/>
        <v>31774</v>
      </c>
      <c r="P681" s="460">
        <f>F681+200</f>
        <v>31724</v>
      </c>
      <c r="Q681" s="288">
        <f t="shared" si="1875"/>
        <v>31724</v>
      </c>
      <c r="R681" s="460">
        <f>F681+170</f>
        <v>31694</v>
      </c>
      <c r="S681" s="288">
        <f t="shared" si="1876"/>
        <v>31694</v>
      </c>
      <c r="T681" s="460">
        <f>F681+130</f>
        <v>31654</v>
      </c>
      <c r="U681" s="288">
        <f t="shared" si="1877"/>
        <v>31654</v>
      </c>
      <c r="V681" s="460">
        <f>F681+110</f>
        <v>31634</v>
      </c>
      <c r="W681" s="288">
        <f t="shared" si="1878"/>
        <v>31634</v>
      </c>
      <c r="X681" s="686"/>
      <c r="Y681" s="687"/>
      <c r="Z681" s="687"/>
      <c r="AA681" s="688"/>
      <c r="AB681" s="192">
        <v>10507</v>
      </c>
      <c r="AC681" s="4"/>
      <c r="AD681" s="4"/>
      <c r="AE681" s="4"/>
      <c r="AF681" s="4"/>
      <c r="AG681" s="4"/>
      <c r="AH681" s="128"/>
      <c r="AI681" s="4"/>
      <c r="AJ681" s="4"/>
      <c r="AK681" s="4"/>
      <c r="AL681" s="4"/>
    </row>
    <row r="682" spans="1:38" ht="12.6" customHeight="1" x14ac:dyDescent="0.2">
      <c r="A682" s="10"/>
      <c r="B682" s="842" t="s">
        <v>309</v>
      </c>
      <c r="C682" s="842"/>
      <c r="D682" s="842"/>
      <c r="E682" s="842"/>
      <c r="F682" s="380">
        <f>35.1*X2</f>
        <v>37381.5</v>
      </c>
      <c r="G682" s="287">
        <f t="shared" ref="G682" si="1888">+F682*$X$1</f>
        <v>37381.5</v>
      </c>
      <c r="H682" s="101"/>
      <c r="I682" s="101"/>
      <c r="J682" s="71">
        <f>F682+600</f>
        <v>37981.5</v>
      </c>
      <c r="K682" s="287">
        <f>+J682*$X$1</f>
        <v>37981.5</v>
      </c>
      <c r="L682" s="640">
        <f>F682+300</f>
        <v>37681.5</v>
      </c>
      <c r="M682" s="287">
        <f t="shared" ref="M682" si="1889">+L682*$X$1</f>
        <v>37681.5</v>
      </c>
      <c r="N682" s="640">
        <f>F682+200</f>
        <v>37581.5</v>
      </c>
      <c r="O682" s="287">
        <f t="shared" ref="O682" si="1890">+N682*$X$1</f>
        <v>37581.5</v>
      </c>
      <c r="P682" s="640">
        <f>F682+150</f>
        <v>37531.5</v>
      </c>
      <c r="Q682" s="287">
        <f t="shared" ref="Q682" si="1891">+P682*$X$1</f>
        <v>37531.5</v>
      </c>
      <c r="R682" s="640">
        <f>F682+120</f>
        <v>37501.5</v>
      </c>
      <c r="S682" s="287">
        <f t="shared" ref="S682" si="1892">+R682*$X$1</f>
        <v>37501.5</v>
      </c>
      <c r="T682" s="640">
        <f>F682+90</f>
        <v>37471.5</v>
      </c>
      <c r="U682" s="287">
        <f t="shared" ref="U682" si="1893">+T682*$X$1</f>
        <v>37471.5</v>
      </c>
      <c r="V682" s="640"/>
      <c r="W682" s="287"/>
      <c r="X682" s="134"/>
      <c r="Y682" s="138"/>
      <c r="Z682" s="134"/>
      <c r="AA682" s="137"/>
      <c r="AB682" s="423" t="s">
        <v>440</v>
      </c>
    </row>
    <row r="683" spans="1:38" ht="12.6" customHeight="1" x14ac:dyDescent="0.2">
      <c r="A683" s="10"/>
      <c r="B683" s="992" t="s">
        <v>439</v>
      </c>
      <c r="C683" s="992"/>
      <c r="D683" s="992"/>
      <c r="E683" s="992"/>
      <c r="F683" s="288"/>
      <c r="G683" s="288"/>
      <c r="H683" s="105"/>
      <c r="I683" s="105"/>
      <c r="J683" s="460"/>
      <c r="K683" s="288"/>
      <c r="L683" s="460"/>
      <c r="M683" s="288"/>
      <c r="N683" s="460"/>
      <c r="O683" s="288"/>
      <c r="P683" s="460"/>
      <c r="Q683" s="288"/>
      <c r="R683" s="460"/>
      <c r="S683" s="288"/>
      <c r="T683" s="460"/>
      <c r="U683" s="288"/>
      <c r="V683" s="642"/>
      <c r="W683" s="627"/>
      <c r="X683" s="134"/>
      <c r="Y683" s="138"/>
      <c r="Z683" s="134"/>
      <c r="AA683" s="137"/>
      <c r="AB683" s="423" t="s">
        <v>310</v>
      </c>
    </row>
    <row r="684" spans="1:38" s="1" customFormat="1" ht="12.6" customHeight="1" x14ac:dyDescent="0.2">
      <c r="A684" s="19"/>
      <c r="B684" s="695" t="s">
        <v>862</v>
      </c>
      <c r="C684" s="696"/>
      <c r="D684" s="696"/>
      <c r="E684" s="696"/>
      <c r="F684" s="330">
        <v>20176</v>
      </c>
      <c r="G684" s="287">
        <f t="shared" ref="G684" si="1894">+F684*$X$1</f>
        <v>20176</v>
      </c>
      <c r="H684" s="640"/>
      <c r="I684" s="287"/>
      <c r="J684" s="71"/>
      <c r="K684" s="287"/>
      <c r="L684" s="640">
        <f>F684+300</f>
        <v>20476</v>
      </c>
      <c r="M684" s="287">
        <f t="shared" ref="M684:M685" si="1895">+L684*$X$1</f>
        <v>20476</v>
      </c>
      <c r="N684" s="640">
        <f>F684+230</f>
        <v>20406</v>
      </c>
      <c r="O684" s="287">
        <f t="shared" ref="O684:O685" si="1896">+N684*$X$1</f>
        <v>20406</v>
      </c>
      <c r="P684" s="640">
        <f>F684+170</f>
        <v>20346</v>
      </c>
      <c r="Q684" s="287">
        <f t="shared" ref="Q684:Q685" si="1897">+P684*$X$1</f>
        <v>20346</v>
      </c>
      <c r="R684" s="640">
        <f>F684+130</f>
        <v>20306</v>
      </c>
      <c r="S684" s="287">
        <f t="shared" ref="S684:S685" si="1898">+R684*$X$1</f>
        <v>20306</v>
      </c>
      <c r="T684" s="640">
        <f>F684+100</f>
        <v>20276</v>
      </c>
      <c r="U684" s="287">
        <f t="shared" ref="U684:U685" si="1899">+T684*$X$1</f>
        <v>20276</v>
      </c>
      <c r="V684" s="640">
        <f>F684+70</f>
        <v>20246</v>
      </c>
      <c r="W684" s="287">
        <f t="shared" ref="W684:W685" si="1900">+V684*$X$1</f>
        <v>20246</v>
      </c>
      <c r="X684" s="686"/>
      <c r="Y684" s="687"/>
      <c r="Z684" s="687"/>
      <c r="AA684" s="688"/>
      <c r="AB684" s="192" t="s">
        <v>860</v>
      </c>
      <c r="AC684" s="4"/>
      <c r="AD684" s="4"/>
      <c r="AE684" s="4"/>
      <c r="AF684" s="4"/>
      <c r="AG684" s="4"/>
      <c r="AH684" s="128"/>
      <c r="AI684" s="4"/>
      <c r="AJ684" s="4"/>
      <c r="AK684" s="4"/>
      <c r="AL684" s="4"/>
    </row>
    <row r="685" spans="1:38" s="1" customFormat="1" ht="12.6" customHeight="1" x14ac:dyDescent="0.2">
      <c r="A685" s="19"/>
      <c r="B685" s="695" t="s">
        <v>863</v>
      </c>
      <c r="C685" s="696"/>
      <c r="D685" s="696"/>
      <c r="E685" s="696"/>
      <c r="F685" s="329">
        <v>11058</v>
      </c>
      <c r="G685" s="288">
        <f t="shared" ref="G685" si="1901">+F685*$X$1</f>
        <v>11058</v>
      </c>
      <c r="H685" s="460"/>
      <c r="I685" s="288"/>
      <c r="J685" s="89"/>
      <c r="K685" s="288"/>
      <c r="L685" s="460">
        <f>F685+300</f>
        <v>11358</v>
      </c>
      <c r="M685" s="288">
        <f t="shared" si="1895"/>
        <v>11358</v>
      </c>
      <c r="N685" s="460">
        <f>F685+230</f>
        <v>11288</v>
      </c>
      <c r="O685" s="288">
        <f t="shared" si="1896"/>
        <v>11288</v>
      </c>
      <c r="P685" s="460">
        <f>F685+170</f>
        <v>11228</v>
      </c>
      <c r="Q685" s="288">
        <f t="shared" si="1897"/>
        <v>11228</v>
      </c>
      <c r="R685" s="460">
        <f>F685+130</f>
        <v>11188</v>
      </c>
      <c r="S685" s="288">
        <f t="shared" si="1898"/>
        <v>11188</v>
      </c>
      <c r="T685" s="460">
        <f>F685+100</f>
        <v>11158</v>
      </c>
      <c r="U685" s="288">
        <f t="shared" si="1899"/>
        <v>11158</v>
      </c>
      <c r="V685" s="460">
        <f>F685+70</f>
        <v>11128</v>
      </c>
      <c r="W685" s="288">
        <f t="shared" si="1900"/>
        <v>11128</v>
      </c>
      <c r="X685" s="686"/>
      <c r="Y685" s="687"/>
      <c r="Z685" s="687"/>
      <c r="AA685" s="688"/>
      <c r="AB685" s="192" t="s">
        <v>861</v>
      </c>
      <c r="AC685" s="4"/>
      <c r="AD685" s="4"/>
      <c r="AE685" s="4"/>
      <c r="AF685" s="4"/>
      <c r="AG685" s="4"/>
      <c r="AH685" s="128"/>
      <c r="AI685" s="4"/>
      <c r="AJ685" s="4"/>
      <c r="AK685" s="4"/>
      <c r="AL685" s="4"/>
    </row>
    <row r="686" spans="1:38" ht="12.6" customHeight="1" x14ac:dyDescent="0.2">
      <c r="A686" s="203"/>
      <c r="B686" s="825" t="s">
        <v>538</v>
      </c>
      <c r="C686" s="712"/>
      <c r="D686" s="712"/>
      <c r="E686" s="712"/>
      <c r="F686" s="330">
        <v>18624</v>
      </c>
      <c r="G686" s="287">
        <f t="shared" ref="G686" si="1902">+F686*$X$1</f>
        <v>18624</v>
      </c>
      <c r="H686" s="281"/>
      <c r="I686" s="281"/>
      <c r="J686" s="640">
        <f t="shared" ref="J686:J694" si="1903">F686+500</f>
        <v>19124</v>
      </c>
      <c r="K686" s="287">
        <f t="shared" ref="K686:K688" si="1904">+J686*$X$1</f>
        <v>19124</v>
      </c>
      <c r="L686" s="640">
        <f>F686+410</f>
        <v>19034</v>
      </c>
      <c r="M686" s="287">
        <f>+L686*$X$1</f>
        <v>19034</v>
      </c>
      <c r="N686" s="640">
        <f>F686+370</f>
        <v>18994</v>
      </c>
      <c r="O686" s="287">
        <f>+N686*$X$1</f>
        <v>18994</v>
      </c>
      <c r="P686" s="640">
        <f>F686+330</f>
        <v>18954</v>
      </c>
      <c r="Q686" s="287">
        <f>+P686*$X$1</f>
        <v>18954</v>
      </c>
      <c r="R686" s="640">
        <f>F686+290</f>
        <v>18914</v>
      </c>
      <c r="S686" s="287">
        <f>+R686*$X$1</f>
        <v>18914</v>
      </c>
      <c r="T686" s="640">
        <f>F686+240</f>
        <v>18864</v>
      </c>
      <c r="U686" s="287">
        <f t="shared" ref="U686:U689" si="1905">+T686*$X$1</f>
        <v>18864</v>
      </c>
      <c r="V686" s="641"/>
      <c r="W686" s="287"/>
      <c r="X686" s="308"/>
      <c r="Y686" s="308"/>
      <c r="Z686" s="308"/>
      <c r="AA686" s="308"/>
      <c r="AB686" s="423" t="s">
        <v>667</v>
      </c>
    </row>
    <row r="687" spans="1:38" ht="12.6" customHeight="1" x14ac:dyDescent="0.2">
      <c r="A687" s="203"/>
      <c r="B687" s="832" t="s">
        <v>420</v>
      </c>
      <c r="C687" s="703"/>
      <c r="D687" s="703"/>
      <c r="E687" s="703"/>
      <c r="F687" s="329">
        <v>20890</v>
      </c>
      <c r="G687" s="288">
        <f t="shared" ref="G687:G692" si="1906">+F687*$X$1</f>
        <v>20890</v>
      </c>
      <c r="H687" s="280"/>
      <c r="I687" s="280"/>
      <c r="J687" s="460"/>
      <c r="K687" s="288"/>
      <c r="L687" s="460">
        <f>F687+300</f>
        <v>21190</v>
      </c>
      <c r="M687" s="288">
        <f t="shared" ref="M687:M689" si="1907">+L687*$X$1</f>
        <v>21190</v>
      </c>
      <c r="N687" s="460">
        <f>F687+230</f>
        <v>21120</v>
      </c>
      <c r="O687" s="288">
        <f t="shared" ref="O687:O689" si="1908">+N687*$X$1</f>
        <v>21120</v>
      </c>
      <c r="P687" s="460">
        <f>F687+170</f>
        <v>21060</v>
      </c>
      <c r="Q687" s="288">
        <f t="shared" ref="Q687:Q689" si="1909">+P687*$X$1</f>
        <v>21060</v>
      </c>
      <c r="R687" s="460">
        <f>F687+130</f>
        <v>21020</v>
      </c>
      <c r="S687" s="288">
        <f t="shared" ref="S687:S689" si="1910">+R687*$X$1</f>
        <v>21020</v>
      </c>
      <c r="T687" s="460">
        <f>F687+100</f>
        <v>20990</v>
      </c>
      <c r="U687" s="288">
        <f t="shared" si="1905"/>
        <v>20990</v>
      </c>
      <c r="V687" s="460">
        <f>F687+70</f>
        <v>20960</v>
      </c>
      <c r="W687" s="288">
        <f t="shared" ref="W687:W689" si="1911">+V687*$X$1</f>
        <v>20960</v>
      </c>
      <c r="X687" s="151"/>
      <c r="Y687" s="151"/>
      <c r="Z687" s="151"/>
      <c r="AA687" s="151"/>
      <c r="AB687" s="423" t="s">
        <v>423</v>
      </c>
    </row>
    <row r="688" spans="1:38" ht="12.6" customHeight="1" x14ac:dyDescent="0.2">
      <c r="A688" s="203"/>
      <c r="B688" s="815" t="s">
        <v>537</v>
      </c>
      <c r="C688" s="816"/>
      <c r="D688" s="816"/>
      <c r="E688" s="816"/>
      <c r="F688" s="330">
        <v>21780</v>
      </c>
      <c r="G688" s="287">
        <f t="shared" ref="G688:G689" si="1912">+F688*$X$1</f>
        <v>21780</v>
      </c>
      <c r="H688" s="640">
        <f>F688+2500</f>
        <v>24280</v>
      </c>
      <c r="I688" s="287">
        <f t="shared" ref="I688" si="1913">+H688*$X$1</f>
        <v>24280</v>
      </c>
      <c r="J688" s="640">
        <f>F688+600</f>
        <v>22380</v>
      </c>
      <c r="K688" s="287">
        <f t="shared" si="1904"/>
        <v>22380</v>
      </c>
      <c r="L688" s="640">
        <f>F688+300</f>
        <v>22080</v>
      </c>
      <c r="M688" s="287">
        <f t="shared" si="1907"/>
        <v>22080</v>
      </c>
      <c r="N688" s="640">
        <f>F688+230</f>
        <v>22010</v>
      </c>
      <c r="O688" s="287">
        <f t="shared" si="1908"/>
        <v>22010</v>
      </c>
      <c r="P688" s="640">
        <f>F688+170</f>
        <v>21950</v>
      </c>
      <c r="Q688" s="287">
        <f t="shared" si="1909"/>
        <v>21950</v>
      </c>
      <c r="R688" s="640">
        <f>F688+130</f>
        <v>21910</v>
      </c>
      <c r="S688" s="287">
        <f t="shared" si="1910"/>
        <v>21910</v>
      </c>
      <c r="T688" s="640">
        <f>F688+100</f>
        <v>21880</v>
      </c>
      <c r="U688" s="287">
        <f t="shared" si="1905"/>
        <v>21880</v>
      </c>
      <c r="V688" s="640">
        <f>F688+70</f>
        <v>21850</v>
      </c>
      <c r="W688" s="287">
        <f t="shared" si="1911"/>
        <v>21850</v>
      </c>
      <c r="X688" s="308"/>
      <c r="Y688" s="308"/>
      <c r="Z688" s="308"/>
      <c r="AA688" s="308"/>
      <c r="AB688" s="423" t="s">
        <v>539</v>
      </c>
    </row>
    <row r="689" spans="1:35" ht="12.6" customHeight="1" x14ac:dyDescent="0.2">
      <c r="A689" s="203"/>
      <c r="B689" s="832" t="s">
        <v>763</v>
      </c>
      <c r="C689" s="703"/>
      <c r="D689" s="703"/>
      <c r="E689" s="703"/>
      <c r="F689" s="329">
        <v>21603</v>
      </c>
      <c r="G689" s="288">
        <f t="shared" si="1912"/>
        <v>21603</v>
      </c>
      <c r="H689" s="460">
        <f>F689+2500</f>
        <v>24103</v>
      </c>
      <c r="I689" s="288">
        <f t="shared" ref="I689" si="1914">+H689*$X$1</f>
        <v>24103</v>
      </c>
      <c r="J689" s="460">
        <f>F689+600</f>
        <v>22203</v>
      </c>
      <c r="K689" s="288">
        <f t="shared" ref="K689" si="1915">+J689*$X$1</f>
        <v>22203</v>
      </c>
      <c r="L689" s="460">
        <f>F689+300</f>
        <v>21903</v>
      </c>
      <c r="M689" s="288">
        <f t="shared" si="1907"/>
        <v>21903</v>
      </c>
      <c r="N689" s="460">
        <f>F689+230</f>
        <v>21833</v>
      </c>
      <c r="O689" s="288">
        <f t="shared" si="1908"/>
        <v>21833</v>
      </c>
      <c r="P689" s="460">
        <f>F689+170</f>
        <v>21773</v>
      </c>
      <c r="Q689" s="288">
        <f t="shared" si="1909"/>
        <v>21773</v>
      </c>
      <c r="R689" s="460">
        <f>F689+130</f>
        <v>21733</v>
      </c>
      <c r="S689" s="288">
        <f t="shared" si="1910"/>
        <v>21733</v>
      </c>
      <c r="T689" s="460">
        <f>F689+100</f>
        <v>21703</v>
      </c>
      <c r="U689" s="288">
        <f t="shared" si="1905"/>
        <v>21703</v>
      </c>
      <c r="V689" s="460">
        <f>F689+70</f>
        <v>21673</v>
      </c>
      <c r="W689" s="288">
        <f t="shared" si="1911"/>
        <v>21673</v>
      </c>
      <c r="X689" s="458"/>
      <c r="Y689" s="458"/>
      <c r="Z689" s="458"/>
      <c r="AA689" s="458"/>
      <c r="AB689" s="423" t="s">
        <v>764</v>
      </c>
    </row>
    <row r="690" spans="1:35" ht="12.6" customHeight="1" x14ac:dyDescent="0.2">
      <c r="A690" s="203"/>
      <c r="B690" s="815" t="s">
        <v>419</v>
      </c>
      <c r="C690" s="816"/>
      <c r="D690" s="816"/>
      <c r="E690" s="816"/>
      <c r="F690" s="330">
        <v>23148</v>
      </c>
      <c r="G690" s="287">
        <f t="shared" si="1906"/>
        <v>23148</v>
      </c>
      <c r="H690" s="281"/>
      <c r="I690" s="281"/>
      <c r="J690" s="640">
        <f t="shared" si="1903"/>
        <v>23648</v>
      </c>
      <c r="K690" s="287">
        <f t="shared" ref="K690:K694" si="1916">+J690*$X$1</f>
        <v>23648</v>
      </c>
      <c r="L690" s="103">
        <f>F690+410</f>
        <v>23558</v>
      </c>
      <c r="M690" s="306">
        <f>+L690*$X$1</f>
        <v>23558</v>
      </c>
      <c r="N690" s="103">
        <f>F690+370</f>
        <v>23518</v>
      </c>
      <c r="O690" s="306">
        <f>+N690*$X$1</f>
        <v>23518</v>
      </c>
      <c r="P690" s="103">
        <f>F690+330</f>
        <v>23478</v>
      </c>
      <c r="Q690" s="306">
        <f>+P690*$X$1</f>
        <v>23478</v>
      </c>
      <c r="R690" s="103">
        <f>F690+290</f>
        <v>23438</v>
      </c>
      <c r="S690" s="306">
        <f>+R690*$X$1</f>
        <v>23438</v>
      </c>
      <c r="T690" s="640">
        <f>F690+240</f>
        <v>23388</v>
      </c>
      <c r="U690" s="287">
        <f t="shared" ref="U690:U694" si="1917">+T690*$X$1</f>
        <v>23388</v>
      </c>
      <c r="V690" s="309"/>
      <c r="W690" s="287"/>
      <c r="X690" s="151"/>
      <c r="Y690" s="151"/>
      <c r="Z690" s="151"/>
      <c r="AA690" s="151"/>
      <c r="AB690" s="423" t="s">
        <v>422</v>
      </c>
    </row>
    <row r="691" spans="1:35" ht="12.6" customHeight="1" x14ac:dyDescent="0.2">
      <c r="A691" s="203"/>
      <c r="B691" s="832" t="s">
        <v>540</v>
      </c>
      <c r="C691" s="703"/>
      <c r="D691" s="703"/>
      <c r="E691" s="703"/>
      <c r="F691" s="381">
        <f>15.3*X2</f>
        <v>16294.5</v>
      </c>
      <c r="G691" s="288">
        <f t="shared" ref="G691" si="1918">+F691*$X$1</f>
        <v>16294.5</v>
      </c>
      <c r="H691" s="280"/>
      <c r="I691" s="280"/>
      <c r="J691" s="460">
        <f t="shared" si="1903"/>
        <v>16794.5</v>
      </c>
      <c r="K691" s="288">
        <f t="shared" si="1916"/>
        <v>16794.5</v>
      </c>
      <c r="L691" s="102">
        <f>F691+410</f>
        <v>16704.5</v>
      </c>
      <c r="M691" s="319">
        <f>+L691*$X$1</f>
        <v>16704.5</v>
      </c>
      <c r="N691" s="102">
        <f>F691+370</f>
        <v>16664.5</v>
      </c>
      <c r="O691" s="319">
        <f>+N691*$X$1</f>
        <v>16664.5</v>
      </c>
      <c r="P691" s="102">
        <f>F691+330</f>
        <v>16624.5</v>
      </c>
      <c r="Q691" s="319">
        <f>+P691*$X$1</f>
        <v>16624.5</v>
      </c>
      <c r="R691" s="102">
        <f>F691+290</f>
        <v>16584.5</v>
      </c>
      <c r="S691" s="319">
        <f>+R691*$X$1</f>
        <v>16584.5</v>
      </c>
      <c r="T691" s="460">
        <f>F691+240</f>
        <v>16534.5</v>
      </c>
      <c r="U691" s="288">
        <f t="shared" si="1917"/>
        <v>16534.5</v>
      </c>
      <c r="V691" s="500"/>
      <c r="W691" s="288"/>
      <c r="X691" s="310"/>
      <c r="Y691" s="310"/>
      <c r="Z691" s="310"/>
      <c r="AA691" s="310"/>
      <c r="AB691" s="423" t="s">
        <v>668</v>
      </c>
    </row>
    <row r="692" spans="1:35" ht="12.6" customHeight="1" x14ac:dyDescent="0.2">
      <c r="A692" s="203"/>
      <c r="B692" s="873" t="s">
        <v>470</v>
      </c>
      <c r="C692" s="874"/>
      <c r="D692" s="874"/>
      <c r="E692" s="874"/>
      <c r="F692" s="551">
        <f>8.8*X2</f>
        <v>9372</v>
      </c>
      <c r="G692" s="546">
        <f t="shared" si="1906"/>
        <v>9372</v>
      </c>
      <c r="H692" s="547"/>
      <c r="I692" s="547"/>
      <c r="J692" s="665">
        <f t="shared" si="1903"/>
        <v>9872</v>
      </c>
      <c r="K692" s="546">
        <f t="shared" si="1916"/>
        <v>9872</v>
      </c>
      <c r="L692" s="558">
        <f>F692+410</f>
        <v>9782</v>
      </c>
      <c r="M692" s="545">
        <f>+L692*$X$1</f>
        <v>9782</v>
      </c>
      <c r="N692" s="558">
        <f>F692+370</f>
        <v>9742</v>
      </c>
      <c r="O692" s="545">
        <f>+N692*$X$1</f>
        <v>9742</v>
      </c>
      <c r="P692" s="558">
        <f>F692+330</f>
        <v>9702</v>
      </c>
      <c r="Q692" s="545">
        <f>+P692*$X$1</f>
        <v>9702</v>
      </c>
      <c r="R692" s="558">
        <f>F692+290</f>
        <v>9662</v>
      </c>
      <c r="S692" s="545">
        <f>+R692*$X$1</f>
        <v>9662</v>
      </c>
      <c r="T692" s="665">
        <f>F692+240</f>
        <v>9612</v>
      </c>
      <c r="U692" s="546">
        <f t="shared" si="1917"/>
        <v>9612</v>
      </c>
      <c r="V692" s="665"/>
      <c r="W692" s="546"/>
      <c r="X692" s="151"/>
      <c r="Y692" s="151"/>
      <c r="Z692" s="151"/>
      <c r="AA692" s="151"/>
      <c r="AB692" s="423" t="s">
        <v>650</v>
      </c>
    </row>
    <row r="693" spans="1:35" ht="12.6" customHeight="1" x14ac:dyDescent="0.2">
      <c r="A693" s="203"/>
      <c r="B693" s="832" t="s">
        <v>671</v>
      </c>
      <c r="C693" s="703"/>
      <c r="D693" s="703"/>
      <c r="E693" s="703"/>
      <c r="F693" s="381">
        <f>16.76*X2</f>
        <v>17849.400000000001</v>
      </c>
      <c r="G693" s="288">
        <f t="shared" ref="G693" si="1919">+F693*$X$1</f>
        <v>17849.400000000001</v>
      </c>
      <c r="H693" s="280"/>
      <c r="I693" s="280"/>
      <c r="J693" s="460">
        <f t="shared" si="1903"/>
        <v>18349.400000000001</v>
      </c>
      <c r="K693" s="288">
        <f t="shared" si="1916"/>
        <v>18349.400000000001</v>
      </c>
      <c r="L693" s="102">
        <f>F693+410</f>
        <v>18259.400000000001</v>
      </c>
      <c r="M693" s="319">
        <f>+L693*$X$1</f>
        <v>18259.400000000001</v>
      </c>
      <c r="N693" s="102">
        <f>F693+370</f>
        <v>18219.400000000001</v>
      </c>
      <c r="O693" s="319">
        <f>+N693*$X$1</f>
        <v>18219.400000000001</v>
      </c>
      <c r="P693" s="102">
        <f>F693+330</f>
        <v>18179.400000000001</v>
      </c>
      <c r="Q693" s="319">
        <f>+P693*$X$1</f>
        <v>18179.400000000001</v>
      </c>
      <c r="R693" s="102">
        <f>F693+290</f>
        <v>18139.400000000001</v>
      </c>
      <c r="S693" s="319">
        <f>+R693*$X$1</f>
        <v>18139.400000000001</v>
      </c>
      <c r="T693" s="460">
        <f>F693+240</f>
        <v>18089.400000000001</v>
      </c>
      <c r="U693" s="288">
        <f t="shared" si="1917"/>
        <v>18089.400000000001</v>
      </c>
      <c r="V693" s="460"/>
      <c r="W693" s="288"/>
      <c r="X693" s="394"/>
      <c r="Y693" s="394"/>
      <c r="Z693" s="394"/>
      <c r="AA693" s="394"/>
      <c r="AB693" s="423" t="s">
        <v>651</v>
      </c>
    </row>
    <row r="694" spans="1:35" ht="12.6" customHeight="1" x14ac:dyDescent="0.2">
      <c r="A694" s="203"/>
      <c r="B694" s="873" t="s">
        <v>469</v>
      </c>
      <c r="C694" s="874"/>
      <c r="D694" s="874"/>
      <c r="E694" s="874"/>
      <c r="F694" s="551">
        <f>11.45*X2</f>
        <v>12194.25</v>
      </c>
      <c r="G694" s="546">
        <f t="shared" ref="G694" si="1920">+F694*$X$1</f>
        <v>12194.25</v>
      </c>
      <c r="H694" s="555"/>
      <c r="I694" s="555"/>
      <c r="J694" s="665">
        <f t="shared" si="1903"/>
        <v>12694.25</v>
      </c>
      <c r="K694" s="546">
        <f t="shared" si="1916"/>
        <v>12694.25</v>
      </c>
      <c r="L694" s="558">
        <f>F694+410</f>
        <v>12604.25</v>
      </c>
      <c r="M694" s="545">
        <f>+L694*$X$1</f>
        <v>12604.25</v>
      </c>
      <c r="N694" s="558">
        <f>F694+370</f>
        <v>12564.25</v>
      </c>
      <c r="O694" s="545">
        <f>+N694*$X$1</f>
        <v>12564.25</v>
      </c>
      <c r="P694" s="558">
        <f>F694+330</f>
        <v>12524.25</v>
      </c>
      <c r="Q694" s="545">
        <f>+P694*$X$1</f>
        <v>12524.25</v>
      </c>
      <c r="R694" s="558">
        <f>F694+290</f>
        <v>12484.25</v>
      </c>
      <c r="S694" s="545">
        <f>+R694*$X$1</f>
        <v>12484.25</v>
      </c>
      <c r="T694" s="665">
        <f>F694+240</f>
        <v>12434.25</v>
      </c>
      <c r="U694" s="546">
        <f t="shared" si="1917"/>
        <v>12434.25</v>
      </c>
      <c r="V694" s="665"/>
      <c r="W694" s="546"/>
      <c r="X694" s="151"/>
      <c r="Y694" s="151"/>
      <c r="Z694" s="151"/>
      <c r="AA694" s="151"/>
      <c r="AB694" s="423" t="s">
        <v>652</v>
      </c>
    </row>
    <row r="695" spans="1:35" ht="9.75" customHeight="1" x14ac:dyDescent="0.2">
      <c r="A695" s="203"/>
      <c r="B695" s="108"/>
      <c r="C695" s="513"/>
      <c r="D695" s="513"/>
      <c r="E695" s="513"/>
      <c r="F695" s="428"/>
      <c r="G695" s="335"/>
      <c r="H695" s="117"/>
      <c r="I695" s="335"/>
      <c r="J695" s="117"/>
      <c r="K695" s="335"/>
      <c r="L695" s="117"/>
      <c r="M695" s="335"/>
      <c r="N695" s="117"/>
      <c r="O695" s="335"/>
      <c r="P695" s="117"/>
      <c r="Q695" s="335"/>
      <c r="R695" s="117"/>
      <c r="S695" s="335"/>
      <c r="T695" s="117"/>
      <c r="U695" s="335"/>
      <c r="V695" s="75"/>
      <c r="W695" s="469"/>
      <c r="X695" s="512"/>
      <c r="Y695" s="512"/>
      <c r="Z695" s="512"/>
      <c r="AA695" s="512"/>
      <c r="AB695" s="429"/>
    </row>
    <row r="696" spans="1:35" ht="19.5" customHeight="1" x14ac:dyDescent="0.2">
      <c r="A696" s="28"/>
      <c r="B696" s="987" t="s">
        <v>311</v>
      </c>
      <c r="C696" s="988"/>
      <c r="D696" s="988"/>
      <c r="E696" s="988"/>
      <c r="F696" s="988"/>
      <c r="G696" s="988"/>
      <c r="H696" s="988"/>
      <c r="I696" s="988"/>
      <c r="J696" s="988"/>
      <c r="K696" s="988"/>
      <c r="L696" s="988"/>
      <c r="M696" s="988"/>
      <c r="N696" s="988"/>
      <c r="O696" s="988"/>
      <c r="P696" s="988"/>
      <c r="Q696" s="988"/>
      <c r="R696" s="988"/>
      <c r="S696" s="988"/>
      <c r="T696" s="988"/>
      <c r="U696" s="988"/>
      <c r="V696" s="988"/>
      <c r="W696" s="989"/>
      <c r="AF696" s="789"/>
      <c r="AG696" s="790"/>
      <c r="AH696" s="790"/>
    </row>
    <row r="697" spans="1:35" ht="12.6" customHeight="1" x14ac:dyDescent="0.2">
      <c r="A697" s="18"/>
      <c r="B697" s="1002"/>
      <c r="C697" s="1003"/>
      <c r="D697" s="1003"/>
      <c r="E697" s="1003"/>
      <c r="F697" s="1003"/>
      <c r="G697" s="1004"/>
      <c r="H697" s="489"/>
      <c r="I697" s="490" t="s">
        <v>289</v>
      </c>
      <c r="J697" s="490"/>
      <c r="K697" s="490" t="s">
        <v>17</v>
      </c>
      <c r="L697" s="490"/>
      <c r="M697" s="490" t="s">
        <v>18</v>
      </c>
      <c r="N697" s="490"/>
      <c r="O697" s="490" t="s">
        <v>19</v>
      </c>
      <c r="P697" s="490"/>
      <c r="Q697" s="490" t="s">
        <v>291</v>
      </c>
      <c r="R697" s="490"/>
      <c r="S697" s="490" t="s">
        <v>20</v>
      </c>
      <c r="T697" s="490"/>
      <c r="U697" s="490" t="s">
        <v>21</v>
      </c>
      <c r="V697" s="490"/>
      <c r="W697" s="490" t="s">
        <v>22</v>
      </c>
    </row>
    <row r="698" spans="1:35" ht="12.6" customHeight="1" x14ac:dyDescent="0.2">
      <c r="A698" s="998"/>
      <c r="B698" s="993" t="s">
        <v>511</v>
      </c>
      <c r="C698" s="994"/>
      <c r="D698" s="994"/>
      <c r="E698" s="994"/>
      <c r="F698" s="994"/>
      <c r="G698" s="995"/>
      <c r="H698" s="293"/>
      <c r="I698" s="395"/>
      <c r="J698" s="396"/>
      <c r="K698" s="366"/>
      <c r="L698" s="292">
        <v>100</v>
      </c>
      <c r="M698" s="366">
        <f>+L698*$X$1</f>
        <v>100</v>
      </c>
      <c r="N698" s="460">
        <v>60</v>
      </c>
      <c r="O698" s="366">
        <f>+N698*$X$1</f>
        <v>60</v>
      </c>
      <c r="P698" s="460">
        <v>45</v>
      </c>
      <c r="Q698" s="366">
        <f>+P698*$X$1</f>
        <v>45</v>
      </c>
      <c r="R698" s="460">
        <v>40</v>
      </c>
      <c r="S698" s="366">
        <f>+R698*$X$1</f>
        <v>40</v>
      </c>
      <c r="T698" s="460">
        <v>36</v>
      </c>
      <c r="U698" s="367">
        <f>+T698*$X$1</f>
        <v>36</v>
      </c>
      <c r="V698" s="460">
        <v>31</v>
      </c>
      <c r="W698" s="366">
        <f>+V698*$X$1</f>
        <v>31</v>
      </c>
    </row>
    <row r="699" spans="1:35" ht="12.6" customHeight="1" x14ac:dyDescent="0.2">
      <c r="A699" s="998"/>
      <c r="B699" s="934" t="s">
        <v>312</v>
      </c>
      <c r="C699" s="935"/>
      <c r="D699" s="935"/>
      <c r="E699" s="935"/>
      <c r="F699" s="935"/>
      <c r="G699" s="936"/>
      <c r="H699" s="75"/>
      <c r="I699" s="397"/>
      <c r="J699" s="398">
        <v>200</v>
      </c>
      <c r="K699" s="368">
        <f>+J699*$X$1</f>
        <v>200</v>
      </c>
      <c r="L699" s="399">
        <v>160</v>
      </c>
      <c r="M699" s="400">
        <f>+L699*$X$1</f>
        <v>160</v>
      </c>
      <c r="N699" s="112">
        <v>130</v>
      </c>
      <c r="O699" s="400">
        <f>+N699*$X$1</f>
        <v>130</v>
      </c>
      <c r="P699" s="112">
        <v>110</v>
      </c>
      <c r="Q699" s="400">
        <f>+P699*$X$1</f>
        <v>110</v>
      </c>
      <c r="R699" s="112">
        <v>90</v>
      </c>
      <c r="S699" s="400">
        <f>+R699*$X$1</f>
        <v>90</v>
      </c>
      <c r="T699" s="112">
        <v>70</v>
      </c>
      <c r="U699" s="400">
        <f>+T699*$X$1</f>
        <v>70</v>
      </c>
      <c r="V699" s="112">
        <v>55</v>
      </c>
      <c r="W699" s="400">
        <f>+V699*$X$1</f>
        <v>55</v>
      </c>
    </row>
    <row r="700" spans="1:35" ht="12.6" customHeight="1" x14ac:dyDescent="0.2">
      <c r="A700" s="998"/>
      <c r="B700" s="993" t="s">
        <v>512</v>
      </c>
      <c r="C700" s="994"/>
      <c r="D700" s="994"/>
      <c r="E700" s="994"/>
      <c r="F700" s="994"/>
      <c r="G700" s="995"/>
      <c r="H700" s="292"/>
      <c r="I700" s="366"/>
      <c r="J700" s="292"/>
      <c r="K700" s="366"/>
      <c r="L700" s="292">
        <v>100</v>
      </c>
      <c r="M700" s="366">
        <f>+L700*$X$1</f>
        <v>100</v>
      </c>
      <c r="N700" s="460">
        <v>80</v>
      </c>
      <c r="O700" s="366">
        <f>+N700*$X$1</f>
        <v>80</v>
      </c>
      <c r="P700" s="460">
        <v>75</v>
      </c>
      <c r="Q700" s="366">
        <f>+P700*$X$1</f>
        <v>75</v>
      </c>
      <c r="R700" s="460">
        <v>65</v>
      </c>
      <c r="S700" s="366">
        <f>+R700*$X$1</f>
        <v>65</v>
      </c>
      <c r="T700" s="460">
        <v>55</v>
      </c>
      <c r="U700" s="367">
        <f>+T700*$X$1</f>
        <v>55</v>
      </c>
      <c r="V700" s="460">
        <v>50</v>
      </c>
      <c r="W700" s="366">
        <f>+V700*$X$1</f>
        <v>50</v>
      </c>
    </row>
    <row r="701" spans="1:35" ht="12.6" customHeight="1" x14ac:dyDescent="0.2">
      <c r="A701" s="998"/>
      <c r="B701" s="923" t="s">
        <v>510</v>
      </c>
      <c r="C701" s="924"/>
      <c r="D701" s="924"/>
      <c r="E701" s="924"/>
      <c r="F701" s="924"/>
      <c r="G701" s="925"/>
      <c r="H701" s="401">
        <v>330</v>
      </c>
      <c r="I701" s="368">
        <f>+H701*$X$1</f>
        <v>330</v>
      </c>
      <c r="J701" s="401">
        <v>240</v>
      </c>
      <c r="K701" s="368">
        <f>+J701*$X$1</f>
        <v>240</v>
      </c>
      <c r="L701" s="401">
        <v>190</v>
      </c>
      <c r="M701" s="368">
        <f>+L701*$X$1</f>
        <v>190</v>
      </c>
      <c r="N701" s="472">
        <v>170</v>
      </c>
      <c r="O701" s="368">
        <f>+N701*$X$1</f>
        <v>170</v>
      </c>
      <c r="P701" s="472">
        <v>150</v>
      </c>
      <c r="Q701" s="368">
        <f>+P701*$X$1</f>
        <v>150</v>
      </c>
      <c r="R701" s="472">
        <v>130</v>
      </c>
      <c r="S701" s="368">
        <f>+R701*$X$1</f>
        <v>130</v>
      </c>
      <c r="T701" s="472">
        <v>110</v>
      </c>
      <c r="U701" s="400">
        <f>+T701*$X$1</f>
        <v>110</v>
      </c>
      <c r="V701" s="472">
        <v>95</v>
      </c>
      <c r="W701" s="368">
        <f>+V701*$X$1</f>
        <v>95</v>
      </c>
    </row>
    <row r="702" spans="1:35" ht="12.75" customHeight="1" x14ac:dyDescent="0.2">
      <c r="A702" s="998"/>
      <c r="B702" s="875" t="s">
        <v>852</v>
      </c>
      <c r="C702" s="876"/>
      <c r="D702" s="876"/>
      <c r="E702" s="876"/>
      <c r="F702" s="876"/>
      <c r="G702" s="876"/>
      <c r="H702" s="876"/>
      <c r="I702" s="876"/>
      <c r="J702" s="876"/>
      <c r="K702" s="876"/>
      <c r="L702" s="876"/>
      <c r="M702" s="876"/>
      <c r="N702" s="876"/>
      <c r="O702" s="876"/>
      <c r="P702" s="876"/>
      <c r="Q702" s="876"/>
      <c r="R702" s="876"/>
      <c r="S702" s="876"/>
      <c r="T702" s="876"/>
      <c r="U702" s="876"/>
      <c r="V702" s="876"/>
      <c r="W702" s="877"/>
    </row>
    <row r="703" spans="1:35" ht="13.5" customHeight="1" x14ac:dyDescent="0.2">
      <c r="A703" s="998"/>
      <c r="B703" s="848" t="s">
        <v>579</v>
      </c>
      <c r="C703" s="849"/>
      <c r="D703" s="849"/>
      <c r="E703" s="849"/>
      <c r="F703" s="849"/>
      <c r="G703" s="850"/>
      <c r="H703" s="920"/>
      <c r="I703" s="863" t="s">
        <v>289</v>
      </c>
      <c r="J703" s="920"/>
      <c r="K703" s="863" t="s">
        <v>17</v>
      </c>
      <c r="L703" s="863"/>
      <c r="M703" s="863" t="s">
        <v>18</v>
      </c>
      <c r="N703" s="863"/>
      <c r="O703" s="863" t="s">
        <v>19</v>
      </c>
      <c r="P703" s="863"/>
      <c r="Q703" s="863" t="s">
        <v>291</v>
      </c>
      <c r="R703" s="863"/>
      <c r="S703" s="863" t="s">
        <v>20</v>
      </c>
      <c r="T703" s="863"/>
      <c r="U703" s="863" t="s">
        <v>21</v>
      </c>
      <c r="V703" s="863"/>
      <c r="W703" s="863" t="s">
        <v>22</v>
      </c>
    </row>
    <row r="704" spans="1:35" ht="11.25" customHeight="1" x14ac:dyDescent="0.2">
      <c r="A704" s="998"/>
      <c r="B704" s="851"/>
      <c r="C704" s="852"/>
      <c r="D704" s="852"/>
      <c r="E704" s="852"/>
      <c r="F704" s="852"/>
      <c r="G704" s="853"/>
      <c r="H704" s="921"/>
      <c r="I704" s="922"/>
      <c r="J704" s="921"/>
      <c r="K704" s="922"/>
      <c r="L704" s="864"/>
      <c r="M704" s="864"/>
      <c r="N704" s="864"/>
      <c r="O704" s="864"/>
      <c r="P704" s="864"/>
      <c r="Q704" s="864"/>
      <c r="R704" s="864"/>
      <c r="S704" s="864"/>
      <c r="T704" s="864"/>
      <c r="U704" s="864"/>
      <c r="V704" s="864"/>
      <c r="W704" s="864"/>
      <c r="AB704" s="59"/>
      <c r="AC704" s="59"/>
      <c r="AD704" s="59"/>
      <c r="AE704" s="59"/>
      <c r="AF704" s="59"/>
      <c r="AG704" s="59"/>
      <c r="AH704" s="59"/>
      <c r="AI704" s="59"/>
    </row>
    <row r="705" spans="1:28" ht="12.6" customHeight="1" x14ac:dyDescent="0.2">
      <c r="A705" s="998"/>
      <c r="B705" s="880" t="s">
        <v>577</v>
      </c>
      <c r="C705" s="881"/>
      <c r="D705" s="881"/>
      <c r="E705" s="881"/>
      <c r="F705" s="881"/>
      <c r="G705" s="882"/>
      <c r="H705" s="294">
        <v>510</v>
      </c>
      <c r="I705" s="369">
        <f>+H705*$X$1</f>
        <v>510</v>
      </c>
      <c r="J705" s="89">
        <v>410</v>
      </c>
      <c r="K705" s="369">
        <f>+J705*$X$1</f>
        <v>410</v>
      </c>
      <c r="L705" s="460">
        <v>360</v>
      </c>
      <c r="M705" s="366">
        <f>+L705*$X$1</f>
        <v>360</v>
      </c>
      <c r="N705" s="460">
        <v>320</v>
      </c>
      <c r="O705" s="366">
        <f>+N705*$X$1</f>
        <v>320</v>
      </c>
      <c r="P705" s="460">
        <v>270</v>
      </c>
      <c r="Q705" s="366">
        <f>+P705*$X$1</f>
        <v>270</v>
      </c>
      <c r="R705" s="460">
        <v>250</v>
      </c>
      <c r="S705" s="366">
        <f>+R705*$X$1</f>
        <v>250</v>
      </c>
      <c r="T705" s="460">
        <v>230</v>
      </c>
      <c r="U705" s="366">
        <f>+T705*$X$1</f>
        <v>230</v>
      </c>
      <c r="V705" s="460">
        <v>220</v>
      </c>
      <c r="W705" s="366">
        <f>+V705*$X$1</f>
        <v>220</v>
      </c>
    </row>
    <row r="706" spans="1:28" ht="12.6" customHeight="1" x14ac:dyDescent="0.2">
      <c r="A706" s="998"/>
      <c r="B706" s="999" t="s">
        <v>574</v>
      </c>
      <c r="C706" s="1000"/>
      <c r="D706" s="1000"/>
      <c r="E706" s="1000"/>
      <c r="F706" s="1000"/>
      <c r="G706" s="1001"/>
      <c r="H706" s="92">
        <v>570</v>
      </c>
      <c r="I706" s="402">
        <f>+H706*$X$1</f>
        <v>570</v>
      </c>
      <c r="J706" s="71">
        <v>480</v>
      </c>
      <c r="K706" s="402">
        <f>+J706*$X$1</f>
        <v>480</v>
      </c>
      <c r="L706" s="472">
        <v>450</v>
      </c>
      <c r="M706" s="368">
        <f>+L706*$X$1</f>
        <v>450</v>
      </c>
      <c r="N706" s="472">
        <v>410</v>
      </c>
      <c r="O706" s="368">
        <f>+N706*$X$1</f>
        <v>410</v>
      </c>
      <c r="P706" s="472">
        <v>380</v>
      </c>
      <c r="Q706" s="368">
        <f>+P706*$X$1</f>
        <v>380</v>
      </c>
      <c r="R706" s="472">
        <v>350</v>
      </c>
      <c r="S706" s="368">
        <f>+R706*$X$1</f>
        <v>350</v>
      </c>
      <c r="T706" s="472">
        <v>330</v>
      </c>
      <c r="U706" s="368">
        <f>+T706*$X$1</f>
        <v>330</v>
      </c>
      <c r="V706" s="472">
        <v>310</v>
      </c>
      <c r="W706" s="368">
        <f>+V706*$X$1</f>
        <v>310</v>
      </c>
    </row>
    <row r="707" spans="1:28" ht="12.6" customHeight="1" x14ac:dyDescent="0.2">
      <c r="A707" s="998"/>
      <c r="B707" s="880" t="s">
        <v>576</v>
      </c>
      <c r="C707" s="881"/>
      <c r="D707" s="881"/>
      <c r="E707" s="881"/>
      <c r="F707" s="881"/>
      <c r="G707" s="882"/>
      <c r="H707" s="294">
        <v>780</v>
      </c>
      <c r="I707" s="369">
        <f>+H707*$X$1</f>
        <v>780</v>
      </c>
      <c r="J707" s="89">
        <v>700</v>
      </c>
      <c r="K707" s="369">
        <f>+J707*$X$1</f>
        <v>700</v>
      </c>
      <c r="L707" s="460">
        <v>600</v>
      </c>
      <c r="M707" s="366">
        <f>+L707*$X$1</f>
        <v>600</v>
      </c>
      <c r="N707" s="460">
        <v>550</v>
      </c>
      <c r="O707" s="366">
        <f>+N707*$X$1</f>
        <v>550</v>
      </c>
      <c r="P707" s="460">
        <v>510</v>
      </c>
      <c r="Q707" s="366">
        <f>+P707*$X$1</f>
        <v>510</v>
      </c>
      <c r="R707" s="460">
        <v>490</v>
      </c>
      <c r="S707" s="366">
        <f>+R707*$X$1</f>
        <v>490</v>
      </c>
      <c r="T707" s="460">
        <v>480</v>
      </c>
      <c r="U707" s="366">
        <f>+T707*$X$1</f>
        <v>480</v>
      </c>
      <c r="V707" s="460">
        <v>460</v>
      </c>
      <c r="W707" s="366">
        <f>+V707*$X$1</f>
        <v>460</v>
      </c>
    </row>
    <row r="708" spans="1:28" ht="12.6" customHeight="1" x14ac:dyDescent="0.2">
      <c r="A708" s="998"/>
      <c r="B708" s="999" t="s">
        <v>575</v>
      </c>
      <c r="C708" s="1000"/>
      <c r="D708" s="1000"/>
      <c r="E708" s="1000"/>
      <c r="F708" s="1000"/>
      <c r="G708" s="1001"/>
      <c r="H708" s="92">
        <v>1060</v>
      </c>
      <c r="I708" s="487">
        <f>+H708*$X$1</f>
        <v>1060</v>
      </c>
      <c r="J708" s="71">
        <v>920</v>
      </c>
      <c r="K708" s="488">
        <f>+J708*$X$1</f>
        <v>920</v>
      </c>
      <c r="L708" s="472">
        <v>800</v>
      </c>
      <c r="M708" s="368">
        <f>+L708*$X$1</f>
        <v>800</v>
      </c>
      <c r="N708" s="472">
        <v>740</v>
      </c>
      <c r="O708" s="368">
        <f>+N708*$X$1</f>
        <v>740</v>
      </c>
      <c r="P708" s="472">
        <v>710</v>
      </c>
      <c r="Q708" s="368">
        <f>+P708*$X$1</f>
        <v>710</v>
      </c>
      <c r="R708" s="472">
        <v>690</v>
      </c>
      <c r="S708" s="368">
        <f>+R708*$X$1</f>
        <v>690</v>
      </c>
      <c r="T708" s="472">
        <v>670</v>
      </c>
      <c r="U708" s="368">
        <f>+T708*$X$1</f>
        <v>670</v>
      </c>
      <c r="V708" s="472">
        <v>650</v>
      </c>
      <c r="W708" s="368">
        <f>+V708*$X$1</f>
        <v>650</v>
      </c>
    </row>
    <row r="709" spans="1:28" ht="6" customHeight="1" x14ac:dyDescent="0.2">
      <c r="A709" s="203"/>
      <c r="B709" s="204"/>
      <c r="C709" s="204"/>
      <c r="D709" s="204"/>
      <c r="E709" s="204"/>
      <c r="F709" s="205"/>
      <c r="G709" s="205"/>
      <c r="H709" s="75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75"/>
      <c r="W709" s="198"/>
      <c r="X709" s="197"/>
      <c r="Y709" s="197"/>
      <c r="Z709" s="197"/>
      <c r="AA709" s="197"/>
      <c r="AB709" s="207"/>
    </row>
    <row r="710" spans="1:28" ht="13.5" customHeight="1" x14ac:dyDescent="0.2">
      <c r="B710" s="840" t="s">
        <v>517</v>
      </c>
      <c r="C710" s="841"/>
      <c r="D710" s="841"/>
      <c r="E710" s="841"/>
      <c r="F710" s="841"/>
      <c r="G710" s="841"/>
      <c r="H710" s="841"/>
      <c r="I710" s="841"/>
      <c r="J710" s="841"/>
      <c r="K710" s="69" t="s">
        <v>513</v>
      </c>
      <c r="L710" s="70">
        <v>29</v>
      </c>
      <c r="M710" s="365">
        <f>+L710*$X$1</f>
        <v>29</v>
      </c>
      <c r="N710" s="68"/>
      <c r="O710" s="69" t="s">
        <v>514</v>
      </c>
      <c r="P710" s="70">
        <v>27</v>
      </c>
      <c r="Q710" s="365">
        <f>+P710*$X$1</f>
        <v>27</v>
      </c>
      <c r="R710" s="46"/>
      <c r="S710" s="46"/>
      <c r="T710" s="46"/>
      <c r="U710" s="46"/>
      <c r="V710" s="46"/>
      <c r="W710" s="46"/>
    </row>
    <row r="711" spans="1:28" ht="10.5" customHeight="1" x14ac:dyDescent="0.2">
      <c r="B711" s="49"/>
      <c r="C711" s="171"/>
      <c r="D711" s="171"/>
      <c r="E711" s="171"/>
      <c r="F711" s="171"/>
      <c r="G711" s="171"/>
      <c r="H711" s="171"/>
      <c r="I711" s="171"/>
      <c r="J711" s="171"/>
      <c r="K711" s="50"/>
      <c r="L711" s="51"/>
      <c r="M711" s="52"/>
      <c r="N711" s="46"/>
      <c r="O711" s="50"/>
      <c r="P711" s="51"/>
      <c r="Q711" s="52"/>
      <c r="R711" s="46"/>
      <c r="S711" s="46"/>
      <c r="T711" s="46"/>
      <c r="U711" s="46"/>
      <c r="V711" s="46"/>
      <c r="W711" s="46"/>
    </row>
    <row r="712" spans="1:28" x14ac:dyDescent="0.2">
      <c r="B712" s="3"/>
      <c r="C712" s="838" t="s">
        <v>313</v>
      </c>
      <c r="D712" s="839"/>
      <c r="E712" s="839"/>
      <c r="F712" s="839"/>
      <c r="G712" s="839"/>
      <c r="H712" s="839"/>
      <c r="I712" s="839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1:28" ht="12.6" customHeight="1" x14ac:dyDescent="0.2">
      <c r="B713" s="3"/>
      <c r="C713" s="983" t="s">
        <v>314</v>
      </c>
      <c r="D713" s="984"/>
      <c r="E713" s="984"/>
      <c r="F713" s="984"/>
      <c r="G713" s="985"/>
      <c r="H713" s="430"/>
      <c r="I713" s="427"/>
      <c r="J713" s="4"/>
      <c r="K713" s="4"/>
      <c r="L713" s="37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1:28" ht="12.6" customHeight="1" x14ac:dyDescent="0.2">
      <c r="B714" s="3"/>
      <c r="C714" s="835" t="s">
        <v>315</v>
      </c>
      <c r="D714" s="836"/>
      <c r="E714" s="836"/>
      <c r="F714" s="836"/>
      <c r="G714" s="837"/>
      <c r="H714" s="41"/>
      <c r="I714" s="431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1:28" ht="12.6" customHeight="1" x14ac:dyDescent="0.2">
      <c r="B715" s="3"/>
      <c r="C715" s="835" t="s">
        <v>316</v>
      </c>
      <c r="D715" s="836"/>
      <c r="E715" s="836"/>
      <c r="F715" s="836"/>
      <c r="G715" s="837"/>
      <c r="H715" s="43"/>
      <c r="I715" s="36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1:28" ht="15.95" customHeight="1" x14ac:dyDescent="0.2">
      <c r="B716" s="3"/>
      <c r="C716" s="883" t="s">
        <v>572</v>
      </c>
      <c r="D716" s="849"/>
      <c r="E716" s="849"/>
      <c r="F716" s="849"/>
      <c r="G716" s="849"/>
      <c r="H716" s="884"/>
      <c r="I716" s="885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1:28" ht="15.75" customHeight="1" x14ac:dyDescent="0.2">
      <c r="B717" s="3"/>
      <c r="C717" s="851"/>
      <c r="D717" s="852"/>
      <c r="E717" s="852"/>
      <c r="F717" s="852"/>
      <c r="G717" s="852"/>
      <c r="H717" s="886"/>
      <c r="I717" s="887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1:28" ht="11.25" customHeight="1" x14ac:dyDescent="0.2">
      <c r="B718" s="4"/>
      <c r="C718" s="48"/>
      <c r="D718" s="48"/>
      <c r="E718" s="48"/>
      <c r="F718" s="48"/>
      <c r="G718" s="48"/>
      <c r="H718" s="42"/>
      <c r="I718" s="341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1:28" ht="11.25" customHeight="1" x14ac:dyDescent="0.2">
      <c r="B719" s="4"/>
      <c r="C719" s="48"/>
      <c r="D719" s="48"/>
      <c r="E719" s="48"/>
      <c r="F719" s="48"/>
      <c r="G719" s="48"/>
      <c r="H719" s="42"/>
      <c r="I719" s="341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1:28" ht="11.25" customHeight="1" thickBot="1" x14ac:dyDescent="0.25">
      <c r="B720" s="4"/>
      <c r="C720" s="48"/>
      <c r="D720" s="48"/>
      <c r="E720" s="48"/>
      <c r="F720" s="48"/>
      <c r="G720" s="48"/>
      <c r="H720" s="42"/>
      <c r="I720" s="341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34" ht="13.5" customHeight="1" x14ac:dyDescent="0.2">
      <c r="B721" s="854" t="s">
        <v>836</v>
      </c>
      <c r="C721" s="855"/>
      <c r="D721" s="855"/>
      <c r="E721" s="855"/>
      <c r="F721" s="855"/>
      <c r="G721" s="855"/>
      <c r="H721" s="855"/>
      <c r="I721" s="855"/>
      <c r="J721" s="855"/>
      <c r="K721" s="855"/>
      <c r="L721" s="855"/>
      <c r="M721" s="855"/>
      <c r="N721" s="855"/>
      <c r="O721" s="855"/>
      <c r="P721" s="855"/>
      <c r="Q721" s="855"/>
      <c r="R721" s="855"/>
      <c r="S721" s="855"/>
      <c r="T721" s="855"/>
      <c r="U721" s="855"/>
      <c r="V721" s="855"/>
      <c r="W721" s="856"/>
    </row>
    <row r="722" spans="2:34" ht="13.5" customHeight="1" x14ac:dyDescent="0.2">
      <c r="B722" s="857"/>
      <c r="C722" s="858"/>
      <c r="D722" s="858"/>
      <c r="E722" s="858"/>
      <c r="F722" s="858"/>
      <c r="G722" s="858"/>
      <c r="H722" s="858"/>
      <c r="I722" s="858"/>
      <c r="J722" s="858"/>
      <c r="K722" s="858"/>
      <c r="L722" s="858"/>
      <c r="M722" s="858"/>
      <c r="N722" s="858"/>
      <c r="O722" s="858"/>
      <c r="P722" s="858"/>
      <c r="Q722" s="858"/>
      <c r="R722" s="858"/>
      <c r="S722" s="858"/>
      <c r="T722" s="858"/>
      <c r="U722" s="858"/>
      <c r="V722" s="858"/>
      <c r="W722" s="859"/>
    </row>
    <row r="723" spans="2:34" ht="13.5" customHeight="1" thickBot="1" x14ac:dyDescent="0.25">
      <c r="B723" s="860"/>
      <c r="C723" s="861"/>
      <c r="D723" s="861"/>
      <c r="E723" s="861"/>
      <c r="F723" s="861"/>
      <c r="G723" s="861"/>
      <c r="H723" s="861"/>
      <c r="I723" s="861"/>
      <c r="J723" s="861"/>
      <c r="K723" s="861"/>
      <c r="L723" s="861"/>
      <c r="M723" s="861"/>
      <c r="N723" s="861"/>
      <c r="O723" s="861"/>
      <c r="P723" s="861"/>
      <c r="Q723" s="861"/>
      <c r="R723" s="861"/>
      <c r="S723" s="861"/>
      <c r="T723" s="861"/>
      <c r="U723" s="861"/>
      <c r="V723" s="861"/>
      <c r="W723" s="862"/>
    </row>
    <row r="724" spans="2:34" ht="9.75" customHeight="1" x14ac:dyDescent="0.2">
      <c r="B724" s="4"/>
      <c r="C724" s="40"/>
      <c r="D724" s="40"/>
      <c r="E724" s="40"/>
      <c r="F724" s="40"/>
      <c r="G724" s="40"/>
      <c r="H724" s="42"/>
      <c r="I724" s="42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23.25" customHeight="1" x14ac:dyDescent="0.2">
      <c r="B725" s="3"/>
      <c r="C725" s="867" t="s">
        <v>669</v>
      </c>
      <c r="D725" s="868"/>
      <c r="E725" s="868"/>
      <c r="F725" s="868"/>
      <c r="G725" s="868"/>
      <c r="H725" s="868"/>
      <c r="I725" s="869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AF725" s="789" t="s">
        <v>3</v>
      </c>
      <c r="AG725" s="790"/>
      <c r="AH725" s="790"/>
    </row>
    <row r="726" spans="2:34" ht="12.95" customHeight="1" x14ac:dyDescent="0.2">
      <c r="B726" s="3"/>
      <c r="C726" s="888"/>
      <c r="D726" s="889"/>
      <c r="E726" s="889"/>
      <c r="F726" s="889"/>
      <c r="G726" s="889"/>
      <c r="H726" s="889"/>
      <c r="I726" s="890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2.95" customHeight="1" x14ac:dyDescent="0.2">
      <c r="B727" s="3"/>
      <c r="C727" s="891"/>
      <c r="D727" s="892"/>
      <c r="E727" s="892"/>
      <c r="F727" s="892"/>
      <c r="G727" s="892"/>
      <c r="H727" s="892"/>
      <c r="I727" s="89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2.95" customHeight="1" x14ac:dyDescent="0.2">
      <c r="B728" s="3"/>
      <c r="C728" s="891"/>
      <c r="D728" s="892"/>
      <c r="E728" s="892"/>
      <c r="F728" s="892"/>
      <c r="G728" s="892"/>
      <c r="H728" s="892"/>
      <c r="I728" s="89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2.95" customHeight="1" x14ac:dyDescent="0.2">
      <c r="B729" s="3"/>
      <c r="C729" s="891"/>
      <c r="D729" s="892"/>
      <c r="E729" s="892"/>
      <c r="F729" s="892"/>
      <c r="G729" s="892"/>
      <c r="H729" s="892"/>
      <c r="I729" s="89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34" ht="12.95" customHeight="1" x14ac:dyDescent="0.2">
      <c r="B730" s="3"/>
      <c r="C730" s="891"/>
      <c r="D730" s="892"/>
      <c r="E730" s="892"/>
      <c r="F730" s="892"/>
      <c r="G730" s="892"/>
      <c r="H730" s="892"/>
      <c r="I730" s="89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34" ht="12.95" customHeight="1" x14ac:dyDescent="0.2">
      <c r="B731" s="3"/>
      <c r="C731" s="891"/>
      <c r="D731" s="892"/>
      <c r="E731" s="892"/>
      <c r="F731" s="892"/>
      <c r="G731" s="892"/>
      <c r="H731" s="892"/>
      <c r="I731" s="89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34" ht="10.5" customHeight="1" x14ac:dyDescent="0.2">
      <c r="B732" s="3"/>
      <c r="C732" s="894"/>
      <c r="D732" s="895"/>
      <c r="E732" s="895"/>
      <c r="F732" s="895"/>
      <c r="G732" s="895"/>
      <c r="H732" s="895"/>
      <c r="I732" s="896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12.6" customHeight="1" x14ac:dyDescent="0.2">
      <c r="B733" s="3"/>
      <c r="C733" s="870" t="s">
        <v>414</v>
      </c>
      <c r="D733" s="870"/>
      <c r="E733" s="871"/>
      <c r="F733" s="871"/>
      <c r="G733" s="872"/>
      <c r="H733" s="43">
        <v>1200</v>
      </c>
      <c r="I733" s="368">
        <f>+H733*$X$1</f>
        <v>1200</v>
      </c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12.6" customHeight="1" x14ac:dyDescent="0.2">
      <c r="B734" s="3"/>
      <c r="C734" s="870" t="s">
        <v>670</v>
      </c>
      <c r="D734" s="870"/>
      <c r="E734" s="871"/>
      <c r="F734" s="871"/>
      <c r="G734" s="872"/>
      <c r="H734" s="43">
        <v>1100</v>
      </c>
      <c r="I734" s="368">
        <f>+H734*$X$1</f>
        <v>1100</v>
      </c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6" customHeight="1" x14ac:dyDescent="0.2">
      <c r="B735" s="3"/>
      <c r="C735" s="47"/>
      <c r="D735" s="45"/>
      <c r="E735" s="45"/>
      <c r="F735" s="45"/>
      <c r="G735" s="40"/>
      <c r="H735" s="42"/>
      <c r="I735" s="4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8" customHeight="1" x14ac:dyDescent="0.2">
      <c r="B736" s="945" t="s">
        <v>573</v>
      </c>
      <c r="C736" s="946"/>
      <c r="D736" s="946"/>
      <c r="E736" s="946"/>
      <c r="F736" s="946"/>
      <c r="G736" s="946"/>
      <c r="H736" s="946"/>
      <c r="I736" s="946"/>
      <c r="J736" s="946"/>
      <c r="K736" s="946"/>
      <c r="L736" s="946"/>
      <c r="M736" s="946"/>
      <c r="N736" s="946"/>
      <c r="O736" s="946"/>
      <c r="P736" s="946"/>
      <c r="Q736" s="946"/>
      <c r="R736" s="946"/>
      <c r="S736" s="946"/>
      <c r="T736" s="946"/>
      <c r="U736" s="946"/>
      <c r="V736" s="946"/>
      <c r="W736" s="947"/>
    </row>
    <row r="737" spans="2:34" ht="12.6" customHeight="1" x14ac:dyDescent="0.2">
      <c r="B737" s="26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</row>
    <row r="738" spans="2:34" ht="15.75" customHeight="1" x14ac:dyDescent="0.2">
      <c r="B738" s="943" t="s">
        <v>317</v>
      </c>
      <c r="C738" s="944"/>
      <c r="D738" s="944"/>
      <c r="E738" s="944"/>
      <c r="F738" s="944"/>
      <c r="G738" s="944"/>
      <c r="H738" s="944"/>
      <c r="I738" s="944"/>
      <c r="J738" s="944"/>
      <c r="K738" s="944"/>
      <c r="L738" s="944"/>
      <c r="M738" s="944"/>
      <c r="N738" s="944"/>
      <c r="O738" s="944"/>
      <c r="P738" s="944"/>
      <c r="Q738" s="944"/>
      <c r="R738" s="944"/>
      <c r="S738" s="944"/>
      <c r="T738" s="944"/>
      <c r="U738" s="944"/>
      <c r="V738" s="944"/>
      <c r="W738" s="944"/>
    </row>
    <row r="739" spans="2:34" ht="15.75" customHeight="1" x14ac:dyDescent="0.2">
      <c r="B739" s="943" t="s">
        <v>318</v>
      </c>
      <c r="C739" s="944"/>
      <c r="D739" s="944"/>
      <c r="E739" s="944"/>
      <c r="F739" s="944"/>
      <c r="G739" s="944"/>
      <c r="H739" s="944"/>
      <c r="I739" s="944"/>
      <c r="J739" s="944"/>
      <c r="K739" s="944"/>
      <c r="L739" s="944"/>
      <c r="M739" s="944"/>
      <c r="N739" s="944"/>
      <c r="O739" s="944"/>
      <c r="P739" s="944"/>
      <c r="Q739" s="944"/>
      <c r="R739" s="944"/>
      <c r="S739" s="944"/>
      <c r="T739" s="944"/>
      <c r="U739" s="944"/>
      <c r="V739" s="944"/>
      <c r="W739" s="944"/>
      <c r="AF739" s="789"/>
      <c r="AG739" s="790"/>
      <c r="AH739" s="790"/>
    </row>
    <row r="740" spans="2:34" ht="15.75" customHeight="1" x14ac:dyDescent="0.2">
      <c r="B740" s="943" t="s">
        <v>319</v>
      </c>
      <c r="C740" s="944"/>
      <c r="D740" s="944"/>
      <c r="E740" s="944"/>
      <c r="F740" s="944"/>
      <c r="G740" s="944"/>
      <c r="H740" s="944"/>
      <c r="I740" s="944"/>
      <c r="J740" s="944"/>
      <c r="K740" s="944"/>
      <c r="L740" s="944"/>
      <c r="M740" s="944"/>
      <c r="N740" s="944"/>
      <c r="O740" s="944"/>
      <c r="P740" s="944"/>
      <c r="Q740" s="944"/>
      <c r="R740" s="944"/>
      <c r="S740" s="944"/>
      <c r="T740" s="944"/>
      <c r="U740" s="944"/>
      <c r="V740" s="944"/>
      <c r="W740" s="944"/>
    </row>
    <row r="741" spans="2:34" ht="12.6" customHeight="1" x14ac:dyDescent="0.2">
      <c r="B741" s="11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2:34" ht="18" customHeight="1" thickBot="1" x14ac:dyDescent="0.25">
      <c r="B742" s="980" t="s">
        <v>320</v>
      </c>
      <c r="C742" s="981"/>
      <c r="D742" s="981"/>
      <c r="E742" s="981"/>
      <c r="F742" s="981"/>
      <c r="G742" s="981"/>
      <c r="H742" s="981"/>
      <c r="I742" s="981"/>
      <c r="J742" s="981"/>
      <c r="K742" s="981"/>
      <c r="L742" s="981"/>
      <c r="M742" s="981"/>
      <c r="N742" s="981"/>
      <c r="O742" s="981"/>
      <c r="P742" s="981"/>
      <c r="Q742" s="981"/>
      <c r="R742" s="981"/>
      <c r="S742" s="981"/>
      <c r="T742" s="981"/>
      <c r="U742" s="981"/>
      <c r="V742" s="981"/>
      <c r="W742" s="982"/>
    </row>
    <row r="743" spans="2:34" x14ac:dyDescent="0.2">
      <c r="B743" s="969" t="s">
        <v>321</v>
      </c>
      <c r="C743" s="970"/>
      <c r="D743" s="970"/>
      <c r="E743" s="970"/>
      <c r="F743" s="970"/>
      <c r="G743" s="970"/>
      <c r="H743" s="970"/>
      <c r="I743" s="970"/>
      <c r="J743" s="970"/>
      <c r="K743" s="970"/>
      <c r="L743" s="970"/>
      <c r="M743" s="970"/>
      <c r="N743" s="971"/>
      <c r="O743" s="971"/>
      <c r="P743" s="971"/>
      <c r="Q743" s="971"/>
      <c r="R743" s="971"/>
      <c r="S743" s="971"/>
      <c r="T743" s="971"/>
      <c r="U743" s="971"/>
      <c r="V743" s="971"/>
      <c r="W743" s="972"/>
    </row>
    <row r="744" spans="2:34" ht="12.75" customHeight="1" x14ac:dyDescent="0.2">
      <c r="B744" s="973"/>
      <c r="C744" s="970"/>
      <c r="D744" s="970"/>
      <c r="E744" s="970"/>
      <c r="F744" s="970"/>
      <c r="G744" s="970"/>
      <c r="H744" s="970"/>
      <c r="I744" s="970"/>
      <c r="J744" s="970"/>
      <c r="K744" s="970"/>
      <c r="L744" s="970"/>
      <c r="M744" s="970"/>
      <c r="N744" s="971"/>
      <c r="O744" s="971"/>
      <c r="P744" s="971"/>
      <c r="Q744" s="971"/>
      <c r="R744" s="971"/>
      <c r="S744" s="971"/>
      <c r="T744" s="971"/>
      <c r="U744" s="971"/>
      <c r="V744" s="971"/>
      <c r="W744" s="972"/>
    </row>
    <row r="745" spans="2:34" x14ac:dyDescent="0.2">
      <c r="B745" s="973"/>
      <c r="C745" s="970"/>
      <c r="D745" s="970"/>
      <c r="E745" s="970"/>
      <c r="F745" s="970"/>
      <c r="G745" s="970"/>
      <c r="H745" s="970"/>
      <c r="I745" s="970"/>
      <c r="J745" s="970"/>
      <c r="K745" s="970"/>
      <c r="L745" s="970"/>
      <c r="M745" s="970"/>
      <c r="N745" s="971"/>
      <c r="O745" s="971"/>
      <c r="P745" s="971"/>
      <c r="Q745" s="971"/>
      <c r="R745" s="971"/>
      <c r="S745" s="971"/>
      <c r="T745" s="971"/>
      <c r="U745" s="971"/>
      <c r="V745" s="971"/>
      <c r="W745" s="972"/>
    </row>
    <row r="746" spans="2:34" x14ac:dyDescent="0.2">
      <c r="B746" s="974"/>
      <c r="C746" s="975"/>
      <c r="D746" s="975"/>
      <c r="E746" s="975"/>
      <c r="F746" s="975"/>
      <c r="G746" s="975"/>
      <c r="H746" s="975"/>
      <c r="I746" s="975"/>
      <c r="J746" s="975"/>
      <c r="K746" s="975"/>
      <c r="L746" s="975"/>
      <c r="M746" s="975"/>
      <c r="N746" s="976"/>
      <c r="O746" s="976"/>
      <c r="P746" s="976"/>
      <c r="Q746" s="976"/>
      <c r="R746" s="976"/>
      <c r="S746" s="976"/>
      <c r="T746" s="976"/>
      <c r="U746" s="976"/>
      <c r="V746" s="976"/>
      <c r="W746" s="977"/>
    </row>
    <row r="747" spans="2:34" ht="12.6" customHeight="1" x14ac:dyDescent="0.2">
      <c r="B747" s="209"/>
      <c r="C747" s="209"/>
      <c r="D747" s="209"/>
      <c r="E747" s="209"/>
      <c r="F747" s="209"/>
      <c r="G747" s="209"/>
      <c r="H747" s="209"/>
      <c r="I747" s="209"/>
      <c r="J747" s="209"/>
      <c r="K747" s="209"/>
      <c r="L747" s="209"/>
      <c r="M747" s="210"/>
      <c r="N747" s="62"/>
      <c r="O747" s="62"/>
      <c r="P747" s="62"/>
      <c r="Q747" s="62"/>
      <c r="R747" s="62"/>
      <c r="S747" s="62"/>
      <c r="T747" s="62"/>
      <c r="U747" s="62"/>
      <c r="V747" s="62"/>
      <c r="W747" s="62"/>
    </row>
    <row r="748" spans="2:34" x14ac:dyDescent="0.2">
      <c r="B748" s="978" t="s">
        <v>322</v>
      </c>
      <c r="C748" s="979"/>
      <c r="D748" s="979"/>
      <c r="E748" s="979"/>
      <c r="F748" s="979"/>
      <c r="G748" s="979"/>
      <c r="H748" s="979"/>
      <c r="I748" s="979"/>
      <c r="J748" s="979"/>
      <c r="K748" s="979"/>
      <c r="L748" s="979"/>
      <c r="M748" s="979"/>
      <c r="N748" s="979"/>
      <c r="O748" s="979"/>
      <c r="P748" s="979"/>
      <c r="Q748" s="979"/>
      <c r="R748" s="979"/>
      <c r="S748" s="979"/>
      <c r="T748" s="979"/>
      <c r="U748" s="979"/>
      <c r="V748" s="979"/>
      <c r="W748" s="979"/>
    </row>
    <row r="749" spans="2:34" x14ac:dyDescent="0.2">
      <c r="B749" s="979"/>
      <c r="C749" s="979"/>
      <c r="D749" s="979"/>
      <c r="E749" s="979"/>
      <c r="F749" s="979"/>
      <c r="G749" s="979"/>
      <c r="H749" s="979"/>
      <c r="I749" s="979"/>
      <c r="J749" s="979"/>
      <c r="K749" s="979"/>
      <c r="L749" s="979"/>
      <c r="M749" s="979"/>
      <c r="N749" s="979"/>
      <c r="O749" s="979"/>
      <c r="P749" s="979"/>
      <c r="Q749" s="979"/>
      <c r="R749" s="979"/>
      <c r="S749" s="979"/>
      <c r="T749" s="979"/>
      <c r="U749" s="979"/>
      <c r="V749" s="979"/>
      <c r="W749" s="979"/>
    </row>
    <row r="750" spans="2:34" x14ac:dyDescent="0.2">
      <c r="B750" s="964" t="s">
        <v>323</v>
      </c>
      <c r="C750" s="944"/>
      <c r="D750" s="944"/>
      <c r="E750" s="944"/>
      <c r="F750" s="944"/>
      <c r="G750" s="944"/>
      <c r="H750" s="944"/>
      <c r="I750" s="944"/>
      <c r="J750" s="944"/>
      <c r="K750" s="944"/>
      <c r="L750" s="944"/>
      <c r="M750" s="944"/>
      <c r="N750" s="944"/>
      <c r="O750" s="944"/>
      <c r="P750" s="944"/>
      <c r="Q750" s="944"/>
      <c r="R750" s="944"/>
      <c r="S750" s="944"/>
      <c r="T750" s="944"/>
      <c r="U750" s="944"/>
      <c r="V750" s="944"/>
      <c r="W750" s="944"/>
    </row>
    <row r="751" spans="2:34" ht="14.25" customHeight="1" x14ac:dyDescent="0.2">
      <c r="B751" s="563"/>
      <c r="C751" s="562"/>
      <c r="D751" s="562"/>
      <c r="E751" s="562"/>
      <c r="F751" s="562"/>
      <c r="G751" s="562"/>
      <c r="H751" s="562"/>
      <c r="I751" s="562"/>
      <c r="J751" s="562"/>
      <c r="K751" s="562"/>
      <c r="L751" s="562"/>
      <c r="M751" s="562"/>
      <c r="N751" s="562"/>
      <c r="O751" s="562"/>
      <c r="P751" s="562"/>
      <c r="Q751" s="562"/>
      <c r="R751" s="562"/>
      <c r="S751" s="562"/>
      <c r="T751" s="562"/>
      <c r="U751" s="562"/>
      <c r="V751" s="562"/>
      <c r="W751" s="562"/>
    </row>
    <row r="752" spans="2:34" ht="12.75" customHeight="1" x14ac:dyDescent="0.2">
      <c r="B752" s="838" t="s">
        <v>324</v>
      </c>
      <c r="C752" s="839"/>
      <c r="D752" s="839"/>
      <c r="E752" s="839"/>
      <c r="F752" s="839"/>
      <c r="G752" s="839"/>
      <c r="H752" s="839"/>
      <c r="I752" s="839"/>
      <c r="J752" s="839"/>
      <c r="K752" s="839"/>
      <c r="L752" s="839"/>
      <c r="M752" s="839"/>
      <c r="N752" s="839"/>
      <c r="O752" s="839"/>
      <c r="P752" s="839"/>
      <c r="Q752" s="839"/>
      <c r="R752" s="839"/>
      <c r="S752" s="839"/>
      <c r="T752" s="839"/>
      <c r="U752" s="839"/>
      <c r="V752" s="839"/>
      <c r="W752" s="731"/>
    </row>
    <row r="753" spans="2:26" ht="15" customHeight="1" x14ac:dyDescent="0.2">
      <c r="B753" s="838" t="s">
        <v>378</v>
      </c>
      <c r="C753" s="839"/>
      <c r="D753" s="839"/>
      <c r="E753" s="839"/>
      <c r="F753" s="839"/>
      <c r="G753" s="839"/>
      <c r="H753" s="839"/>
      <c r="I753" s="839"/>
      <c r="J753" s="839"/>
      <c r="K753" s="839"/>
      <c r="L753" s="839"/>
      <c r="M753" s="839"/>
      <c r="N753" s="839"/>
      <c r="O753" s="839"/>
      <c r="P753" s="839"/>
      <c r="Q753" s="839"/>
      <c r="R753" s="839"/>
      <c r="S753" s="839"/>
      <c r="T753" s="839"/>
      <c r="U753" s="839"/>
      <c r="V753" s="839"/>
      <c r="W753" s="731"/>
    </row>
    <row r="754" spans="2:26" ht="13.5" customHeight="1" thickBot="1" x14ac:dyDescent="0.25">
      <c r="B754" s="233"/>
      <c r="C754" s="233"/>
      <c r="D754" s="233"/>
      <c r="E754" s="233"/>
      <c r="F754" s="233"/>
      <c r="G754" s="233"/>
      <c r="H754" s="233"/>
      <c r="I754" s="233"/>
      <c r="J754" s="233"/>
      <c r="K754" s="233"/>
      <c r="L754" s="233"/>
      <c r="M754" s="233"/>
      <c r="N754" s="233"/>
      <c r="O754" s="233"/>
      <c r="P754" s="233"/>
      <c r="Q754" s="233"/>
      <c r="R754" s="233"/>
      <c r="S754" s="233"/>
      <c r="T754" s="233"/>
      <c r="U754" s="233"/>
      <c r="V754" s="233"/>
      <c r="W754" s="233"/>
      <c r="X754" s="65"/>
    </row>
    <row r="755" spans="2:26" ht="90" customHeight="1" x14ac:dyDescent="0.2">
      <c r="B755" s="965"/>
      <c r="C755" s="966"/>
      <c r="D755" s="966"/>
      <c r="E755" s="966"/>
      <c r="F755" s="966"/>
      <c r="G755" s="966"/>
      <c r="H755" s="966"/>
      <c r="I755" s="966"/>
      <c r="J755" s="966"/>
      <c r="K755" s="967"/>
      <c r="L755" s="967"/>
      <c r="M755" s="967"/>
      <c r="N755" s="967"/>
      <c r="O755" s="967"/>
      <c r="P755" s="967"/>
      <c r="Q755" s="967"/>
      <c r="R755" s="967"/>
      <c r="S755" s="967"/>
      <c r="T755" s="967"/>
      <c r="U755" s="967"/>
      <c r="V755" s="967"/>
      <c r="W755" s="968"/>
    </row>
    <row r="756" spans="2:26" ht="12.6" customHeight="1" x14ac:dyDescent="0.25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Z756" s="34"/>
    </row>
    <row r="757" spans="2:26" ht="8.25" customHeight="1" x14ac:dyDescent="0.2">
      <c r="B757" s="948" t="s">
        <v>325</v>
      </c>
      <c r="C757" s="949"/>
      <c r="D757" s="949"/>
      <c r="E757" s="949"/>
      <c r="F757" s="949"/>
      <c r="G757" s="949"/>
      <c r="H757" s="949"/>
      <c r="I757" s="949"/>
      <c r="J757" s="949"/>
      <c r="K757" s="950"/>
      <c r="L757" s="950"/>
      <c r="M757" s="950"/>
      <c r="N757" s="950"/>
      <c r="O757" s="950"/>
      <c r="P757" s="950"/>
      <c r="Q757" s="950"/>
      <c r="R757" s="950"/>
      <c r="S757" s="950"/>
      <c r="T757" s="950"/>
      <c r="U757" s="950"/>
      <c r="V757" s="950"/>
      <c r="W757" s="951"/>
    </row>
    <row r="758" spans="2:26" ht="12.75" customHeight="1" x14ac:dyDescent="0.2">
      <c r="B758" s="952"/>
      <c r="C758" s="953"/>
      <c r="D758" s="953"/>
      <c r="E758" s="953"/>
      <c r="F758" s="953"/>
      <c r="G758" s="953"/>
      <c r="H758" s="953"/>
      <c r="I758" s="953"/>
      <c r="J758" s="953"/>
      <c r="K758" s="954"/>
      <c r="L758" s="954"/>
      <c r="M758" s="954"/>
      <c r="N758" s="954"/>
      <c r="O758" s="954"/>
      <c r="P758" s="954"/>
      <c r="Q758" s="954"/>
      <c r="R758" s="954"/>
      <c r="S758" s="954"/>
      <c r="T758" s="954"/>
      <c r="U758" s="954"/>
      <c r="V758" s="954"/>
      <c r="W758" s="955"/>
    </row>
    <row r="759" spans="2:26" x14ac:dyDescent="0.2">
      <c r="B759" s="956"/>
      <c r="C759" s="957"/>
      <c r="D759" s="957"/>
      <c r="E759" s="957"/>
      <c r="F759" s="957"/>
      <c r="G759" s="957"/>
      <c r="H759" s="957"/>
      <c r="I759" s="957"/>
      <c r="J759" s="957"/>
      <c r="K759" s="954"/>
      <c r="L759" s="954"/>
      <c r="M759" s="954"/>
      <c r="N759" s="954"/>
      <c r="O759" s="954"/>
      <c r="P759" s="954"/>
      <c r="Q759" s="954"/>
      <c r="R759" s="954"/>
      <c r="S759" s="954"/>
      <c r="T759" s="954"/>
      <c r="U759" s="954"/>
      <c r="V759" s="954"/>
      <c r="W759" s="955"/>
    </row>
    <row r="760" spans="2:26" x14ac:dyDescent="0.2">
      <c r="B760" s="956"/>
      <c r="C760" s="957"/>
      <c r="D760" s="957"/>
      <c r="E760" s="957"/>
      <c r="F760" s="957"/>
      <c r="G760" s="957"/>
      <c r="H760" s="957"/>
      <c r="I760" s="957"/>
      <c r="J760" s="957"/>
      <c r="K760" s="954"/>
      <c r="L760" s="954"/>
      <c r="M760" s="954"/>
      <c r="N760" s="954"/>
      <c r="O760" s="954"/>
      <c r="P760" s="954"/>
      <c r="Q760" s="954"/>
      <c r="R760" s="954"/>
      <c r="S760" s="954"/>
      <c r="T760" s="954"/>
      <c r="U760" s="954"/>
      <c r="V760" s="954"/>
      <c r="W760" s="955"/>
    </row>
    <row r="761" spans="2:26" x14ac:dyDescent="0.2">
      <c r="B761" s="956"/>
      <c r="C761" s="957"/>
      <c r="D761" s="957"/>
      <c r="E761" s="957"/>
      <c r="F761" s="957"/>
      <c r="G761" s="957"/>
      <c r="H761" s="957"/>
      <c r="I761" s="957"/>
      <c r="J761" s="957"/>
      <c r="K761" s="954"/>
      <c r="L761" s="954"/>
      <c r="M761" s="954"/>
      <c r="N761" s="954"/>
      <c r="O761" s="954"/>
      <c r="P761" s="954"/>
      <c r="Q761" s="954"/>
      <c r="R761" s="954"/>
      <c r="S761" s="954"/>
      <c r="T761" s="954"/>
      <c r="U761" s="954"/>
      <c r="V761" s="954"/>
      <c r="W761" s="955"/>
    </row>
    <row r="762" spans="2:26" x14ac:dyDescent="0.2">
      <c r="B762" s="956"/>
      <c r="C762" s="957"/>
      <c r="D762" s="957"/>
      <c r="E762" s="957"/>
      <c r="F762" s="957"/>
      <c r="G762" s="957"/>
      <c r="H762" s="957"/>
      <c r="I762" s="957"/>
      <c r="J762" s="957"/>
      <c r="K762" s="954"/>
      <c r="L762" s="954"/>
      <c r="M762" s="954"/>
      <c r="N762" s="954"/>
      <c r="O762" s="954"/>
      <c r="P762" s="954"/>
      <c r="Q762" s="954"/>
      <c r="R762" s="954"/>
      <c r="S762" s="954"/>
      <c r="T762" s="954"/>
      <c r="U762" s="954"/>
      <c r="V762" s="954"/>
      <c r="W762" s="955"/>
    </row>
    <row r="763" spans="2:26" x14ac:dyDescent="0.2">
      <c r="B763" s="958"/>
      <c r="C763" s="959"/>
      <c r="D763" s="959"/>
      <c r="E763" s="959"/>
      <c r="F763" s="959"/>
      <c r="G763" s="959"/>
      <c r="H763" s="959"/>
      <c r="I763" s="959"/>
      <c r="J763" s="959"/>
      <c r="K763" s="959"/>
      <c r="L763" s="959"/>
      <c r="M763" s="959"/>
      <c r="N763" s="959"/>
      <c r="O763" s="959"/>
      <c r="P763" s="959"/>
      <c r="Q763" s="959"/>
      <c r="R763" s="959"/>
      <c r="S763" s="959"/>
      <c r="T763" s="959"/>
      <c r="U763" s="959"/>
      <c r="V763" s="959"/>
      <c r="W763" s="960"/>
    </row>
    <row r="764" spans="2:26" x14ac:dyDescent="0.2">
      <c r="B764" s="961"/>
      <c r="C764" s="962"/>
      <c r="D764" s="962"/>
      <c r="E764" s="962"/>
      <c r="F764" s="962"/>
      <c r="G764" s="962"/>
      <c r="H764" s="962"/>
      <c r="I764" s="962"/>
      <c r="J764" s="962"/>
      <c r="K764" s="962"/>
      <c r="L764" s="962"/>
      <c r="M764" s="962"/>
      <c r="N764" s="962"/>
      <c r="O764" s="962"/>
      <c r="P764" s="962"/>
      <c r="Q764" s="962"/>
      <c r="R764" s="962"/>
      <c r="S764" s="962"/>
      <c r="T764" s="962"/>
      <c r="U764" s="962"/>
      <c r="V764" s="962"/>
      <c r="W764" s="963"/>
    </row>
    <row r="765" spans="2:26" ht="12.6" customHeight="1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6" ht="18.75" customHeight="1" x14ac:dyDescent="0.2">
      <c r="B766" s="940" t="s">
        <v>326</v>
      </c>
      <c r="C766" s="941"/>
      <c r="D766" s="941"/>
      <c r="E766" s="941"/>
      <c r="F766" s="941"/>
      <c r="G766" s="941"/>
      <c r="H766" s="941"/>
      <c r="I766" s="941"/>
      <c r="J766" s="941"/>
      <c r="K766" s="941"/>
      <c r="L766" s="941"/>
      <c r="M766" s="941"/>
      <c r="N766" s="941"/>
      <c r="O766" s="941"/>
      <c r="P766" s="941"/>
      <c r="Q766" s="941"/>
      <c r="R766" s="941"/>
      <c r="S766" s="941"/>
      <c r="T766" s="941"/>
      <c r="U766" s="941"/>
      <c r="V766" s="941"/>
      <c r="W766" s="942"/>
    </row>
    <row r="767" spans="2:26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6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ht="12.75" customHeight="1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E1177" s="1"/>
      <c r="F1177" s="1"/>
      <c r="H1177" s="1"/>
      <c r="I1177" s="1"/>
      <c r="J1177" s="1"/>
      <c r="K1177" s="1"/>
    </row>
    <row r="1178" spans="2:23" x14ac:dyDescent="0.2">
      <c r="E1178" s="1"/>
      <c r="F1178" s="1"/>
      <c r="H1178" s="1"/>
      <c r="I1178" s="1"/>
      <c r="J1178" s="1"/>
      <c r="K1178" s="1"/>
    </row>
    <row r="1179" spans="2:23" x14ac:dyDescent="0.2">
      <c r="E1179" s="1"/>
      <c r="F1179" s="1"/>
      <c r="H1179" s="1"/>
      <c r="I1179" s="1"/>
      <c r="J1179" s="1"/>
      <c r="K1179" s="1"/>
    </row>
    <row r="1180" spans="2:23" x14ac:dyDescent="0.2">
      <c r="E1180" s="1"/>
      <c r="F1180" s="1"/>
      <c r="H1180" s="1"/>
      <c r="I1180" s="1"/>
      <c r="J1180" s="1"/>
      <c r="K1180" s="1"/>
    </row>
    <row r="1181" spans="2:23" x14ac:dyDescent="0.2">
      <c r="E1181" s="1"/>
      <c r="F1181" s="1"/>
      <c r="H1181" s="1"/>
      <c r="I1181" s="1"/>
      <c r="J1181" s="1"/>
      <c r="K1181" s="1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</sheetData>
  <mergeCells count="1138">
    <mergeCell ref="X437:AA437"/>
    <mergeCell ref="B440:E440"/>
    <mergeCell ref="X440:AA440"/>
    <mergeCell ref="B366:E366"/>
    <mergeCell ref="B103:E103"/>
    <mergeCell ref="Q223:W223"/>
    <mergeCell ref="B260:E260"/>
    <mergeCell ref="B165:E165"/>
    <mergeCell ref="X165:AA165"/>
    <mergeCell ref="B265:E265"/>
    <mergeCell ref="X265:AA265"/>
    <mergeCell ref="B195:E195"/>
    <mergeCell ref="AB479:AB480"/>
    <mergeCell ref="B182:E182"/>
    <mergeCell ref="B188:E188"/>
    <mergeCell ref="B178:E178"/>
    <mergeCell ref="B242:E242"/>
    <mergeCell ref="B211:E211"/>
    <mergeCell ref="X233:AA233"/>
    <mergeCell ref="X177:AA177"/>
    <mergeCell ref="X235:AA235"/>
    <mergeCell ref="B234:E234"/>
    <mergeCell ref="X234:AA234"/>
    <mergeCell ref="B193:E193"/>
    <mergeCell ref="B216:E216"/>
    <mergeCell ref="B233:E233"/>
    <mergeCell ref="B184:E184"/>
    <mergeCell ref="B183:E183"/>
    <mergeCell ref="B196:E196"/>
    <mergeCell ref="B435:E435"/>
    <mergeCell ref="B221:E221"/>
    <mergeCell ref="B128:E128"/>
    <mergeCell ref="B147:E147"/>
    <mergeCell ref="X121:AA121"/>
    <mergeCell ref="X130:AA130"/>
    <mergeCell ref="B666:E666"/>
    <mergeCell ref="X658:AA658"/>
    <mergeCell ref="X660:AA660"/>
    <mergeCell ref="B659:E659"/>
    <mergeCell ref="B658:E658"/>
    <mergeCell ref="B657:E657"/>
    <mergeCell ref="X667:AA667"/>
    <mergeCell ref="X666:AA666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595:E595"/>
    <mergeCell ref="B613:E613"/>
    <mergeCell ref="B650:E650"/>
    <mergeCell ref="B648:E648"/>
    <mergeCell ref="B656:E656"/>
    <mergeCell ref="B571:E571"/>
    <mergeCell ref="B597:E597"/>
    <mergeCell ref="B596:E596"/>
    <mergeCell ref="B437:E437"/>
    <mergeCell ref="B535:E535"/>
    <mergeCell ref="B527:E527"/>
    <mergeCell ref="B551:E551"/>
    <mergeCell ref="B564:E564"/>
    <mergeCell ref="B655:E655"/>
    <mergeCell ref="G617:G618"/>
    <mergeCell ref="AF399:AH399"/>
    <mergeCell ref="AB399:AB400"/>
    <mergeCell ref="AF319:AH319"/>
    <mergeCell ref="AF239:AH239"/>
    <mergeCell ref="AB319:AB320"/>
    <mergeCell ref="X319:AA320"/>
    <mergeCell ref="X307:AA307"/>
    <mergeCell ref="B405:E405"/>
    <mergeCell ref="B362:E362"/>
    <mergeCell ref="B413:E413"/>
    <mergeCell ref="B575:E575"/>
    <mergeCell ref="B550:E550"/>
    <mergeCell ref="B264:E264"/>
    <mergeCell ref="B288:E288"/>
    <mergeCell ref="X264:AA264"/>
    <mergeCell ref="X274:AA274"/>
    <mergeCell ref="B461:E461"/>
    <mergeCell ref="X461:AA461"/>
    <mergeCell ref="B462:E462"/>
    <mergeCell ref="G239:G240"/>
    <mergeCell ref="B250:E250"/>
    <mergeCell ref="B310:E310"/>
    <mergeCell ref="B357:E357"/>
    <mergeCell ref="B360:E360"/>
    <mergeCell ref="X273:AA273"/>
    <mergeCell ref="B376:E376"/>
    <mergeCell ref="B403:E403"/>
    <mergeCell ref="B392:E392"/>
    <mergeCell ref="B401:E401"/>
    <mergeCell ref="B436:E436"/>
    <mergeCell ref="I468:M473"/>
    <mergeCell ref="AF159:AH159"/>
    <mergeCell ref="B198:E198"/>
    <mergeCell ref="AB239:AB240"/>
    <mergeCell ref="B284:E284"/>
    <mergeCell ref="B329:E329"/>
    <mergeCell ref="X350:AA350"/>
    <mergeCell ref="B319:B320"/>
    <mergeCell ref="X349:AA349"/>
    <mergeCell ref="B153:E153"/>
    <mergeCell ref="X178:AA178"/>
    <mergeCell ref="B222:E222"/>
    <mergeCell ref="B243:E243"/>
    <mergeCell ref="H319:W319"/>
    <mergeCell ref="B180:E180"/>
    <mergeCell ref="I180:M183"/>
    <mergeCell ref="B205:E205"/>
    <mergeCell ref="B217:E217"/>
    <mergeCell ref="X269:AA269"/>
    <mergeCell ref="B202:E202"/>
    <mergeCell ref="B204:E204"/>
    <mergeCell ref="B252:E252"/>
    <mergeCell ref="X252:AA252"/>
    <mergeCell ref="B162:E162"/>
    <mergeCell ref="B163:E163"/>
    <mergeCell ref="X163:AA163"/>
    <mergeCell ref="X246:AA246"/>
    <mergeCell ref="B251:E251"/>
    <mergeCell ref="B200:E200"/>
    <mergeCell ref="B302:E302"/>
    <mergeCell ref="X302:AA302"/>
    <mergeCell ref="X186:AA186"/>
    <mergeCell ref="B142:E142"/>
    <mergeCell ref="B148:E148"/>
    <mergeCell ref="X143:AA143"/>
    <mergeCell ref="B144:E144"/>
    <mergeCell ref="B154:E154"/>
    <mergeCell ref="X142:AA142"/>
    <mergeCell ref="G116:K116"/>
    <mergeCell ref="G119:K119"/>
    <mergeCell ref="X132:AA132"/>
    <mergeCell ref="X134:AA134"/>
    <mergeCell ref="B133:E133"/>
    <mergeCell ref="X128:AA128"/>
    <mergeCell ref="X120:AA120"/>
    <mergeCell ref="B129:E129"/>
    <mergeCell ref="G122:K122"/>
    <mergeCell ref="X144:AA144"/>
    <mergeCell ref="B150:E150"/>
    <mergeCell ref="B117:E117"/>
    <mergeCell ref="G118:K118"/>
    <mergeCell ref="X145:AA145"/>
    <mergeCell ref="X138:AA138"/>
    <mergeCell ref="B130:E130"/>
    <mergeCell ref="B151:E151"/>
    <mergeCell ref="B137:E137"/>
    <mergeCell ref="H159:W159"/>
    <mergeCell ref="B206:E206"/>
    <mergeCell ref="C159:E160"/>
    <mergeCell ref="B152:E152"/>
    <mergeCell ref="AC137:AF137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B50:E50"/>
    <mergeCell ref="B51:E51"/>
    <mergeCell ref="B49:E49"/>
    <mergeCell ref="X49:AA49"/>
    <mergeCell ref="B92:E92"/>
    <mergeCell ref="H49:K49"/>
    <mergeCell ref="X48:AA48"/>
    <mergeCell ref="B75:E75"/>
    <mergeCell ref="X72:AA72"/>
    <mergeCell ref="B116:E116"/>
    <mergeCell ref="B89:E89"/>
    <mergeCell ref="X75:AA75"/>
    <mergeCell ref="X47:AA47"/>
    <mergeCell ref="B66:E66"/>
    <mergeCell ref="B114:E114"/>
    <mergeCell ref="B113:E113"/>
    <mergeCell ref="AF79:AH79"/>
    <mergeCell ref="B32:E32"/>
    <mergeCell ref="H31:K31"/>
    <mergeCell ref="H79:W79"/>
    <mergeCell ref="AB159:AB160"/>
    <mergeCell ref="B42:E42"/>
    <mergeCell ref="H39:K39"/>
    <mergeCell ref="X43:AA43"/>
    <mergeCell ref="X38:AA38"/>
    <mergeCell ref="B45:E45"/>
    <mergeCell ref="B48:E48"/>
    <mergeCell ref="B124:E124"/>
    <mergeCell ref="B123:E123"/>
    <mergeCell ref="X109:AA109"/>
    <mergeCell ref="X118:AA118"/>
    <mergeCell ref="B119:E119"/>
    <mergeCell ref="B107:E107"/>
    <mergeCell ref="G117:K117"/>
    <mergeCell ref="G113:K113"/>
    <mergeCell ref="G120:K120"/>
    <mergeCell ref="G115:K115"/>
    <mergeCell ref="B145:E145"/>
    <mergeCell ref="B126:E126"/>
    <mergeCell ref="B136:E136"/>
    <mergeCell ref="I73:K73"/>
    <mergeCell ref="B56:E56"/>
    <mergeCell ref="X71:AA71"/>
    <mergeCell ref="X113:AA113"/>
    <mergeCell ref="B112:E112"/>
    <mergeCell ref="B57:E57"/>
    <mergeCell ref="I72:M72"/>
    <mergeCell ref="B87:E87"/>
    <mergeCell ref="X84:Z84"/>
    <mergeCell ref="B52:E52"/>
    <mergeCell ref="B54:E54"/>
    <mergeCell ref="B72:E72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H43:K43"/>
    <mergeCell ref="F50:I53"/>
    <mergeCell ref="AB79:AB80"/>
    <mergeCell ref="B62:E62"/>
    <mergeCell ref="B53:E53"/>
    <mergeCell ref="B59:E59"/>
    <mergeCell ref="AF28:AJ28"/>
    <mergeCell ref="H45:K45"/>
    <mergeCell ref="H41:K41"/>
    <mergeCell ref="X25:AA25"/>
    <mergeCell ref="B68:E68"/>
    <mergeCell ref="B63:E63"/>
    <mergeCell ref="B12:E12"/>
    <mergeCell ref="B20:E20"/>
    <mergeCell ref="AF15:AI15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7:AJ17"/>
    <mergeCell ref="B18:E18"/>
    <mergeCell ref="AF16:AI16"/>
    <mergeCell ref="AF18:AJ18"/>
    <mergeCell ref="AF13:AH13"/>
    <mergeCell ref="B19:E19"/>
    <mergeCell ref="B16:E16"/>
    <mergeCell ref="B17:E17"/>
    <mergeCell ref="X19:AA19"/>
    <mergeCell ref="X20:AA20"/>
    <mergeCell ref="B35:E35"/>
    <mergeCell ref="B29:E29"/>
    <mergeCell ref="B33:E33"/>
    <mergeCell ref="H34:K34"/>
    <mergeCell ref="X16:AA16"/>
    <mergeCell ref="Q16:W16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5:E55"/>
    <mergeCell ref="X70:AA70"/>
    <mergeCell ref="B15:E15"/>
    <mergeCell ref="X36:AA36"/>
    <mergeCell ref="X32:AA32"/>
    <mergeCell ref="B58:E58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60:E60"/>
    <mergeCell ref="H48:K48"/>
    <mergeCell ref="B61:E61"/>
    <mergeCell ref="B65:E65"/>
    <mergeCell ref="B110:E110"/>
    <mergeCell ref="X108:AA108"/>
    <mergeCell ref="B105:E105"/>
    <mergeCell ref="G112:K112"/>
    <mergeCell ref="I70:M70"/>
    <mergeCell ref="I71:M71"/>
    <mergeCell ref="B70:E70"/>
    <mergeCell ref="B71:E71"/>
    <mergeCell ref="X87:Z87"/>
    <mergeCell ref="B102:E102"/>
    <mergeCell ref="B64:E64"/>
    <mergeCell ref="B69:E69"/>
    <mergeCell ref="B79:B80"/>
    <mergeCell ref="B88:E88"/>
    <mergeCell ref="B155:E155"/>
    <mergeCell ref="B99:E99"/>
    <mergeCell ref="B109:E109"/>
    <mergeCell ref="B141:E141"/>
    <mergeCell ref="X119:AA119"/>
    <mergeCell ref="B131:E131"/>
    <mergeCell ref="X131:AA131"/>
    <mergeCell ref="X129:AA129"/>
    <mergeCell ref="B91:E91"/>
    <mergeCell ref="B97:E97"/>
    <mergeCell ref="G109:M109"/>
    <mergeCell ref="B138:E138"/>
    <mergeCell ref="B83:E83"/>
    <mergeCell ref="B122:E122"/>
    <mergeCell ref="B125:E125"/>
    <mergeCell ref="B82:E82"/>
    <mergeCell ref="X83:Z83"/>
    <mergeCell ref="B108:E108"/>
    <mergeCell ref="B94:E94"/>
    <mergeCell ref="B67:E67"/>
    <mergeCell ref="X110:AA110"/>
    <mergeCell ref="B118:E118"/>
    <mergeCell ref="I110:W111"/>
    <mergeCell ref="B121:E121"/>
    <mergeCell ref="G121:K121"/>
    <mergeCell ref="X88:Z88"/>
    <mergeCell ref="X125:AA125"/>
    <mergeCell ref="B115:E115"/>
    <mergeCell ref="X115:AA115"/>
    <mergeCell ref="X107:AA107"/>
    <mergeCell ref="G108:M108"/>
    <mergeCell ref="B120:E120"/>
    <mergeCell ref="B73:E73"/>
    <mergeCell ref="X79:AA80"/>
    <mergeCell ref="X124:AA124"/>
    <mergeCell ref="B93:E93"/>
    <mergeCell ref="B106:E106"/>
    <mergeCell ref="G106:O106"/>
    <mergeCell ref="B96:E96"/>
    <mergeCell ref="X106:AA106"/>
    <mergeCell ref="B98:E98"/>
    <mergeCell ref="O95:W95"/>
    <mergeCell ref="B100:E100"/>
    <mergeCell ref="X114:AA114"/>
    <mergeCell ref="B81:E81"/>
    <mergeCell ref="B86:E86"/>
    <mergeCell ref="X112:AA112"/>
    <mergeCell ref="B104:E104"/>
    <mergeCell ref="X123:AA123"/>
    <mergeCell ref="F81:I91"/>
    <mergeCell ref="B220:E220"/>
    <mergeCell ref="B194:E194"/>
    <mergeCell ref="B201:E201"/>
    <mergeCell ref="B85:E85"/>
    <mergeCell ref="B111:E111"/>
    <mergeCell ref="B101:E101"/>
    <mergeCell ref="X111:AA111"/>
    <mergeCell ref="B90:E90"/>
    <mergeCell ref="X135:AA135"/>
    <mergeCell ref="B132:E132"/>
    <mergeCell ref="B135:E135"/>
    <mergeCell ref="X136:AA136"/>
    <mergeCell ref="X73:AA73"/>
    <mergeCell ref="X126:AA126"/>
    <mergeCell ref="X122:AA122"/>
    <mergeCell ref="G107:O107"/>
    <mergeCell ref="X137:AA137"/>
    <mergeCell ref="X133:AA133"/>
    <mergeCell ref="X139:AA139"/>
    <mergeCell ref="X189:AA189"/>
    <mergeCell ref="B175:E175"/>
    <mergeCell ref="B140:E140"/>
    <mergeCell ref="B143:E143"/>
    <mergeCell ref="B174:E174"/>
    <mergeCell ref="X152:AA152"/>
    <mergeCell ref="B176:E176"/>
    <mergeCell ref="B187:E187"/>
    <mergeCell ref="B170:E170"/>
    <mergeCell ref="X170:AA170"/>
    <mergeCell ref="B139:E139"/>
    <mergeCell ref="B134:E134"/>
    <mergeCell ref="B84:E84"/>
    <mergeCell ref="X116:AA116"/>
    <mergeCell ref="G114:K114"/>
    <mergeCell ref="B127:E127"/>
    <mergeCell ref="X127:AA127"/>
    <mergeCell ref="X117:AA117"/>
    <mergeCell ref="B209:E209"/>
    <mergeCell ref="B199:E199"/>
    <mergeCell ref="B267:E267"/>
    <mergeCell ref="B249:E249"/>
    <mergeCell ref="B263:E263"/>
    <mergeCell ref="B258:E258"/>
    <mergeCell ref="Q215:W215"/>
    <mergeCell ref="X253:AA253"/>
    <mergeCell ref="B248:E248"/>
    <mergeCell ref="X248:AA248"/>
    <mergeCell ref="X266:AA266"/>
    <mergeCell ref="B186:E186"/>
    <mergeCell ref="G198:S203"/>
    <mergeCell ref="X187:AA187"/>
    <mergeCell ref="B219:E219"/>
    <mergeCell ref="B230:E230"/>
    <mergeCell ref="B179:E179"/>
    <mergeCell ref="X185:AA185"/>
    <mergeCell ref="B218:E218"/>
    <mergeCell ref="B215:E215"/>
    <mergeCell ref="B208:E208"/>
    <mergeCell ref="B245:E245"/>
    <mergeCell ref="X245:AA245"/>
    <mergeCell ref="B235:E235"/>
    <mergeCell ref="B214:E214"/>
    <mergeCell ref="H210:M210"/>
    <mergeCell ref="X249:AA249"/>
    <mergeCell ref="B324:E324"/>
    <mergeCell ref="B254:E254"/>
    <mergeCell ref="B227:E227"/>
    <mergeCell ref="B266:E266"/>
    <mergeCell ref="B246:E246"/>
    <mergeCell ref="X263:AA263"/>
    <mergeCell ref="B269:E269"/>
    <mergeCell ref="X282:AA282"/>
    <mergeCell ref="X255:AA255"/>
    <mergeCell ref="B314:E314"/>
    <mergeCell ref="X267:AA267"/>
    <mergeCell ref="X324:AA324"/>
    <mergeCell ref="H282:M287"/>
    <mergeCell ref="X258:AA258"/>
    <mergeCell ref="X259:AA259"/>
    <mergeCell ref="B255:E255"/>
    <mergeCell ref="B292:E292"/>
    <mergeCell ref="B306:E306"/>
    <mergeCell ref="B281:E281"/>
    <mergeCell ref="B301:E301"/>
    <mergeCell ref="X260:AA260"/>
    <mergeCell ref="X262:AA262"/>
    <mergeCell ref="X251:AA251"/>
    <mergeCell ref="B225:E225"/>
    <mergeCell ref="X315:AA315"/>
    <mergeCell ref="X232:AA232"/>
    <mergeCell ref="X243:AA243"/>
    <mergeCell ref="B228:E228"/>
    <mergeCell ref="X271:AA271"/>
    <mergeCell ref="X299:AA299"/>
    <mergeCell ref="B253:E253"/>
    <mergeCell ref="X241:AA241"/>
    <mergeCell ref="B339:E339"/>
    <mergeCell ref="B327:E327"/>
    <mergeCell ref="X256:AA256"/>
    <mergeCell ref="Q356:W356"/>
    <mergeCell ref="X300:AA300"/>
    <mergeCell ref="B300:E300"/>
    <mergeCell ref="X296:AA296"/>
    <mergeCell ref="B305:E305"/>
    <mergeCell ref="B298:E298"/>
    <mergeCell ref="B304:E304"/>
    <mergeCell ref="X305:AA305"/>
    <mergeCell ref="X356:AA356"/>
    <mergeCell ref="X322:AA322"/>
    <mergeCell ref="X308:AA308"/>
    <mergeCell ref="B244:E244"/>
    <mergeCell ref="B262:E262"/>
    <mergeCell ref="B259:E259"/>
    <mergeCell ref="B261:E261"/>
    <mergeCell ref="X303:AA303"/>
    <mergeCell ref="X325:AA325"/>
    <mergeCell ref="B280:E280"/>
    <mergeCell ref="B239:B240"/>
    <mergeCell ref="H239:W239"/>
    <mergeCell ref="A698:A708"/>
    <mergeCell ref="B706:G706"/>
    <mergeCell ref="B687:E687"/>
    <mergeCell ref="B707:G707"/>
    <mergeCell ref="B688:E688"/>
    <mergeCell ref="B691:E691"/>
    <mergeCell ref="B708:G708"/>
    <mergeCell ref="B697:G697"/>
    <mergeCell ref="B700:G700"/>
    <mergeCell ref="Q224:W224"/>
    <mergeCell ref="X169:AA169"/>
    <mergeCell ref="X174:AA174"/>
    <mergeCell ref="X164:AA164"/>
    <mergeCell ref="X188:AA188"/>
    <mergeCell ref="X242:AA242"/>
    <mergeCell ref="X184:AA184"/>
    <mergeCell ref="X171:AA171"/>
    <mergeCell ref="B223:E223"/>
    <mergeCell ref="B247:E247"/>
    <mergeCell ref="B197:E197"/>
    <mergeCell ref="B231:E231"/>
    <mergeCell ref="H185:K190"/>
    <mergeCell ref="B414:E414"/>
    <mergeCell ref="B359:E359"/>
    <mergeCell ref="B351:E351"/>
    <mergeCell ref="B391:E391"/>
    <mergeCell ref="B365:E365"/>
    <mergeCell ref="X423:AA423"/>
    <mergeCell ref="B348:E348"/>
    <mergeCell ref="B369:E369"/>
    <mergeCell ref="B336:E336"/>
    <mergeCell ref="B390:E390"/>
    <mergeCell ref="B189:E189"/>
    <mergeCell ref="F510:F511"/>
    <mergeCell ref="F238:J238"/>
    <mergeCell ref="B689:E689"/>
    <mergeCell ref="F642:F643"/>
    <mergeCell ref="B629:E629"/>
    <mergeCell ref="B622:E622"/>
    <mergeCell ref="B633:E633"/>
    <mergeCell ref="C642:E643"/>
    <mergeCell ref="B553:E553"/>
    <mergeCell ref="B504:E504"/>
    <mergeCell ref="B502:E502"/>
    <mergeCell ref="B566:E566"/>
    <mergeCell ref="B543:E543"/>
    <mergeCell ref="B474:E474"/>
    <mergeCell ref="B654:E654"/>
    <mergeCell ref="B649:E649"/>
    <mergeCell ref="F399:F400"/>
    <mergeCell ref="B308:E308"/>
    <mergeCell ref="B256:E256"/>
    <mergeCell ref="B433:E433"/>
    <mergeCell ref="B423:E423"/>
    <mergeCell ref="B431:E431"/>
    <mergeCell ref="B402:E402"/>
    <mergeCell ref="B523:E523"/>
    <mergeCell ref="B291:E291"/>
    <mergeCell ref="B680:E680"/>
    <mergeCell ref="B669:E669"/>
    <mergeCell ref="B676:E676"/>
    <mergeCell ref="B681:E681"/>
    <mergeCell ref="B277:E277"/>
    <mergeCell ref="B375:E375"/>
    <mergeCell ref="B671:E671"/>
    <mergeCell ref="B499:E499"/>
    <mergeCell ref="B272:E272"/>
    <mergeCell ref="B364:E364"/>
    <mergeCell ref="B696:W696"/>
    <mergeCell ref="R703:R704"/>
    <mergeCell ref="J703:J704"/>
    <mergeCell ref="B497:E497"/>
    <mergeCell ref="B484:E484"/>
    <mergeCell ref="B475:E475"/>
    <mergeCell ref="B524:E524"/>
    <mergeCell ref="B492:E492"/>
    <mergeCell ref="B660:E660"/>
    <mergeCell ref="B668:E668"/>
    <mergeCell ref="B662:E662"/>
    <mergeCell ref="B663:E663"/>
    <mergeCell ref="B683:E683"/>
    <mergeCell ref="B698:G698"/>
    <mergeCell ref="B690:E690"/>
    <mergeCell ref="B372:E372"/>
    <mergeCell ref="B500:E500"/>
    <mergeCell ref="B503:E503"/>
    <mergeCell ref="B479:B480"/>
    <mergeCell ref="C479:E480"/>
    <mergeCell ref="F479:F480"/>
    <mergeCell ref="G479:G480"/>
    <mergeCell ref="H479:W479"/>
    <mergeCell ref="B473:E473"/>
    <mergeCell ref="B466:E466"/>
    <mergeCell ref="B454:E454"/>
    <mergeCell ref="B451:E451"/>
    <mergeCell ref="W703:W704"/>
    <mergeCell ref="B699:G699"/>
    <mergeCell ref="B394:E394"/>
    <mergeCell ref="B498:E498"/>
    <mergeCell ref="B664:E664"/>
    <mergeCell ref="B191:E191"/>
    <mergeCell ref="B181:E181"/>
    <mergeCell ref="B229:E229"/>
    <mergeCell ref="B169:E169"/>
    <mergeCell ref="B164:E164"/>
    <mergeCell ref="B213:E213"/>
    <mergeCell ref="B224:E224"/>
    <mergeCell ref="B226:E226"/>
    <mergeCell ref="B210:E210"/>
    <mergeCell ref="B232:E232"/>
    <mergeCell ref="B241:E241"/>
    <mergeCell ref="X250:AA250"/>
    <mergeCell ref="B766:W766"/>
    <mergeCell ref="B753:W753"/>
    <mergeCell ref="B738:W738"/>
    <mergeCell ref="B736:W736"/>
    <mergeCell ref="B757:W764"/>
    <mergeCell ref="B739:W739"/>
    <mergeCell ref="B752:W752"/>
    <mergeCell ref="B750:W750"/>
    <mergeCell ref="B755:W755"/>
    <mergeCell ref="B743:W746"/>
    <mergeCell ref="B748:W749"/>
    <mergeCell ref="B742:W742"/>
    <mergeCell ref="B740:W740"/>
    <mergeCell ref="S703:S704"/>
    <mergeCell ref="C713:G713"/>
    <mergeCell ref="B686:E686"/>
    <mergeCell ref="N703:N704"/>
    <mergeCell ref="H703:H704"/>
    <mergeCell ref="B693:E693"/>
    <mergeCell ref="U703:U704"/>
    <mergeCell ref="I703:I704"/>
    <mergeCell ref="K703:K704"/>
    <mergeCell ref="B701:G701"/>
    <mergeCell ref="B149:E149"/>
    <mergeCell ref="G159:G160"/>
    <mergeCell ref="X155:AA155"/>
    <mergeCell ref="X161:AA161"/>
    <mergeCell ref="X140:AA140"/>
    <mergeCell ref="X141:AA141"/>
    <mergeCell ref="B177:E177"/>
    <mergeCell ref="X190:AA190"/>
    <mergeCell ref="B203:E203"/>
    <mergeCell ref="B185:E185"/>
    <mergeCell ref="X179:AA179"/>
    <mergeCell ref="X176:AA176"/>
    <mergeCell ref="B192:E192"/>
    <mergeCell ref="F159:F160"/>
    <mergeCell ref="B159:B160"/>
    <mergeCell ref="B161:E161"/>
    <mergeCell ref="B166:E166"/>
    <mergeCell ref="X166:AA166"/>
    <mergeCell ref="B146:E146"/>
    <mergeCell ref="X154:AA154"/>
    <mergeCell ref="X153:AA153"/>
    <mergeCell ref="X467:AA467"/>
    <mergeCell ref="B467:E467"/>
    <mergeCell ref="B456:E456"/>
    <mergeCell ref="B469:E469"/>
    <mergeCell ref="X159:AA160"/>
    <mergeCell ref="B381:E381"/>
    <mergeCell ref="B407:E407"/>
    <mergeCell ref="B406:E406"/>
    <mergeCell ref="X447:AA447"/>
    <mergeCell ref="B415:E415"/>
    <mergeCell ref="X381:AA381"/>
    <mergeCell ref="X384:AA384"/>
    <mergeCell ref="B434:E434"/>
    <mergeCell ref="X382:AA382"/>
    <mergeCell ref="B368:E368"/>
    <mergeCell ref="X421:AA421"/>
    <mergeCell ref="B425:E425"/>
    <mergeCell ref="B353:E353"/>
    <mergeCell ref="B350:E350"/>
    <mergeCell ref="B377:E377"/>
    <mergeCell ref="B325:E325"/>
    <mergeCell ref="B393:E393"/>
    <mergeCell ref="B358:E358"/>
    <mergeCell ref="B439:E439"/>
    <mergeCell ref="B363:E363"/>
    <mergeCell ref="X413:AA413"/>
    <mergeCell ref="B370:E370"/>
    <mergeCell ref="B379:E379"/>
    <mergeCell ref="B387:E387"/>
    <mergeCell ref="X386:AA386"/>
    <mergeCell ref="B389:E389"/>
    <mergeCell ref="B385:E385"/>
    <mergeCell ref="X419:AA419"/>
    <mergeCell ref="F239:F240"/>
    <mergeCell ref="X438:AA438"/>
    <mergeCell ref="B207:E207"/>
    <mergeCell ref="B409:E409"/>
    <mergeCell ref="X417:AA417"/>
    <mergeCell ref="X414:AA414"/>
    <mergeCell ref="B458:E458"/>
    <mergeCell ref="B540:E540"/>
    <mergeCell ref="B428:E428"/>
    <mergeCell ref="B410:E410"/>
    <mergeCell ref="X416:AA416"/>
    <mergeCell ref="B449:E449"/>
    <mergeCell ref="B530:E530"/>
    <mergeCell ref="B515:E515"/>
    <mergeCell ref="B513:E513"/>
    <mergeCell ref="B512:E512"/>
    <mergeCell ref="B531:E531"/>
    <mergeCell ref="B532:E532"/>
    <mergeCell ref="B533:E533"/>
    <mergeCell ref="B510:B511"/>
    <mergeCell ref="B529:E529"/>
    <mergeCell ref="B471:E471"/>
    <mergeCell ref="X454:AA454"/>
    <mergeCell ref="B450:E450"/>
    <mergeCell ref="B525:E525"/>
    <mergeCell ref="X445:AA445"/>
    <mergeCell ref="B432:E432"/>
    <mergeCell ref="B465:E465"/>
    <mergeCell ref="B427:E427"/>
    <mergeCell ref="B426:E426"/>
    <mergeCell ref="B452:E452"/>
    <mergeCell ref="B459:E459"/>
    <mergeCell ref="X493:AA493"/>
    <mergeCell ref="X504:AA504"/>
    <mergeCell ref="X507:AA507"/>
    <mergeCell ref="B408:E408"/>
    <mergeCell ref="X306:AA306"/>
    <mergeCell ref="X301:AA301"/>
    <mergeCell ref="B296:E296"/>
    <mergeCell ref="B287:E287"/>
    <mergeCell ref="B620:E620"/>
    <mergeCell ref="X506:AA506"/>
    <mergeCell ref="H617:W617"/>
    <mergeCell ref="B495:E495"/>
    <mergeCell ref="B520:E520"/>
    <mergeCell ref="B483:E483"/>
    <mergeCell ref="B522:E522"/>
    <mergeCell ref="B457:E457"/>
    <mergeCell ref="B295:E295"/>
    <mergeCell ref="B299:E299"/>
    <mergeCell ref="B611:E611"/>
    <mergeCell ref="B585:E585"/>
    <mergeCell ref="B579:E579"/>
    <mergeCell ref="B580:E580"/>
    <mergeCell ref="B582:E582"/>
    <mergeCell ref="B516:E516"/>
    <mergeCell ref="B576:E576"/>
    <mergeCell ref="B521:E521"/>
    <mergeCell ref="B526:E526"/>
    <mergeCell ref="B552:E552"/>
    <mergeCell ref="X457:AA457"/>
    <mergeCell ref="X491:AA491"/>
    <mergeCell ref="B586:E586"/>
    <mergeCell ref="B592:E592"/>
    <mergeCell ref="B589:E589"/>
    <mergeCell ref="B587:E587"/>
    <mergeCell ref="X481:AA481"/>
    <mergeCell ref="X681:AA681"/>
    <mergeCell ref="X671:AA671"/>
    <mergeCell ref="X674:AA674"/>
    <mergeCell ref="B609:E609"/>
    <mergeCell ref="B534:E534"/>
    <mergeCell ref="B624:E624"/>
    <mergeCell ref="G642:G643"/>
    <mergeCell ref="B621:E621"/>
    <mergeCell ref="B623:E623"/>
    <mergeCell ref="B607:E607"/>
    <mergeCell ref="B539:E539"/>
    <mergeCell ref="B537:E537"/>
    <mergeCell ref="X665:AA665"/>
    <mergeCell ref="X663:AA663"/>
    <mergeCell ref="X661:AA661"/>
    <mergeCell ref="X664:AA664"/>
    <mergeCell ref="B672:E672"/>
    <mergeCell ref="B630:E630"/>
    <mergeCell ref="B667:E667"/>
    <mergeCell ref="B625:E625"/>
    <mergeCell ref="B634:E634"/>
    <mergeCell ref="B661:E661"/>
    <mergeCell ref="F548:F549"/>
    <mergeCell ref="X657:AA657"/>
    <mergeCell ref="X668:AA668"/>
    <mergeCell ref="B563:E563"/>
    <mergeCell ref="G548:G549"/>
    <mergeCell ref="B567:E567"/>
    <mergeCell ref="B554:E554"/>
    <mergeCell ref="X548:AA549"/>
    <mergeCell ref="H548:W548"/>
    <mergeCell ref="B568:E568"/>
    <mergeCell ref="AF739:AH739"/>
    <mergeCell ref="O703:O704"/>
    <mergeCell ref="L703:L704"/>
    <mergeCell ref="P703:P704"/>
    <mergeCell ref="C725:I725"/>
    <mergeCell ref="C733:G733"/>
    <mergeCell ref="C734:G734"/>
    <mergeCell ref="M703:M704"/>
    <mergeCell ref="B694:E694"/>
    <mergeCell ref="B692:E692"/>
    <mergeCell ref="B702:W702"/>
    <mergeCell ref="B628:E628"/>
    <mergeCell ref="B679:E679"/>
    <mergeCell ref="B632:E632"/>
    <mergeCell ref="B637:E637"/>
    <mergeCell ref="B644:E644"/>
    <mergeCell ref="B641:W641"/>
    <mergeCell ref="B642:B643"/>
    <mergeCell ref="B652:E652"/>
    <mergeCell ref="B646:E646"/>
    <mergeCell ref="B631:E631"/>
    <mergeCell ref="B678:E678"/>
    <mergeCell ref="B705:G705"/>
    <mergeCell ref="C716:I717"/>
    <mergeCell ref="C726:I732"/>
    <mergeCell ref="C715:G715"/>
    <mergeCell ref="B684:E684"/>
    <mergeCell ref="B685:E685"/>
    <mergeCell ref="B638:E638"/>
    <mergeCell ref="AF725:AH725"/>
    <mergeCell ref="AF547:AH547"/>
    <mergeCell ref="B548:B549"/>
    <mergeCell ref="B703:G704"/>
    <mergeCell ref="B721:W723"/>
    <mergeCell ref="T703:T704"/>
    <mergeCell ref="B627:E627"/>
    <mergeCell ref="AB548:AB549"/>
    <mergeCell ref="AF548:AH548"/>
    <mergeCell ref="B590:E590"/>
    <mergeCell ref="B555:E555"/>
    <mergeCell ref="B599:E599"/>
    <mergeCell ref="B594:E594"/>
    <mergeCell ref="B600:E600"/>
    <mergeCell ref="B614:E614"/>
    <mergeCell ref="AB642:AB643"/>
    <mergeCell ref="B670:E670"/>
    <mergeCell ref="B673:E673"/>
    <mergeCell ref="H642:W642"/>
    <mergeCell ref="B653:E653"/>
    <mergeCell ref="Q703:Q704"/>
    <mergeCell ref="AB617:AB618"/>
    <mergeCell ref="X684:AA684"/>
    <mergeCell ref="V703:V704"/>
    <mergeCell ref="B626:E626"/>
    <mergeCell ref="X685:AA685"/>
    <mergeCell ref="B675:E675"/>
    <mergeCell ref="B603:E603"/>
    <mergeCell ref="B573:E573"/>
    <mergeCell ref="B677:E677"/>
    <mergeCell ref="B574:E574"/>
    <mergeCell ref="C714:G714"/>
    <mergeCell ref="C712:I712"/>
    <mergeCell ref="B710:J710"/>
    <mergeCell ref="AF696:AH696"/>
    <mergeCell ref="B572:E572"/>
    <mergeCell ref="B570:E570"/>
    <mergeCell ref="B635:E635"/>
    <mergeCell ref="B645:E645"/>
    <mergeCell ref="B647:E647"/>
    <mergeCell ref="B674:E674"/>
    <mergeCell ref="B608:E608"/>
    <mergeCell ref="B584:E584"/>
    <mergeCell ref="B577:E577"/>
    <mergeCell ref="B581:E581"/>
    <mergeCell ref="B610:E610"/>
    <mergeCell ref="B591:E591"/>
    <mergeCell ref="X655:AA655"/>
    <mergeCell ref="B583:E583"/>
    <mergeCell ref="B682:E682"/>
    <mergeCell ref="B665:E665"/>
    <mergeCell ref="B588:E588"/>
    <mergeCell ref="B598:E598"/>
    <mergeCell ref="B606:E606"/>
    <mergeCell ref="B604:E604"/>
    <mergeCell ref="B593:E593"/>
    <mergeCell ref="B651:E651"/>
    <mergeCell ref="B636:E636"/>
    <mergeCell ref="B619:E619"/>
    <mergeCell ref="X675:AA675"/>
    <mergeCell ref="X680:AA680"/>
    <mergeCell ref="X669:AA669"/>
    <mergeCell ref="X676:AA676"/>
    <mergeCell ref="AF642:AH642"/>
    <mergeCell ref="X642:AA643"/>
    <mergeCell ref="B517:E517"/>
    <mergeCell ref="B519:E519"/>
    <mergeCell ref="G510:G511"/>
    <mergeCell ref="B545:E545"/>
    <mergeCell ref="B544:E544"/>
    <mergeCell ref="B565:E565"/>
    <mergeCell ref="C548:E549"/>
    <mergeCell ref="B541:E541"/>
    <mergeCell ref="B542:E542"/>
    <mergeCell ref="B536:E536"/>
    <mergeCell ref="B605:E605"/>
    <mergeCell ref="C617:E618"/>
    <mergeCell ref="B569:E569"/>
    <mergeCell ref="B601:E601"/>
    <mergeCell ref="B518:E518"/>
    <mergeCell ref="X617:AA618"/>
    <mergeCell ref="B617:B618"/>
    <mergeCell ref="F617:F618"/>
    <mergeCell ref="AF617:AH617"/>
    <mergeCell ref="B616:W616"/>
    <mergeCell ref="B602:E602"/>
    <mergeCell ref="B547:W547"/>
    <mergeCell ref="B528:E528"/>
    <mergeCell ref="B538:E538"/>
    <mergeCell ref="AF616:AH616"/>
    <mergeCell ref="B514:E514"/>
    <mergeCell ref="B562:E562"/>
    <mergeCell ref="X510:AA511"/>
    <mergeCell ref="C510:E511"/>
    <mergeCell ref="B559:W559"/>
    <mergeCell ref="B578:E578"/>
    <mergeCell ref="AF509:AH509"/>
    <mergeCell ref="AB510:AB511"/>
    <mergeCell ref="AF510:AH510"/>
    <mergeCell ref="H510:W510"/>
    <mergeCell ref="B509:W509"/>
    <mergeCell ref="B455:E455"/>
    <mergeCell ref="B481:E481"/>
    <mergeCell ref="B488:E488"/>
    <mergeCell ref="B487:E487"/>
    <mergeCell ref="B505:E505"/>
    <mergeCell ref="B490:E490"/>
    <mergeCell ref="B507:E507"/>
    <mergeCell ref="B494:E494"/>
    <mergeCell ref="B486:E486"/>
    <mergeCell ref="B506:E506"/>
    <mergeCell ref="X495:AA495"/>
    <mergeCell ref="X494:AA494"/>
    <mergeCell ref="B496:E496"/>
    <mergeCell ref="X492:AA492"/>
    <mergeCell ref="B501:E501"/>
    <mergeCell ref="B489:E489"/>
    <mergeCell ref="B472:E472"/>
    <mergeCell ref="B470:E470"/>
    <mergeCell ref="B460:E460"/>
    <mergeCell ref="X460:AA460"/>
    <mergeCell ref="X459:AA459"/>
    <mergeCell ref="I463:M465"/>
    <mergeCell ref="B468:E468"/>
    <mergeCell ref="X474:AA474"/>
    <mergeCell ref="X475:AA475"/>
    <mergeCell ref="X455:AA455"/>
    <mergeCell ref="X505:AA505"/>
    <mergeCell ref="X483:AA483"/>
    <mergeCell ref="X482:AA482"/>
    <mergeCell ref="B482:E482"/>
    <mergeCell ref="X496:AA496"/>
    <mergeCell ref="B453:E453"/>
    <mergeCell ref="X453:AA453"/>
    <mergeCell ref="B464:E464"/>
    <mergeCell ref="B448:E448"/>
    <mergeCell ref="B416:E416"/>
    <mergeCell ref="X466:AA466"/>
    <mergeCell ref="B424:E424"/>
    <mergeCell ref="B421:E421"/>
    <mergeCell ref="B441:E441"/>
    <mergeCell ref="X449:AA449"/>
    <mergeCell ref="B485:E485"/>
    <mergeCell ref="B491:E491"/>
    <mergeCell ref="B493:E493"/>
    <mergeCell ref="B445:E445"/>
    <mergeCell ref="B422:E422"/>
    <mergeCell ref="X456:AA456"/>
    <mergeCell ref="X422:AA422"/>
    <mergeCell ref="B443:E443"/>
    <mergeCell ref="B446:E446"/>
    <mergeCell ref="B429:E429"/>
    <mergeCell ref="B463:E463"/>
    <mergeCell ref="X446:AA446"/>
    <mergeCell ref="X444:AA444"/>
    <mergeCell ref="X458:AA458"/>
    <mergeCell ref="X450:AA450"/>
    <mergeCell ref="X448:AA448"/>
    <mergeCell ref="B430:E430"/>
    <mergeCell ref="B447:E447"/>
    <mergeCell ref="B438:E438"/>
    <mergeCell ref="B442:E442"/>
    <mergeCell ref="B444:E444"/>
    <mergeCell ref="X439:AA439"/>
    <mergeCell ref="X462:AA462"/>
    <mergeCell ref="B411:E411"/>
    <mergeCell ref="X420:AA420"/>
    <mergeCell ref="X383:AA383"/>
    <mergeCell ref="X239:AA240"/>
    <mergeCell ref="B332:E332"/>
    <mergeCell ref="X355:AA355"/>
    <mergeCell ref="B417:E417"/>
    <mergeCell ref="B404:E404"/>
    <mergeCell ref="B418:E418"/>
    <mergeCell ref="X418:AA418"/>
    <mergeCell ref="B278:E278"/>
    <mergeCell ref="X399:AA400"/>
    <mergeCell ref="B307:E307"/>
    <mergeCell ref="B331:E331"/>
    <mergeCell ref="B285:E285"/>
    <mergeCell ref="B274:E274"/>
    <mergeCell ref="B275:E275"/>
    <mergeCell ref="X323:AA323"/>
    <mergeCell ref="B321:E321"/>
    <mergeCell ref="X286:AA286"/>
    <mergeCell ref="B293:E293"/>
    <mergeCell ref="B345:E345"/>
    <mergeCell ref="X254:AA254"/>
    <mergeCell ref="X247:AA247"/>
    <mergeCell ref="B386:E386"/>
    <mergeCell ref="B313:E313"/>
    <mergeCell ref="G399:G400"/>
    <mergeCell ref="B399:B400"/>
    <mergeCell ref="X415:AA415"/>
    <mergeCell ref="B419:E419"/>
    <mergeCell ref="B420:E420"/>
    <mergeCell ref="B412:E412"/>
    <mergeCell ref="H399:W399"/>
    <mergeCell ref="C319:E320"/>
    <mergeCell ref="B303:E303"/>
    <mergeCell ref="C399:E400"/>
    <mergeCell ref="B395:E395"/>
    <mergeCell ref="B334:E334"/>
    <mergeCell ref="B378:E378"/>
    <mergeCell ref="X304:AA304"/>
    <mergeCell ref="B383:E383"/>
    <mergeCell ref="B268:E268"/>
    <mergeCell ref="X321:AA321"/>
    <mergeCell ref="X314:AA314"/>
    <mergeCell ref="X268:AA268"/>
    <mergeCell ref="B388:E388"/>
    <mergeCell ref="B309:E309"/>
    <mergeCell ref="B312:E312"/>
    <mergeCell ref="B279:E279"/>
    <mergeCell ref="B347:E347"/>
    <mergeCell ref="B333:E333"/>
    <mergeCell ref="B343:E343"/>
    <mergeCell ref="B326:E326"/>
    <mergeCell ref="B352:E352"/>
    <mergeCell ref="B354:E354"/>
    <mergeCell ref="B337:E337"/>
    <mergeCell ref="B323:E323"/>
    <mergeCell ref="B374:E374"/>
    <mergeCell ref="B190:E190"/>
    <mergeCell ref="X297:AA297"/>
    <mergeCell ref="G319:G320"/>
    <mergeCell ref="F319:F320"/>
    <mergeCell ref="B276:E276"/>
    <mergeCell ref="B290:E290"/>
    <mergeCell ref="B289:E289"/>
    <mergeCell ref="X277:AA277"/>
    <mergeCell ref="B373:E373"/>
    <mergeCell ref="X287:AA287"/>
    <mergeCell ref="X309:AA309"/>
    <mergeCell ref="X310:AA310"/>
    <mergeCell ref="C239:E240"/>
    <mergeCell ref="B270:E270"/>
    <mergeCell ref="B273:E273"/>
    <mergeCell ref="B282:E282"/>
    <mergeCell ref="X244:AA244"/>
    <mergeCell ref="X283:AA283"/>
    <mergeCell ref="X285:AA285"/>
    <mergeCell ref="X284:AA284"/>
    <mergeCell ref="B286:E286"/>
    <mergeCell ref="B294:E294"/>
    <mergeCell ref="X278:AA278"/>
    <mergeCell ref="X270:AA270"/>
    <mergeCell ref="B257:E257"/>
    <mergeCell ref="X257:AA257"/>
    <mergeCell ref="B356:E356"/>
    <mergeCell ref="B322:E322"/>
    <mergeCell ref="B344:E344"/>
    <mergeCell ref="B349:E349"/>
    <mergeCell ref="B212:E212"/>
    <mergeCell ref="B271:E271"/>
    <mergeCell ref="B612:E612"/>
    <mergeCell ref="B168:E168"/>
    <mergeCell ref="X168:AA168"/>
    <mergeCell ref="B172:E172"/>
    <mergeCell ref="B167:E167"/>
    <mergeCell ref="X167:AA167"/>
    <mergeCell ref="B173:E173"/>
    <mergeCell ref="X173:AA173"/>
    <mergeCell ref="X261:AA261"/>
    <mergeCell ref="B283:E283"/>
    <mergeCell ref="B171:E171"/>
    <mergeCell ref="X311:AA311"/>
    <mergeCell ref="B371:E371"/>
    <mergeCell ref="B340:E340"/>
    <mergeCell ref="B341:E341"/>
    <mergeCell ref="X385:AA385"/>
    <mergeCell ref="B342:E342"/>
    <mergeCell ref="B367:E367"/>
    <mergeCell ref="B335:E335"/>
    <mergeCell ref="B382:E382"/>
    <mergeCell ref="B384:E384"/>
    <mergeCell ref="B315:E315"/>
    <mergeCell ref="B346:E346"/>
    <mergeCell ref="B355:E355"/>
    <mergeCell ref="B361:E361"/>
    <mergeCell ref="B338:E338"/>
    <mergeCell ref="X298:AA298"/>
    <mergeCell ref="B297:E297"/>
    <mergeCell ref="B330:E330"/>
    <mergeCell ref="B311:E311"/>
    <mergeCell ref="B328:E328"/>
    <mergeCell ref="B380:E380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29" r:id="rId62" display="https://www.jivi.com.ar/ficha.php?id=187"/>
    <hyperlink ref="AB331" r:id="rId63" display="https://www.jivi.com.ar/ficha.php?id=4"/>
    <hyperlink ref="AB342" r:id="rId64" display="https://www.jivi.com.ar/ficha.php?id=55"/>
    <hyperlink ref="AB345" r:id="rId65" display="https://www.jivi.com.ar/ficha.php?id=209"/>
    <hyperlink ref="AB346" r:id="rId66"/>
    <hyperlink ref="AB354" r:id="rId67" display="https://www.jivi.com.ar/ficha.php?id=60"/>
    <hyperlink ref="AB356" r:id="rId68" display="https://www.jivi.com.ar/ficha.php?id=380"/>
    <hyperlink ref="AB360" r:id="rId69" display="https://www.jivi.com.ar/ficha.php?id=548"/>
    <hyperlink ref="AB361" r:id="rId70"/>
    <hyperlink ref="AB364" r:id="rId71" display="https://www.jivi.com.ar/ficha.php?id=719"/>
    <hyperlink ref="AB101" r:id="rId72" display="https://www.jivi.com.ar/ficha.php?id=326"/>
    <hyperlink ref="AB105" r:id="rId73" display="https://www.jivi.com.ar/ficha.php?id=134"/>
    <hyperlink ref="AB135" r:id="rId74" display="https://www.jivi.com.ar/ficha.php?id=394"/>
    <hyperlink ref="AB136" r:id="rId75" display="https://www.jivi.com.ar/ficha.php?id=145"/>
    <hyperlink ref="AB139" r:id="rId76" display="https://www.jivi.com.ar/ficha.php?id=18"/>
    <hyperlink ref="AB143" r:id="rId77" display="https://www.jivi.com.ar/ficha.php?id=19"/>
    <hyperlink ref="AB146" r:id="rId78" display="https://www.jivi.com.ar/ficha.php?id=142"/>
    <hyperlink ref="AB147" r:id="rId79" display="https://www.jivi.com.ar/ficha.php?id=392"/>
    <hyperlink ref="AB148" r:id="rId80" display="https://www.jivi.com.ar/ficha.php?id=393"/>
    <hyperlink ref="AB180" r:id="rId81" display="https://www.jivi.com.ar/ficha.php?id=135"/>
    <hyperlink ref="AB181" r:id="rId82" display="https://www.jivi.com.ar/ficha.php?id=136"/>
    <hyperlink ref="AB182" r:id="rId83" display="https://www.jivi.com.ar/ficha.php?id=137"/>
    <hyperlink ref="AB183" r:id="rId84" display="https://www.jivi.com.ar/ficha.php?id=138"/>
    <hyperlink ref="AB191" r:id="rId85" display="https://www.jivi.com.ar/ficha.php?id=245"/>
    <hyperlink ref="AB210" r:id="rId86" display="https://www.jivi.com.ar/ficha.php?id=166"/>
    <hyperlink ref="AB211" r:id="rId87" display="https://www.jivi.com.ar/ficha.php?id=171"/>
    <hyperlink ref="AB215" r:id="rId88" display="https://www.jivi.com.ar/ficha.php?id=168"/>
    <hyperlink ref="AB221" r:id="rId89" display="https://www.jivi.com.ar/ficha.php?id=169"/>
    <hyperlink ref="AB223" r:id="rId90" display="https://www.jivi.com.ar/ficha.php?id=148"/>
    <hyperlink ref="AB224" r:id="rId91" display="https://www.jivi.com.ar/ficha.php?id=158"/>
    <hyperlink ref="AB663" r:id="rId92" display="https://www.jivi.com.ar/ficha.php?id=621"/>
    <hyperlink ref="AB664" r:id="rId93" display="https://www.jivi.com.ar/ficha.php?id=622"/>
    <hyperlink ref="AB95" r:id="rId94" display="https://www.jivi.com.ar/ficha.php?id=456"/>
    <hyperlink ref="AB281" r:id="rId95" display="https://www.jivi.com.ar/ficha.php?id=246"/>
    <hyperlink ref="AB448" r:id="rId96" display="https://www.jivi.com.ar/ficha.php?id=431"/>
    <hyperlink ref="AB452" r:id="rId97" display="https://www.jivi.com.ar/ficha.php?id=728"/>
    <hyperlink ref="AB468" r:id="rId98"/>
    <hyperlink ref="AB470" r:id="rId99"/>
    <hyperlink ref="AB484" r:id="rId100"/>
    <hyperlink ref="AB486" r:id="rId101"/>
    <hyperlink ref="AB489" r:id="rId102"/>
    <hyperlink ref="AB490" r:id="rId103"/>
    <hyperlink ref="AB491" r:id="rId104"/>
    <hyperlink ref="AB493" r:id="rId105"/>
    <hyperlink ref="AB494" r:id="rId106"/>
    <hyperlink ref="AB496" r:id="rId107"/>
    <hyperlink ref="AB501" r:id="rId108"/>
    <hyperlink ref="AB502" r:id="rId109"/>
    <hyperlink ref="AB645" r:id="rId110"/>
    <hyperlink ref="AB651" r:id="rId111"/>
    <hyperlink ref="AB652" r:id="rId112"/>
    <hyperlink ref="AB97" r:id="rId113" display="https://www.jivi.com.ar/ficha.php?id=234"/>
    <hyperlink ref="AB336" r:id="rId114" display="https://www.jivi.com.ar/ficha.php?id=51"/>
    <hyperlink ref="AB347" r:id="rId115"/>
    <hyperlink ref="B7:V7" location="'Artículos Publicitarios'!A686" display="PARA IR A LOS RECARGOS POR IMPRESIONES ADICIONALES CLICK AQUÍ"/>
    <hyperlink ref="AB472" r:id="rId116"/>
    <hyperlink ref="AC52" r:id="rId117"/>
    <hyperlink ref="AD52" r:id="rId118"/>
    <hyperlink ref="AE52" r:id="rId119"/>
    <hyperlink ref="B7:W7" location="'Artículos Publicitarios'!A719" display="PARA IR A LOS RECARGOS POR IMPRESIONES ADICIONALES CLICK AQUÍ"/>
    <hyperlink ref="AB232" r:id="rId120" display="https://www.jivi.com.ar/ficha.php?id=840"/>
    <hyperlink ref="AE2:AF2" location="'Artículos Publicitarios'!A839" display="CLICK AQUÍ"/>
    <hyperlink ref="AE2" location="'Artículos Publicitarios'!A833" display="CLICK AQUÍ"/>
    <hyperlink ref="AB537" r:id="rId121" display="https://www.jivi.com.ar/ficha.php?id=846"/>
    <hyperlink ref="AB25" r:id="rId122" display="https://www.jivi.com.ar/ficha.php?id=848"/>
    <hyperlink ref="AB75" r:id="rId123"/>
    <hyperlink ref="AE2:AG2" location="'Artículos Publicitarios'!A780" display="CLICK AQUÍ"/>
    <hyperlink ref="B766:W766" location="'Artículos Publicitarios'!A3" display="PARA SUBIR AL PRINCIPIO DE LA LISTA CLICK AQUÍ"/>
    <hyperlink ref="AB275" r:id="rId124" display="https://www.jivi.com.ar/ficha.php?id=862"/>
    <hyperlink ref="AB43" r:id="rId125"/>
    <hyperlink ref="AB149" r:id="rId126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7" r:id="rId127" display="https://www.jivi.com.ar/ficha.php?id=903"/>
    <hyperlink ref="AB20" r:id="rId128"/>
    <hyperlink ref="AB341" r:id="rId129" display="https://www.jivi.com.ar/ficha.php?id=916"/>
    <hyperlink ref="AB660" r:id="rId130" display="https://www.jivi.com.ar/ficha.php?id=918"/>
    <hyperlink ref="AB332" r:id="rId131" display="https://www.jivi.com.ar/ficha.php?id=926"/>
    <hyperlink ref="AB66" r:id="rId132"/>
    <hyperlink ref="AB466" r:id="rId133"/>
    <hyperlink ref="AB184" r:id="rId134" display="https://www.jivi.com.ar/ficha.php?id=948"/>
    <hyperlink ref="AB343" r:id="rId135" display="https://www.jivi.com.ar/ficha.php?id=954"/>
    <hyperlink ref="AB130" r:id="rId136"/>
    <hyperlink ref="AB132" r:id="rId137"/>
    <hyperlink ref="AB131" r:id="rId138"/>
    <hyperlink ref="AB473" r:id="rId139"/>
    <hyperlink ref="AB26" r:id="rId140"/>
    <hyperlink ref="AB337" r:id="rId141" display="https://www.jivi.com.ar/ficha.php?id=850"/>
    <hyperlink ref="AB133" r:id="rId142"/>
    <hyperlink ref="AB497" r:id="rId143"/>
    <hyperlink ref="AB498" r:id="rId144"/>
    <hyperlink ref="AB365" r:id="rId145" display="https://www.jivi.com.ar/ficha.php?id=1023"/>
    <hyperlink ref="AB333" r:id="rId146" display="https://www.jivi.com.ar/ficha.php?id=1025"/>
    <hyperlink ref="AF24" location="'Artículos Publicitarios'!A122" display="IR A PINES"/>
    <hyperlink ref="AB339" r:id="rId147" display="https://www.jivi.com.ar/ficha.php?id=647"/>
    <hyperlink ref="AB327" r:id="rId148" display="https://www.jivi.com.ar/ficha.php?id=1049"/>
    <hyperlink ref="AB198" r:id="rId149" display="https://www.jivi.com.ar/ficha.php?id=1059"/>
    <hyperlink ref="AB200" r:id="rId150" display="https://www.jivi.com.ar/ficha.php?id=1061"/>
    <hyperlink ref="AB201" r:id="rId151" display="https://www.jivi.com.ar/ficha.php?id=1062"/>
    <hyperlink ref="AB22" r:id="rId152" display="https://www.jivi.com.ar/ficha.php?id=364"/>
    <hyperlink ref="AF26:AI26" location="'Artículos Publicitarios'!A505" display="IR A GORROS"/>
    <hyperlink ref="AB24" r:id="rId153"/>
    <hyperlink ref="AB23" r:id="rId154"/>
    <hyperlink ref="AF22:AI22" location="'Artículos Publicitarios'!A629" display="IR A PROD. SUBLIMADOS"/>
    <hyperlink ref="AB630" r:id="rId155" display="https://www.jivi.com.ar/ficha.php?id=1088"/>
    <hyperlink ref="AB631" r:id="rId156" display="https://www.jivi.com.ar/ficha.php?id=1089"/>
    <hyperlink ref="AB632" r:id="rId157" display="https://www.jivi.com.ar/ficha.php?id=1090"/>
    <hyperlink ref="AB633" r:id="rId158" display="https://www.jivi.com.ar/ficha.php?id=1091"/>
    <hyperlink ref="AB352" r:id="rId159" display="https://www.jivi.com.ar/ficha.php?id=1095"/>
    <hyperlink ref="AB334" r:id="rId160" display="https://www.jivi.com.ar/ficha.php?id=1094"/>
    <hyperlink ref="AB330" r:id="rId161" display="https://www.jivi.com.ar/ficha.php?id=297"/>
    <hyperlink ref="AB371" r:id="rId162" display="https://www.jivi.com.ar/ficha.php?id=1097"/>
    <hyperlink ref="AB99" r:id="rId163" display="https://www.jivi.com.ar/ficha.php?id=1098"/>
    <hyperlink ref="AB19" r:id="rId164"/>
    <hyperlink ref="AB226" r:id="rId165"/>
    <hyperlink ref="AB326" r:id="rId166" display="https://www.jivi.com.ar/ficha.php?id=1108"/>
    <hyperlink ref="AB355" r:id="rId167" display="https://www.jivi.com.ar/ficha.php?id=1116"/>
    <hyperlink ref="AF642:AH642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29" display="IR A CINTAS COLGANTES"/>
    <hyperlink ref="AF27:AI27" location="'Artículos Publicitarios'!A264" display="IR A PORTADOCUMENTOS"/>
    <hyperlink ref="AB177" r:id="rId168" display="https://www.jivi.com.ar/ficha.php?id=1119"/>
    <hyperlink ref="AB178" r:id="rId169"/>
    <hyperlink ref="AB655" r:id="rId170" display="https://www.jivi.com.ar/ficha.php?id=1154"/>
    <hyperlink ref="AB665" r:id="rId171" display="https://www.jivi.com.ar/ficha.php?id=1157"/>
    <hyperlink ref="AB666" r:id="rId172" display="https://www.jivi.com.ar/ficha.php?id=1158"/>
    <hyperlink ref="AB634" r:id="rId173" display="hhttps://www.jivi.com.ar/ficha.php?id=1155"/>
    <hyperlink ref="AB636" r:id="rId174" display="https://www.jivi.com.ar/ficha.php?id=1156"/>
    <hyperlink ref="AB335" r:id="rId175"/>
    <hyperlink ref="AB53" r:id="rId176" display="https://www.jivi.com.ar/ficha.php?id=1172"/>
    <hyperlink ref="AB338" r:id="rId177"/>
    <hyperlink ref="AB98" r:id="rId178"/>
    <hyperlink ref="AB118" r:id="rId179"/>
    <hyperlink ref="AB340" r:id="rId180" display="https://www.jivi.com.ar/ficha.php?id=915"/>
    <hyperlink ref="AB108" r:id="rId181" display="https://www.jivi.com.ar/ficha.php?id=1182"/>
    <hyperlink ref="AB117" r:id="rId182" display="https://www.jivi.com.ar/ficha.php?id=1183"/>
    <hyperlink ref="AB119" r:id="rId183"/>
    <hyperlink ref="AB344" r:id="rId184" display="https://www.jivi.com.ar/ficha.php?id=349"/>
    <hyperlink ref="AB414" r:id="rId185" display="https://www.jivi.com.ar/ficha.php?id=1190"/>
    <hyperlink ref="AB106" r:id="rId186" display="https://www.jivi.com.ar/ficha.php?id=1181"/>
    <hyperlink ref="AB350" r:id="rId187"/>
    <hyperlink ref="AB474" r:id="rId188"/>
    <hyperlink ref="AB417" r:id="rId189" display="https://www.jivi.com.ar/ficha.php?id=1219"/>
    <hyperlink ref="AB48" r:id="rId190"/>
    <hyperlink ref="AB47" r:id="rId191"/>
    <hyperlink ref="AB49" r:id="rId192"/>
    <hyperlink ref="AB668" r:id="rId193" display="https://www.jivi.com.ar/ficha.php?id=904"/>
    <hyperlink ref="AB60" r:id="rId194"/>
    <hyperlink ref="AB444" r:id="rId195" display="https://www.jivi.com.ar/ficha.php?id=1225"/>
    <hyperlink ref="AB42" r:id="rId196"/>
    <hyperlink ref="AB661" r:id="rId197" display="https://www.jivi.com.ar/ficha.php?id=919"/>
    <hyperlink ref="AB199" r:id="rId198" display="https://www.jivi.com.ar/ficha.php?id=1060"/>
    <hyperlink ref="AB41" r:id="rId199"/>
    <hyperlink ref="AB150" r:id="rId200" display="https://www.jivi.com.ar/ficha.php?id=883"/>
    <hyperlink ref="AB504" r:id="rId201"/>
    <hyperlink ref="AB123" r:id="rId202" display="https://jivi.com.ar/ficha.php?id=89"/>
    <hyperlink ref="AB539" r:id="rId203" display="https://www.jivi.com.ar/ficha.php?id=1248"/>
    <hyperlink ref="AB353" r:id="rId204" display="https://www.jivi.com.ar/ficha.php?id=1253"/>
    <hyperlink ref="AB276" r:id="rId205" display="https://www.jivi.com.ar/ficha.php?id=1124"/>
    <hyperlink ref="AB151" r:id="rId206" display="https://www.jivi.com.ar/ficha.php?id=1261"/>
    <hyperlink ref="AB386" r:id="rId207" display="https://www.jivi.com.ar/ficha.php?id=1267"/>
    <hyperlink ref="AB445" r:id="rId208" display="https://www.jivi.com.ar/ficha.php?id=1268"/>
    <hyperlink ref="AB387" r:id="rId209" display="https://www.jivi.com.ar/ficha.php?id=1277"/>
    <hyperlink ref="AB682" r:id="rId210"/>
    <hyperlink ref="AB96" r:id="rId211" display="https://www.jivi.com.ar/ficha.php?id=378"/>
    <hyperlink ref="AB175" r:id="rId212"/>
    <hyperlink ref="AB107" r:id="rId213"/>
    <hyperlink ref="AB109" r:id="rId214"/>
    <hyperlink ref="AB112" r:id="rId215" display="https://www.jivi.com.ar/ficha.php?id=1305"/>
    <hyperlink ref="AB113" r:id="rId216"/>
    <hyperlink ref="AB225" r:id="rId217" display="https://www.jivi.com.ar/ficha.php?id=1287"/>
    <hyperlink ref="AB638" r:id="rId218" display="https://www.jivi.com.ar/ficha.php?id=1290"/>
    <hyperlink ref="AB161" r:id="rId219" display="https://www.jivi.com.ar/ficha.php?id=1316"/>
    <hyperlink ref="AB102" r:id="rId220" display="https://www.jivi.com.ar/ficha.php?id=1314"/>
    <hyperlink ref="AJ1:AJ2" location="'Artículos Publicitarios'!A3" display="IR A PAGINA 1"/>
    <hyperlink ref="AB174" r:id="rId221"/>
    <hyperlink ref="AB375" r:id="rId222" display="https://www.jivi.com.ar/ficha.php?id=1344"/>
    <hyperlink ref="AB114" r:id="rId223"/>
    <hyperlink ref="AF725:AH725" location="'Artículos Publicitarios'!A3" display="IR A PAGINA 1"/>
    <hyperlink ref="AB154" r:id="rId224" display="https://www.jivi.com.ar/ficha.php?id=1346"/>
    <hyperlink ref="AB155" r:id="rId225" display="https://www.jivi.com.ar/ficha.php?id=1347"/>
    <hyperlink ref="AB197" r:id="rId226" display="https://www.jivi.com.ar/ficha.php?id=1348"/>
    <hyperlink ref="AB376" r:id="rId227" display="https://www.jivi.com.ar/ficha.php?id=1359"/>
    <hyperlink ref="AB390" r:id="rId228" display="https://www.jivi.com.ar/ficha.php?id=1360"/>
    <hyperlink ref="AB176" r:id="rId229"/>
    <hyperlink ref="AB104" r:id="rId230" display="https://www.jivi.com.ar/ficha.php?id=1366"/>
    <hyperlink ref="AC8:AI9" r:id="rId231" display="REGISTRATE EN NUESTRA WEB PARA BAJAR LISTA DE PRECIOS DESDE CUALQUIER PC"/>
    <hyperlink ref="AB277" r:id="rId232" display="https://www.jivi.com.ar/ficha.php?id=864"/>
    <hyperlink ref="AB401" r:id="rId233" display="https://www.jivi.com.ar/ficha.php?id=1372"/>
    <hyperlink ref="AB393" r:id="rId234" display="https://www.jivi.com.ar/ficha.php?id=1378"/>
    <hyperlink ref="AB402" r:id="rId235" display="https://www.jivi.com.ar/ficha.php?id=1382"/>
    <hyperlink ref="AB392" r:id="rId236" display="https://www.jivi.com.ar/ficha.php?id=1383"/>
    <hyperlink ref="AB422" r:id="rId237" display="https://www.jivi.com.ar/ficha.php?id=1384"/>
    <hyperlink ref="AB125" r:id="rId238" display="https://www.jivi.com.ar/ficha.php?id=1428"/>
    <hyperlink ref="AB423" r:id="rId239" display="https://www.jivi.com.ar/ficha.php?id=1385"/>
    <hyperlink ref="AB421" r:id="rId240" display="https://www.jivi.com.ar/ficha.php?id=1387"/>
    <hyperlink ref="AB424" r:id="rId241" display="https://www.jivi.com.ar/ficha.php?id=1389"/>
    <hyperlink ref="AB21" r:id="rId242" display="https://www.jivi.com.ar/ficha.php?id=363"/>
    <hyperlink ref="AF21" location="'Artículos Publicitarios'!A582" display="IR A REMERAS"/>
    <hyperlink ref="AF21:AI21" location="'Artículos Publicitarios'!A495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65" display="IR A ART. DE CUERO - CUCHILLERIA"/>
    <hyperlink ref="AB59" r:id="rId243" display="https://www.jivi.com.ar/ficha.php?id=236"/>
    <hyperlink ref="AB164" r:id="rId244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3" r:id="rId245" display="https://www.jivi.com.ar/ficha.php?id=1394"/>
    <hyperlink ref="AB227" r:id="rId246" display="https://www.jivi.com.ar/ficha.php?id=872"/>
    <hyperlink ref="AB145" r:id="rId247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7" display="IR A BOLIGRAFOS"/>
    <hyperlink ref="AB420" r:id="rId248" display="https://www.jivi.com.ar/ficha.php?id=1262"/>
    <hyperlink ref="AB391" r:id="rId249" display="https://www.jivi.com.ar/ficha.php?id=1400"/>
    <hyperlink ref="AB404" r:id="rId250" display="https://www.jivi.com.ar/ficha.php?id=1401"/>
    <hyperlink ref="AB152" r:id="rId251" display="https://www.jivi.com.ar/ficha.php?id=1392"/>
    <hyperlink ref="AB270" r:id="rId252" display="https://www.jivi.com.ar/ficha.php?id=1230"/>
    <hyperlink ref="AB377" r:id="rId253" display="https://www.jivi.com.ar/ficha.php?id=1110"/>
    <hyperlink ref="AB379" r:id="rId254" display="https://www.jivi.com.ar/ficha.php?id=1111"/>
    <hyperlink ref="AF20:AI20" location="'Artículos Publicitarios'!A325" display="IR A SET DE NOTAS"/>
    <hyperlink ref="AF20:AJ20" location="'Artículos Publicitarios'!A524" display="IR A PARAGUAS"/>
    <hyperlink ref="AB92" r:id="rId255" display="https://www.jivi.com.ar/ficha.php?id=477"/>
    <hyperlink ref="AB94" r:id="rId256" display="https://www.jivi.com.ar/ficha.php?id=376"/>
    <hyperlink ref="AB13" r:id="rId257" display="https://www.jivi.com.ar/ficha.php?id=1402"/>
    <hyperlink ref="AB532" r:id="rId258" display="https://www.jivi.com.ar/ficha.php?id=1393"/>
    <hyperlink ref="AB16" r:id="rId259" display="https://www.jivi.com.ar/ficha.php?id=1405"/>
    <hyperlink ref="AB122" r:id="rId260" display="https://www.jivi.com.ar/ficha.php?id=1413"/>
    <hyperlink ref="AB171" r:id="rId261" display="https://www.jivi.com.ar/ficha.php?id=1415"/>
    <hyperlink ref="AF12:AH12" location="'Artículos Publicitarios'!A260" display="IR A PAGINA 4"/>
    <hyperlink ref="AB323" r:id="rId262" display="https://www.jivi.com.ar/ficha.php?id=1356"/>
    <hyperlink ref="AB214" r:id="rId263" display="https://www.jivi.com.ar/ficha.php?id=1084"/>
    <hyperlink ref="AB321" r:id="rId264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07" display="IR A DELANTALES"/>
    <hyperlink ref="AB687" r:id="rId265"/>
    <hyperlink ref="AB690" r:id="rId266"/>
    <hyperlink ref="AB662" r:id="rId267" display="https://www.jivi.com.ar/ficha.php?id=1281"/>
    <hyperlink ref="AB679" r:id="rId268"/>
    <hyperlink ref="AB296" r:id="rId269" display="https://www.jivi.com.ar/ficha.php?id=1421"/>
    <hyperlink ref="AB299" r:id="rId270" display="https://www.jivi.com.ar/ficha.php?id=1422"/>
    <hyperlink ref="AB300" r:id="rId271" display="https://www.jivi.com.ar/ficha.php?id=1423"/>
    <hyperlink ref="AB314" r:id="rId272" display="https://www.jivi.com.ar/ficha.php?id=1425"/>
    <hyperlink ref="AB315" r:id="rId273" display="https://www.jivi.com.ar/ficha.php?id=1426"/>
    <hyperlink ref="AB442" r:id="rId274" display="https://www.jivi.com.ar/ficha.php?id=1429"/>
    <hyperlink ref="AB475" r:id="rId275"/>
    <hyperlink ref="AB482" r:id="rId276"/>
    <hyperlink ref="AB526" r:id="rId277" display="https://www.jivi.com.ar/ficha.php?id=1436"/>
    <hyperlink ref="AB527" r:id="rId278" display="https://www.jivi.com.ar/ficha.php?id=1437"/>
    <hyperlink ref="AB528" r:id="rId279"/>
    <hyperlink ref="AB530" r:id="rId280" display="https://www.jivi.com.ar/ficha.php?id=1439"/>
    <hyperlink ref="AB298" r:id="rId281" display="https://www.jivi.com.ar/ficha.php?id=1442"/>
    <hyperlink ref="AB313" r:id="rId282" display="https://www.jivi.com.ar/ficha.php?id=1427"/>
    <hyperlink ref="AB653" r:id="rId283"/>
    <hyperlink ref="AB370" r:id="rId284" display="https://www.jivi.com.ar/ficha.php?id=1056"/>
    <hyperlink ref="AB269" r:id="rId285" display="https://www.jivi.com.ar/ficha.php?id=1334"/>
    <hyperlink ref="AB262" r:id="rId286" display="https://www.jivi.com.ar/ficha.php?id=1335"/>
    <hyperlink ref="AB307" r:id="rId287" display="https://www.jivi.com.ar/ficha.php?id=1446"/>
    <hyperlink ref="AB322" r:id="rId288" display="https://www.jivi.com.ar/ficha.php?id=1354"/>
    <hyperlink ref="AB311" r:id="rId289" display="https://www.jivi.com.ar/ficha.php?id=1448"/>
    <hyperlink ref="AB325" r:id="rId290" display="https://www.jivi.com.ar/ficha.php?id=1450"/>
    <hyperlink ref="AB193" r:id="rId291"/>
    <hyperlink ref="AB203" r:id="rId292" display="https://www.jivi.com.ar/ficha.php?id=1064"/>
    <hyperlink ref="AB202" r:id="rId293" display="https://www.jivi.com.ar/ficha.php?id=1063"/>
    <hyperlink ref="AB467" r:id="rId294"/>
    <hyperlink ref="AB683" r:id="rId295"/>
    <hyperlink ref="AB410" r:id="rId296" display="https://www.jivi.com.ar/ficha.php?id=1463"/>
    <hyperlink ref="AB411" r:id="rId297" display="https://www.jivi.com.ar/ficha.php?id=1464"/>
    <hyperlink ref="AB429" r:id="rId298" display="https://www.jivi.com.ar/ficha.php?id=1466"/>
    <hyperlink ref="AB533" r:id="rId299" display="https://www.jivi.com.ar/ficha.php?id=1467"/>
    <hyperlink ref="AB531" r:id="rId300" display="https://www.jivi.com.ar/ficha.php?id=1468"/>
    <hyperlink ref="AB538" r:id="rId301" display="https://www.jivi.com.ar/ficha.php?id=1470"/>
    <hyperlink ref="AB542" r:id="rId302"/>
    <hyperlink ref="AB543" r:id="rId303" display="https://www.jivi.com.ar/ficha.php?id=1472"/>
    <hyperlink ref="AB492" r:id="rId304"/>
    <hyperlink ref="AB628" r:id="rId305"/>
    <hyperlink ref="AB629" r:id="rId306"/>
    <hyperlink ref="AB627" r:id="rId307"/>
    <hyperlink ref="AB218" r:id="rId308" display="https://www.jivi.com.ar/ficha.php?id=1478"/>
    <hyperlink ref="AB219" r:id="rId309"/>
    <hyperlink ref="AB220" r:id="rId310"/>
    <hyperlink ref="AB213" r:id="rId311" display="https://www.jivi.com.ar/ficha.php?id=1481"/>
    <hyperlink ref="AB228" r:id="rId312" display="https://www.jivi.com.ar/ficha.php?id=1483"/>
    <hyperlink ref="AB260" r:id="rId313" display="https://www.jivi.com.ar/ficha.php?id=1486"/>
    <hyperlink ref="AB261" r:id="rId314" display="https://www.jivi.com.ar/ficha.php?id=1488"/>
    <hyperlink ref="AB656" r:id="rId315" display="https://www.jivi.com.ar/ficha.php?id=1492"/>
    <hyperlink ref="AB657" r:id="rId316" display="https://www.jivi.com.ar/ficha.php?id=1493"/>
    <hyperlink ref="AB658" r:id="rId317" display="https://www.jivi.com.ar/ficha.php?id=1494"/>
    <hyperlink ref="AB659" r:id="rId318"/>
    <hyperlink ref="AB282" r:id="rId319" display="https://www.jivi.com.ar/ficha.php?id=1496"/>
    <hyperlink ref="AB283" r:id="rId320" display="https://www.jivi.com.ar/ficha.php?id=1497"/>
    <hyperlink ref="AB285" r:id="rId321" display="httphttps://www.jivi.com.ar/ficha.php?id=1498"/>
    <hyperlink ref="AB286" r:id="rId322" display="https://www.jivi.com.ar/ficha.php?id=1499"/>
    <hyperlink ref="AB287" r:id="rId323" display="https://www.jivi.com.ar/ficha.php?id=1500"/>
    <hyperlink ref="AB36" r:id="rId324"/>
    <hyperlink ref="AB38" r:id="rId325"/>
    <hyperlink ref="AB35" r:id="rId326"/>
    <hyperlink ref="AB37" r:id="rId327"/>
    <hyperlink ref="AB39" r:id="rId328"/>
    <hyperlink ref="AB40" r:id="rId329"/>
    <hyperlink ref="AB525" r:id="rId330" display="https://www.jivi.com.ar/ficha.php?id=1509"/>
    <hyperlink ref="AB506" r:id="rId331"/>
    <hyperlink ref="AB295" r:id="rId332" display="https://www.jivi.com.ar/ficha.php?id=1515"/>
    <hyperlink ref="AB70" r:id="rId333"/>
    <hyperlink ref="AB72" r:id="rId334"/>
    <hyperlink ref="AB406" r:id="rId335" display="https://www.jivi.com.ar/ficha.php?id=1523"/>
    <hyperlink ref="AB294" r:id="rId336" display="https://www.jivi.com.ar/ficha.php?id=1559"/>
    <hyperlink ref="AB297" r:id="rId337" display="https://www.jivi.com.ar/ficha.php?id=1527"/>
    <hyperlink ref="AB250" r:id="rId338" display="https://www.jivi.com.ar/ficha.php?id=1532"/>
    <hyperlink ref="AB258" r:id="rId339" display="https://www.jivi.com.ar/ficha.php?id=1534"/>
    <hyperlink ref="AB674" r:id="rId340" display="https://www.jivi.com.ar/ficha.php?id=1535"/>
    <hyperlink ref="AB675" r:id="rId341" display="https://www.jivi.com.ar/ficha.php?id=1536"/>
    <hyperlink ref="AB231" r:id="rId342" display="https://www.jivi.com.ar/ficha.php?id=1539"/>
    <hyperlink ref="AB129" r:id="rId343" display="https://www.jivi.com.ar/ficha.php?id=1540"/>
    <hyperlink ref="AB540" r:id="rId344" display="https://www.jivi.com.ar/ficha.php?id=1541"/>
    <hyperlink ref="AB541" r:id="rId345" display="https://www.jivi.com.ar/ficha.php?id=1542"/>
    <hyperlink ref="AB244" r:id="rId346" display="https://www.jivi.com.ar/ficha.php?id=1545"/>
    <hyperlink ref="AB378" r:id="rId347"/>
    <hyperlink ref="AB351" r:id="rId348" display="https://www.jivi.com.ar/ficha.php?id=981"/>
    <hyperlink ref="AB407" r:id="rId349" display="https://www.jivi.com.ar/ficha.php?id=1548"/>
    <hyperlink ref="AB408" r:id="rId350" display="https://www.jivi.com.ar/ficha.php?id=1549"/>
    <hyperlink ref="AB454" r:id="rId351"/>
    <hyperlink ref="AB441" r:id="rId352" display="https://www.jivi.com.ar/ficha.php?id=1552"/>
    <hyperlink ref="AB373" r:id="rId353" display="https://www.jivi.com.ar/ficha.php?id=1311"/>
    <hyperlink ref="AB144" r:id="rId354" display="https://www.jivi.com.ar/ficha.php?id=1553"/>
    <hyperlink ref="AB140" r:id="rId355" display="https://www.jivi.com.ar/ficha.php?id=1554"/>
    <hyperlink ref="AB590" r:id="rId356" display="https://www.jivi.com.ar/ficha.php?id=1555"/>
    <hyperlink ref="AB58" r:id="rId357" display="https://www.jivi.com.ar/ficha.php?id=1557"/>
    <hyperlink ref="AB688" r:id="rId358"/>
    <hyperlink ref="AB229" r:id="rId359" display="https://www.jivi.com.ar/ficha.php?id=518"/>
    <hyperlink ref="AB194" r:id="rId360" display="https://www.jivi.com.ar/ficha.php?id=1561"/>
    <hyperlink ref="AB10" r:id="rId361" display="https://www.jivi.com.ar/ficha.php?id=26"/>
    <hyperlink ref="AB233" r:id="rId362" display="https://www.jivi.com.ar/ficha.php?id=1066"/>
    <hyperlink ref="AB241" r:id="rId363" display="https://www.jivi.com.ar/ficha.php?id=1562"/>
    <hyperlink ref="AB449" r:id="rId364" display="https://www.jivi.com.ar/ficha.php?id=1563"/>
    <hyperlink ref="AB153" r:id="rId365" display="https://www.jivi.com.ar/ficha.php?id=1414"/>
    <hyperlink ref="AB17" r:id="rId366" display="https://www.jivi.com.ar/ficha.php?id=790"/>
    <hyperlink ref="AB304" r:id="rId367" display="https://www.jivi.com.ar/ficha.php?id=1407"/>
    <hyperlink ref="AB303" r:id="rId368" display="https://www.jivi.com.ar/ficha.php?id=1409"/>
    <hyperlink ref="AB305" r:id="rId369" display="https://www.jivi.com.ar/ficha.php?id=1408"/>
    <hyperlink ref="AB292" r:id="rId370" display="https://www.jivi.com.ar/ficha.php?id=1564"/>
    <hyperlink ref="AB28" r:id="rId371" display="https://www.jivi.com.ar/ficha.php?id=1434"/>
    <hyperlink ref="AB412" r:id="rId372" display="https://www.jivi.com.ar/ficha.php?id=1567"/>
    <hyperlink ref="AB44" r:id="rId373"/>
    <hyperlink ref="AB45" r:id="rId374"/>
    <hyperlink ref="AB46" r:id="rId375"/>
    <hyperlink ref="AB126" r:id="rId376" display="https://www.jivi.com.ar/ficha.php?id=1571"/>
    <hyperlink ref="AB212" r:id="rId377"/>
    <hyperlink ref="AB409" r:id="rId378" display="https://www.jivi.com.ar/ficha.php?id=1572"/>
    <hyperlink ref="AB293" r:id="rId379" display="https://www.jivi.com.ar/ficha.php?id=1573"/>
    <hyperlink ref="AB555" r:id="rId380" display="https://www.jivi.com.ar/ficha.php?id=1294"/>
    <hyperlink ref="AF29:AJ29" location="'Artículos Publicitarios'!A562" display="IR A MOCHILAS - BOLSOS - ETC"/>
    <hyperlink ref="AB568" r:id="rId381" display="https://www.jivi.com.ar/ficha.php?id=1271"/>
    <hyperlink ref="AB567" r:id="rId382" display="https://www.jivi.com.ar/ficha.php?id=1296"/>
    <hyperlink ref="AB572" r:id="rId383" display="https://www.jivi.com.ar/ficha.php?id=1139"/>
    <hyperlink ref="AB565" r:id="rId384" display="https://www.jivi.com.ar/ficha.php?id=1249"/>
    <hyperlink ref="AB605" r:id="rId385" display="https://www.jivi.com.ar/ficha.php?id=1574"/>
    <hyperlink ref="AB566" r:id="rId386" display="https://www.jivi.com.ar/ficha.php?id=1576"/>
    <hyperlink ref="AB576" r:id="rId387" display="https://www.jivi.com.ar/ficha.php?id=1580"/>
    <hyperlink ref="AB577" r:id="rId388" display="https://www.jivi.com.ar/ficha.php?id=1581"/>
    <hyperlink ref="AB581" r:id="rId389" display="https://www.jivi.com.ar/ficha.php?id=1583"/>
    <hyperlink ref="AB582" r:id="rId390" display="https://www.jivi.com.ar/ficha.php?id=1584"/>
    <hyperlink ref="AB584" r:id="rId391" display="https://www.jivi.com.ar/ficha.php?id=1586"/>
    <hyperlink ref="AB585" r:id="rId392" display="https://www.jivi.com.ar/ficha.php?id=1587"/>
    <hyperlink ref="AF17:AJ17" location="'Artículos Publicitarios'!A248" display="IR A CUADERNOS"/>
    <hyperlink ref="AB272" r:id="rId393" display="https://www.jivi.com.ar/ficha.php?id=1221"/>
    <hyperlink ref="AB278" r:id="rId394" display="https://www.jivi.com.ar/ficha.php?id=1588"/>
    <hyperlink ref="AB520" r:id="rId395"/>
    <hyperlink ref="AB521" r:id="rId396" display="https://www.jivi.com.ar/ficha.php?id=1590"/>
    <hyperlink ref="AB522" r:id="rId397"/>
    <hyperlink ref="AB523" r:id="rId398" display="https://www.jivi.com.ar/ficha.php?id=1592"/>
    <hyperlink ref="AB591" r:id="rId399" display="https://www.jivi.com.ar/ficha.php?id=1593"/>
    <hyperlink ref="AB290" r:id="rId400" display="https://www.jivi.com.ar/ficha.php?id=1595"/>
    <hyperlink ref="AB432" r:id="rId401" display="https://www.jivi.com.ar/ficha.php?id=1596"/>
    <hyperlink ref="AB592" r:id="rId402" display="https://www.jivi.com.ar/ficha.php?id=1598"/>
    <hyperlink ref="AB583" r:id="rId403" display="https://www.jivi.com.ar/ficha.php?id=1599"/>
    <hyperlink ref="AB594" r:id="rId404" display="https://www.jivi.com.ar/ficha.php?id=1602"/>
    <hyperlink ref="AB598" r:id="rId405" display="https://www.jivi.com.ar/ficha.php?id=1603"/>
    <hyperlink ref="AB61" r:id="rId406"/>
    <hyperlink ref="AB599" r:id="rId407" display="https://www.jivi.com.ar/ficha.php?id=1604"/>
    <hyperlink ref="AB600" r:id="rId408" display="https://www.jivi.com.ar/ficha.php?id=1606"/>
    <hyperlink ref="AB310" r:id="rId409" display="https://www.jivi.com.ar/ficha.php?id=1424"/>
    <hyperlink ref="AB179" r:id="rId410"/>
    <hyperlink ref="AB255" r:id="rId411" display="https://www.jivi.com.ar/ficha.php?id=1459"/>
    <hyperlink ref="AB254" r:id="rId412" display="https://www.jivi.com.ar/ficha.php?id=1608"/>
    <hyperlink ref="AB253" r:id="rId413" display="https://www.jivi.com.ar/ficha.php?id=1609"/>
    <hyperlink ref="AB273" r:id="rId414" display="https://www.jivi.com.ar/ficha.php?id=1274"/>
    <hyperlink ref="AB439" r:id="rId415" display="https://www.jivi.com.ar/ficha.php?id=1610"/>
    <hyperlink ref="AB580" r:id="rId416" display="https://www.jivi.com.ar/ficha.php?id=1611"/>
    <hyperlink ref="AB579" r:id="rId417" display="https://www.jivi.com.ar/ficha.php?id=1612"/>
    <hyperlink ref="AB206" r:id="rId418" display="https://www.jivi.com.ar/ficha.php?id=1614"/>
    <hyperlink ref="AB204" r:id="rId419" display="https://www.jivi.com.ar/ficha.php?id=1452"/>
    <hyperlink ref="AB222" r:id="rId420" display="https://www.jivi.com.ar/ficha.php?id=608"/>
    <hyperlink ref="AB384" r:id="rId421" display="https://www.jivi.com.ar/ficha.php?id=1615"/>
    <hyperlink ref="AB608" r:id="rId422" display="https://www.jivi.com.ar/ficha.php?id=1617"/>
    <hyperlink ref="AB609" r:id="rId423" display="https://www.jivi.com.ar/ficha.php?id=1618"/>
    <hyperlink ref="AB518" r:id="rId424"/>
    <hyperlink ref="AB519" r:id="rId425" display="https://www.jivi.com.ar/ficha.php?id=1620"/>
    <hyperlink ref="AB535" r:id="rId426" display="https://www.jivi.com.ar/ficha.php?id=1204"/>
    <hyperlink ref="AB536" r:id="rId427"/>
    <hyperlink ref="AB349" r:id="rId428"/>
    <hyperlink ref="AB505" r:id="rId429"/>
    <hyperlink ref="AB646" r:id="rId430"/>
    <hyperlink ref="AB692" r:id="rId431"/>
    <hyperlink ref="AB693" r:id="rId432"/>
    <hyperlink ref="AB694" r:id="rId433"/>
    <hyperlink ref="AB382" r:id="rId434" display="https://www.jivi.com.ar/ficha.php?id=1641"/>
    <hyperlink ref="AB457" r:id="rId435"/>
    <hyperlink ref="AB458" r:id="rId436"/>
    <hyperlink ref="AB459" r:id="rId437"/>
    <hyperlink ref="AB677" r:id="rId438"/>
    <hyperlink ref="AB456" r:id="rId439"/>
    <hyperlink ref="AB169" r:id="rId440" display="https://www.jivi.com.ar/ficha.php?id=1660"/>
    <hyperlink ref="AB100" r:id="rId441" display="https://www.jivi.com.ar/ficha.php?id=440"/>
    <hyperlink ref="AB678" r:id="rId442"/>
    <hyperlink ref="AB686" r:id="rId443"/>
    <hyperlink ref="AB691" r:id="rId444"/>
    <hyperlink ref="AB524" r:id="rId445" display="https://www.jivi.com.ar/ficha.php?id=1684"/>
    <hyperlink ref="AB385" r:id="rId446" display="https://www.jivi.com.ar/ficha.php?id=1272"/>
    <hyperlink ref="AB383" r:id="rId447" display="https://www.jivi.com.ar/ficha.php?id=1687"/>
    <hyperlink ref="AB381" r:id="rId448" display="https://www.jivi.com.ar/ficha.php?id=1672"/>
    <hyperlink ref="AB586" r:id="rId449" display="https://www.jivi.com.ar/ficha.php?id=1690"/>
    <hyperlink ref="AB517" r:id="rId450" display="https://www.jivi.com.ar/ficha.php?id=1691"/>
    <hyperlink ref="AB529" r:id="rId451" display="https://www.jivi.com.ar/ficha.php?id=1438"/>
    <hyperlink ref="AF510:AH510" location="'Artículos Publicitarios'!A3" display="IR A PAGINA 1"/>
    <hyperlink ref="AF548:AH548" location="'Artículos Publicitarios'!A3" display="IR A PAGINA 1"/>
    <hyperlink ref="AB29" r:id="rId452" display="https://www.jivi.com.ar/ficha.php?id=36"/>
    <hyperlink ref="AB515" r:id="rId453"/>
    <hyperlink ref="AB516" r:id="rId454" display="https://www.jivi.com.ar/ficha.php?id=1698"/>
    <hyperlink ref="AB433" r:id="rId455" display="https://www.jivi.com.ar/ficha.php?id=1699"/>
    <hyperlink ref="AB507" r:id="rId456"/>
    <hyperlink ref="AB405" r:id="rId457" display="https://www.jivi.com.ar/ficha.php?id=1462"/>
    <hyperlink ref="AB249" r:id="rId458" display="https://www.jivi.com.ar/ficha.php?id=1531"/>
    <hyperlink ref="AB247" r:id="rId459" display="https://www.jivi.com.ar/ficha.php?id=1528"/>
    <hyperlink ref="AB443" r:id="rId460"/>
    <hyperlink ref="AB357" r:id="rId461" display="https://www.jivi.com.ar/ficha.php?id=977"/>
    <hyperlink ref="AB427" r:id="rId462" display="https://www.jivi.com.ar/ficha.php?id=1457"/>
    <hyperlink ref="AB426" r:id="rId463" display="https://www.jivi.com.ar/ficha.php?id=1456"/>
    <hyperlink ref="AB358" r:id="rId464" display="https://www.jivi.com.ar/ficha.php?id=1707"/>
    <hyperlink ref="AB359" r:id="rId465" display="https://www.jivi.com.ar/ficha.php?id=1708"/>
    <hyperlink ref="AB430" r:id="rId466"/>
    <hyperlink ref="AB514" r:id="rId467" display="https://www.jivi.com.ar/ficha.php?id=1722"/>
    <hyperlink ref="AB14" r:id="rId468" display="https://www.jivi.com.ar/ficha.php?id=1723"/>
    <hyperlink ref="AB190" r:id="rId469"/>
    <hyperlink ref="AB186" r:id="rId470"/>
    <hyperlink ref="AB188" r:id="rId471"/>
    <hyperlink ref="AB187" r:id="rId472"/>
    <hyperlink ref="AB189" r:id="rId473"/>
    <hyperlink ref="AB185" r:id="rId474"/>
    <hyperlink ref="AB647" r:id="rId475"/>
    <hyperlink ref="AB649" r:id="rId476"/>
    <hyperlink ref="AB670" r:id="rId477"/>
    <hyperlink ref="AB673" r:id="rId478"/>
    <hyperlink ref="AB654" r:id="rId479"/>
    <hyperlink ref="AB606" r:id="rId480" display="https://www.jivi.com.ar/ficha.php?id=1575"/>
    <hyperlink ref="AB601" r:id="rId481" display="https://www.jivi.com.ar/ficha.php?id=1743"/>
    <hyperlink ref="AB602" r:id="rId482" display="https://www.jivi.com.ar/ficha.php?id=1744"/>
    <hyperlink ref="AB603" r:id="rId483" display="https://www.jivi.com.ar/ficha.php?id=1745"/>
    <hyperlink ref="AB573" r:id="rId484" display="https://www.jivi.com.ar/ficha.php?id=1746"/>
    <hyperlink ref="AB644" r:id="rId485"/>
    <hyperlink ref="AB512" r:id="rId486"/>
    <hyperlink ref="AB513" r:id="rId487" display="https://www.jivi.com.ar/ficha.php?id=1749"/>
    <hyperlink ref="AB563" r:id="rId488"/>
    <hyperlink ref="AB689" r:id="rId489"/>
    <hyperlink ref="AB431" r:id="rId490"/>
    <hyperlink ref="AB301" r:id="rId491" display="https://www.jivi.com.ar/ficha.php?id=1461"/>
    <hyperlink ref="AB587" r:id="rId492" display="https://www.jivi.com.ar/ficha.php?id=1776"/>
    <hyperlink ref="AB124" r:id="rId493" display="https://www.jivi.com.ar/ficha.php?id=1310"/>
    <hyperlink ref="AB481" r:id="rId494"/>
    <hyperlink ref="AB64" r:id="rId495" display="https://www.jivi.com.ar/ficha.php?id=76"/>
    <hyperlink ref="AB63" r:id="rId496"/>
    <hyperlink ref="AB62" r:id="rId497"/>
    <hyperlink ref="AB242" r:id="rId498" display="https://www.jivi.com.ar/ficha.php?id=1709"/>
    <hyperlink ref="AB610" r:id="rId499" display="https://www.jivi.com.ar/ficha.php?id=1710"/>
    <hyperlink ref="AB619" r:id="rId500"/>
    <hyperlink ref="AB621" r:id="rId501"/>
    <hyperlink ref="AB622" r:id="rId502"/>
    <hyperlink ref="AB624" r:id="rId503"/>
    <hyperlink ref="AB569" r:id="rId504" display="https://www.jivi.com.ar/ficha.php?id=1293"/>
    <hyperlink ref="AB267" r:id="rId505" display="https://www.jivi.com.ar/ficha.php?id=1340"/>
    <hyperlink ref="AB271" r:id="rId506" display="https://www.jivi.com.ar/ficha.php?id=1265"/>
    <hyperlink ref="AB259" r:id="rId507" display="https://www.jivi.com.ar/ficha.php?id=1487"/>
    <hyperlink ref="AB115" r:id="rId508"/>
    <hyperlink ref="AB120" r:id="rId509"/>
    <hyperlink ref="AB116" r:id="rId510"/>
    <hyperlink ref="AB208" r:id="rId511" display="https://www.jivi.com.ar/ficha.php?id=1319"/>
    <hyperlink ref="AB121" r:id="rId512"/>
    <hyperlink ref="AB306" r:id="rId513" display="https://www.jivi.com.ar/ficha.php?id=1447"/>
    <hyperlink ref="AB368" r:id="rId514" display="https://www.jivi.com.ar/ficha.php?id=1087"/>
    <hyperlink ref="AB483" r:id="rId515"/>
    <hyperlink ref="AB128" r:id="rId516" display="https://www.jivi.com.ar/ficha.php?id=1451"/>
    <hyperlink ref="AB263" r:id="rId517"/>
    <hyperlink ref="AB362" r:id="rId518" display="https://www.jivi.com.ar/ficha.php?id=1805"/>
    <hyperlink ref="AB324" r:id="rId519" display="https://www.jivi.com.ar/ficha.php?id=1342"/>
    <hyperlink ref="AB369" r:id="rId520" display="https://www.jivi.com.ar/ficha.php?id=1070"/>
    <hyperlink ref="AB372" r:id="rId521"/>
    <hyperlink ref="AB453" r:id="rId522"/>
    <hyperlink ref="AB438" r:id="rId523" display="https://www.jivi.com.ar/ficha.php?id=1597"/>
    <hyperlink ref="AB374" r:id="rId524" display="https://www.jivi.com.ar/ficha.php?id=1131"/>
    <hyperlink ref="AB289" r:id="rId525" display="https://www.jivi.com.ar/ficha.php?id=1774"/>
    <hyperlink ref="AB416" r:id="rId526" display="https://www.jivi.com.ar/ficha.php?id=1820"/>
    <hyperlink ref="AB246" r:id="rId527" display="https://www.jivi.com.ar/ficha.php?id=1544"/>
    <hyperlink ref="AB251" r:id="rId528" display="https://www.jivi.com.ar/ficha.php?id=1533"/>
    <hyperlink ref="AF10:AH10" location="'Artículos Publicitarios'!A101" display="IR A PAGINA 2"/>
    <hyperlink ref="AB588" r:id="rId529" display="https://www.jivi.com.ar/ficha.php?id=1556"/>
    <hyperlink ref="AB604" r:id="rId530" display="https://www.jivi.com.ar/ficha.php?id=1825"/>
    <hyperlink ref="AB279" r:id="rId531" display="https://www.jivi.com.ar/ficha.php?id=1491"/>
    <hyperlink ref="AB192" r:id="rId532" display="https://www.jivi.com.ar/ficha.php?id=149"/>
    <hyperlink ref="AB291" r:id="rId533" display="https://www.jivi.com.ar/ficha.php?id=1594"/>
    <hyperlink ref="AB428" r:id="rId534"/>
    <hyperlink ref="AB205" r:id="rId535" display="https://www.jivi.com.ar/ficha.php?id=1799"/>
    <hyperlink ref="AB684" r:id="rId536"/>
    <hyperlink ref="AB685" r:id="rId537"/>
    <hyperlink ref="AB274" r:id="rId538" display="https://www.jivi.com.ar/ficha.php?id=1077"/>
    <hyperlink ref="AB348" r:id="rId539"/>
    <hyperlink ref="AB607" r:id="rId540" display="https://www.jivi.com.ar/ficha.php?id=1616"/>
    <hyperlink ref="AB256" r:id="rId541" display="https://www.jivi.com.ar/ficha.php?id=1520"/>
    <hyperlink ref="AB264" r:id="rId542"/>
    <hyperlink ref="AB308" r:id="rId543" display="https://www.jivi.com.ar/ficha.php?id=1443"/>
    <hyperlink ref="AB127" r:id="rId544" display="https://www.jivi.com.ar/ficha.php?id=1055"/>
    <hyperlink ref="AB648" r:id="rId545"/>
    <hyperlink ref="AB672" r:id="rId546"/>
    <hyperlink ref="AB248" r:id="rId547" display="https://www.jivi.com.ar/ficha.php?id=1530"/>
    <hyperlink ref="AB395" r:id="rId548" display="https://www.jivi.com.ar/ficha.php?id=1379"/>
    <hyperlink ref="AB394" r:id="rId549" display="https://www.jivi.com.ar/ficha.php?id=1380"/>
    <hyperlink ref="AB363" r:id="rId550" display="https://www.jivi.com.ar/ficha.php?id=1840"/>
    <hyperlink ref="AB550" r:id="rId551" display="https://www.jivi.com.ar/ficha.php?id=1371"/>
    <hyperlink ref="AB623" r:id="rId552"/>
    <hyperlink ref="AB575" r:id="rId553" display="https://www.jivi.com.ar/ficha.php?id=1579"/>
    <hyperlink ref="AB570" r:id="rId554" display="https://www.jivi.com.ar/ficha.php?id=1138"/>
    <hyperlink ref="AB552" r:id="rId555" display="https://www.jivi.com.ar/ficha.php?id=1911"/>
    <hyperlink ref="AB554" r:id="rId556" display="https://www.jivi.com.ar/ficha.php?id=1916"/>
    <hyperlink ref="AB553" r:id="rId557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3" r:id="rId558" display="https://www.jivi.com.ar/ficha.php?id=1386"/>
    <hyperlink ref="AB650" r:id="rId559"/>
    <hyperlink ref="AB380" r:id="rId560" display="https://www.jivi.com.ar/ficha.php?id=1566"/>
    <hyperlink ref="AB243" r:id="rId561" display="https://www.jivi.com.ar/ficha.php?id=1998"/>
    <hyperlink ref="AB280" r:id="rId562" display="https://www.jivi.com.ar/ficha.php?id=1411"/>
    <hyperlink ref="AB589" r:id="rId563" display="https://www.jivi.com.ar/ficha.php?id=2000"/>
    <hyperlink ref="AB578" r:id="rId564" display="https://www.jivi.com.ar/ficha.php?id=2002"/>
    <hyperlink ref="AB593" r:id="rId565" display="https://www.jivi.com.ar/ficha.php?id=1601"/>
    <hyperlink ref="AB574" r:id="rId566" display="https://www.jivi.com.ar/ficha.php?id=1577"/>
    <hyperlink ref="AB571" r:id="rId567" display="https://www.jivi.com.ar/ficha.php?id=1245"/>
    <hyperlink ref="AB597" r:id="rId568" display="https://www.jivi.com.ar/ficha.php?id=2003"/>
    <hyperlink ref="AB252" r:id="rId569" display="https://www.jivi.com.ar/ficha.php?id=2007"/>
    <hyperlink ref="AB166" r:id="rId570" display="https://www.jivi.com.ar/ficha.php?id=1258"/>
    <hyperlink ref="AB460" r:id="rId571"/>
    <hyperlink ref="AB455" r:id="rId572"/>
    <hyperlink ref="AB419" r:id="rId573" display="https://www.jivi.com.ar/ficha.php?id=1720"/>
    <hyperlink ref="AB488" r:id="rId574"/>
    <hyperlink ref="AB245" r:id="rId575" display="https://www.jivi.com.ar/ficha.php?id=2011"/>
    <hyperlink ref="AB367" r:id="rId576"/>
    <hyperlink ref="AB564" r:id="rId577" display="https://www.jivi.com.ar/ficha.php?id=2014"/>
    <hyperlink ref="AB418" r:id="rId578" display="https://www.jivi.com.ar/ficha.php?id=2017"/>
    <hyperlink ref="AB434" r:id="rId579" display="https://www.jivi.com.ar/ficha.php?id=2018"/>
    <hyperlink ref="AB266" r:id="rId580" display="https://www.jivi.com.ar/ficha.php?id=1339"/>
    <hyperlink ref="AB288" r:id="rId581" display="https://www.jivi.com.ar/ficha.php?id=2026"/>
    <hyperlink ref="AB230" r:id="rId582" display="https://www.jivi.com.ar/ficha.php?id=335"/>
    <hyperlink ref="AB328" r:id="rId583" display="https://www.jivi.com.ar/ficha.php?id=444"/>
    <hyperlink ref="AB461" r:id="rId584"/>
    <hyperlink ref="AB462" r:id="rId585"/>
    <hyperlink ref="AB611" r:id="rId586" display="https://www.jivi.com.ar/ficha.php?id=2040"/>
    <hyperlink ref="AB681" r:id="rId587" display="https://www.jivi.com.ar/ficha.php?id=1662"/>
    <hyperlink ref="AB671" r:id="rId588" display="https://www.jivi.com.ar/ficha.php?id=2042"/>
    <hyperlink ref="AB499" r:id="rId589"/>
    <hyperlink ref="AB500" r:id="rId590"/>
    <hyperlink ref="AB503" r:id="rId591"/>
    <hyperlink ref="AF479:AH479" location="'Artículos Publicitarios'!A3" display="IR A PAGINA 1"/>
    <hyperlink ref="AB425" r:id="rId592" display="https://www.jivi.com.ar/ficha.php?id=1390"/>
    <hyperlink ref="AB389" r:id="rId593" display="https://www.jivi.com.ar/ficha.php?id=1280"/>
    <hyperlink ref="AB388" r:id="rId594" display="https://www.jivi.com.ar/ficha.php?id=1278"/>
    <hyperlink ref="AB268" r:id="rId595" display="https://www.jivi.com.ar/ficha.php?id=1256"/>
    <hyperlink ref="AB309" r:id="rId596" display="https://www.jivi.com.ar/ficha.php?id=1410"/>
    <hyperlink ref="AB312" r:id="rId597" display="https://www.jivi.com.ar/articulos.php?search=1066"/>
    <hyperlink ref="AB15" r:id="rId598" display="https://www.jivi.com.ar/ficha.php?id=1433"/>
    <hyperlink ref="AB170" r:id="rId599" display="https://www.jivi.com.ar/ficha.php?id=1416"/>
    <hyperlink ref="AB596" r:id="rId600" display="https://www.jivi.com.ar/ficha.php?id=2051"/>
    <hyperlink ref="AB163" r:id="rId601" display="https://www.jivi.com.ar/ficha.php?id=2052"/>
    <hyperlink ref="AB415" r:id="rId602"/>
    <hyperlink ref="AB162" r:id="rId603" display="https://www.jivi.com.ar/ficha.php?id=2055"/>
    <hyperlink ref="AB257" r:id="rId604" display="https://www.jivi.com.ar/ficha.php?id=2058"/>
    <hyperlink ref="AB235" r:id="rId605" display="https://www.jivi.com.ar/ficha.php?id=971"/>
    <hyperlink ref="AB234" r:id="rId606" display="https://www.jivi.com.ar/ficha.php?id=2059"/>
    <hyperlink ref="AB680" r:id="rId607" display="https://www.jivi.com.ar/ficha.php?id=2060"/>
    <hyperlink ref="AB669" r:id="rId608" display="https://www.jivi.com.ar/ficha.php?id=2061"/>
    <hyperlink ref="AB676" r:id="rId609" display="https://www.jivi.com.ar/ficha.php?id=2062"/>
    <hyperlink ref="AB165" r:id="rId610" display="https://www.jivi.com.ar/ficha.php?id=1369"/>
    <hyperlink ref="AB265" r:id="rId611" display="https://www.jivi.com.ar/ficha.php?id=1364"/>
    <hyperlink ref="AB195" r:id="rId612" display="https://www.jivi.com.ar/ficha.php?id=1391"/>
    <hyperlink ref="AB196" r:id="rId613" display="https://www.jivi.com.ar/ficha.php?id=2066"/>
    <hyperlink ref="AB435" r:id="rId614" display="https://www.jivi.com.ar/ficha.php?id=2067"/>
    <hyperlink ref="AB436" r:id="rId615" display="https://www.jivi.com.ar/ficha.php?id=2068"/>
    <hyperlink ref="AB562" r:id="rId616" display="https://www.jivi.com.ar/ficha.php?id=1295"/>
    <hyperlink ref="AB613" r:id="rId617" display="https://www.jivi.com.ar/ficha.php?id=2069"/>
    <hyperlink ref="AB595" r:id="rId618" display="https://www.jivi.com.ar/ficha.php?id=2070"/>
    <hyperlink ref="AB302" r:id="rId619" display="https://www.jivi.com.ar/ficha.php?id=1775"/>
    <hyperlink ref="AB551" r:id="rId620" display="https://www.jivi.com.ar/ficha.php?id=2083"/>
    <hyperlink ref="AB168" r:id="rId621" display="https://www.jivi.com.ar/ficha.php?id=1266"/>
    <hyperlink ref="AB172" r:id="rId622" display="https://www.jivi.com.ar/ficha.php?id=2084"/>
    <hyperlink ref="AB167" r:id="rId623" display="https://www.jivi.com.ar/ficha.php?id=2085"/>
    <hyperlink ref="AB173" r:id="rId624" display="https://www.jivi.com.ar/ficha.php?id=1001"/>
    <hyperlink ref="AB103" r:id="rId625" display="https://www.jivi.com.ar/ficha.php?id=333"/>
    <hyperlink ref="AB437" r:id="rId626" display="https://www.jivi.com.ar/ficha.php?id=1512"/>
    <hyperlink ref="AB440" r:id="rId627" display="https://www.jivi.com.ar/ficha.php?id=1786"/>
    <hyperlink ref="AB366" r:id="rId628" display="https://www.jivi.com.ar/ficha.php?id=1299"/>
    <hyperlink ref="AB612" r:id="rId629" display="https://www.jivi.com.ar/ficha.php?id=2097"/>
  </hyperlinks>
  <pageMargins left="0.27559055118110237" right="0.11811023622047245" top="0.19685039370078741" bottom="0.15748031496062992" header="0.11811023622047245" footer="0.15748031496062992"/>
  <pageSetup paperSize="5" orientation="portrait" copies="5" r:id="rId630"/>
  <headerFooter alignWithMargins="0"/>
  <cellWatches>
    <cellWatch r="X8"/>
  </cellWatches>
  <ignoredErrors>
    <ignoredError sqref="AB644 AB654 AB682:AB683 AB677:AB679 AB670:AB673" numberStoredAsText="1"/>
    <ignoredError sqref="X638 B26:E26 C25:E25 A197:E197 A104:E105 H396:Q396 C27:E27 H55:I55 G56:I57 H651:L653 G275 G277 B145:E145 C231:E231 G316:W316 U30 S38:S39 S35 U35 U38:U39 S41 U41 G54:I54 H468 H469:M469 H470:M470 H471:M471 H472:M472 H473:M473 J468:M468 S47 U47 F508:T508 W504 G351:G353 G286:M286 F214 V92:W93 F82:I89 F91:I91 F90:I90 Q106 I58:I60 U106 S106 J81:J91 B270:E270 W544:W545 H287:M287 G95:G99 H350:J354 G81:I81 H370:J370 G282:M282 G283:M283 G284:M284 G285:M285 H94:W94 J10:L10 W98 X213:X215 J12:L12 X11 F506 W58 G514:G525 G528 G654 H646:V646 G535:G543 G145 H129 O108:O109 S108:S109 Q108:Q109 U108:U109 W442:X442 G269:G270 V27:V28 S30 H30:M30 H28:I28 W60 I124:V124 U21:V23 G360:J361 G375:J378 H373:J373 G303:G305 N282:V286 M10:V12 O30 Q30 H29:V29 J65:V68 J64:W64 H62:I68 I182:M182 I181:M181 I180:M180 I183:M183 H180:H183 H185:K185 H186:K190 P224:W224 P223 I13:V14 H16:H17 L28:U28 H144:W145 G184:W184 H222:W222 F457 W452 W512:W513 H544:I545 K544:K545 U544:U545 S544:S545 Q544:Q545 O544:O545 M544:M545 H143:I143 H139:I139 K139:U139 H140:U142 L143:W143 V139:W142 G260:G263 G295:G300 G191 I277:V277 I125:K126 O125 Q125 S125 U125 J54:V63 W232 M125:M126 H363:K363 G315 G307:G308 G341:H341 J394:K395 G552:G554 K343:K345 G346:K347 K349:K354 K357:W359 K361:K362 P356 Q356 R356:W356 W351:W354 L343:V354 W362 K360:U360 G390:K393 G387:V387 K368:K378 H381:V385 G442:G446 I355:W355 I356:N356 N180:V183 W185 W190 M185:V190 G204:W209 H210:M210 G210 P215:W215 N210:W210 G211:S212 G224:O224 G223:N223 G292:G293 W294 G152:V152 H463:H465 H466:V467 I464:V465 I463:N463 O463:V463 G463:G467 G231:V231 G474:G475 L390:V395 L373:V378 G379:V379 J380:V380 N95:W95 H96:W96 H95:M95 J123:V123 G232 W254 G253:V254 H278:V280 H269:W276 L361:V365 G364:K365 L368:V371 G166 J460:V460 G447:V451 G386:M386 W502 H535:V537 F600:V600 H539:V543 H538:O538 R538:V538 L372:W372 H441:V446 G452:G454 H266:V266 G599:V599 H512:V533 G530:G533 H534:W534 G225:V229 H230:V230 G313:V313 G419:G422 H611:W611 H690:T694 H686:V689 H679:I679 H677:V678 H680:W681 G650:V650 H644:W644 G619:V622 H647:W647 H684:H685 L684:V684 J685:V685 K679:V679 I648:W648 G649:W649 H474:V474 F586:V591 F670:V673 G425:V425 K388:V389 H267:W267 J268:W268 H288:V288 H312:W312 G281:V281 H154:V155 I127:V129 H18:T27 H14 L15:T15 G69:W69 G104:V105 J146:V146 H174:W175 G164 H177:W179 I176:W176 G197:V197 G215:I221 K216:V221 G213:W214 K215:O215 W216 G355:H356 H415:V424 F438:G438 F598:V598 G597:V597 G289:V290 H314:V315 G439 G456:G460 G498:V507 H582:V584 G585:V585 F593:V594 G592:V592 F606:V607 G601:V605 G608:V610 I654:W654 G335:H335 H153:I153 L153:V153 H232:V233 H234:W235 H683:V683 H682:I682 K682:V682 H669:W669 H674:V675 I676:V676 H248:V252 H255:W265 W195 H191:V196 F246:V247 I327:V342 F409:V411 F408:S408 V408 H426:V431 H489:V497 B572:V578 G571:V571 H595:V596 H452:V459 F413:V414 G412:V412 H291:V311 F326:V326 J407:V407 H550:V555 I570:V570 H625:V629 J623:V624 H173:V173 H162:W172 G101:G102 H97:V102 H103:V103 F612:V612 B581:V581 B579:E579 G579:V579 B580:E580 G580:V580 H433:W436 H432:V432 H439:V439 H438:V438 H437:W437 H440:W440 W438 W439 W432 N367:V367 K366:V366 K367:M367 H613:V613 I161:N161 G241:V245 H321:V325 J401:V406 J481:V488 H562:V569" formula="1"/>
    <ignoredError sqref="G371" evalError="1"/>
    <ignoredError sqref="H371:J371" evalError="1" formula="1"/>
  </ignoredErrors>
  <drawing r:id="rId631"/>
  <legacyDrawing r:id="rId6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2025-01-13T14:52:15Z</cp:lastPrinted>
  <dcterms:created xsi:type="dcterms:W3CDTF">2003-01-03T20:20:32Z</dcterms:created>
  <dcterms:modified xsi:type="dcterms:W3CDTF">2025-01-13T19:52:07Z</dcterms:modified>
</cp:coreProperties>
</file>