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Lista en preparacion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7" i="1" l="1"/>
  <c r="G307" i="1" l="1"/>
  <c r="F222" i="1" l="1"/>
  <c r="P222" i="1" s="1"/>
  <c r="Q222" i="1" s="1"/>
  <c r="F221" i="1"/>
  <c r="T222" i="1" l="1"/>
  <c r="U222" i="1" s="1"/>
  <c r="G222" i="1"/>
  <c r="L222" i="1"/>
  <c r="M222" i="1" s="1"/>
  <c r="N222" i="1"/>
  <c r="O222" i="1" s="1"/>
  <c r="R222" i="1"/>
  <c r="S222" i="1" s="1"/>
  <c r="J222" i="1"/>
  <c r="K222" i="1" s="1"/>
  <c r="V222" i="1"/>
  <c r="W222" i="1" s="1"/>
  <c r="F200" i="1"/>
  <c r="P503" i="1" l="1"/>
  <c r="Q503" i="1" s="1"/>
  <c r="N503" i="1"/>
  <c r="O503" i="1" s="1"/>
  <c r="V503" i="1" l="1"/>
  <c r="W503" i="1" s="1"/>
  <c r="R503" i="1"/>
  <c r="S503" i="1" s="1"/>
  <c r="G503" i="1"/>
  <c r="H503" i="1"/>
  <c r="I503" i="1" s="1"/>
  <c r="T503" i="1"/>
  <c r="U503" i="1" s="1"/>
  <c r="J503" i="1"/>
  <c r="K503" i="1" s="1"/>
  <c r="L503" i="1"/>
  <c r="M503" i="1" s="1"/>
  <c r="F275" i="1"/>
  <c r="V275" i="1" l="1"/>
  <c r="W275" i="1" s="1"/>
  <c r="H275" i="1"/>
  <c r="I275" i="1" s="1"/>
  <c r="J275" i="1"/>
  <c r="K275" i="1" s="1"/>
  <c r="N275" i="1"/>
  <c r="O275" i="1" s="1"/>
  <c r="P275" i="1"/>
  <c r="Q275" i="1" s="1"/>
  <c r="R275" i="1"/>
  <c r="S275" i="1" s="1"/>
  <c r="G275" i="1"/>
  <c r="L275" i="1"/>
  <c r="M275" i="1" s="1"/>
  <c r="T275" i="1"/>
  <c r="U275" i="1" s="1"/>
  <c r="F254" i="1" l="1"/>
  <c r="J254" i="1" s="1"/>
  <c r="K254" i="1" s="1"/>
  <c r="T254" i="1" l="1"/>
  <c r="U254" i="1" s="1"/>
  <c r="N254" i="1"/>
  <c r="O254" i="1" s="1"/>
  <c r="P254" i="1"/>
  <c r="Q254" i="1" s="1"/>
  <c r="L254" i="1"/>
  <c r="M254" i="1" s="1"/>
  <c r="V254" i="1"/>
  <c r="W254" i="1" s="1"/>
  <c r="R254" i="1"/>
  <c r="S254" i="1" s="1"/>
  <c r="G254" i="1"/>
  <c r="H254" i="1"/>
  <c r="I254" i="1" s="1"/>
  <c r="F455" i="1"/>
  <c r="T419" i="1"/>
  <c r="R419" i="1"/>
  <c r="P419" i="1"/>
  <c r="N419" i="1"/>
  <c r="L419" i="1"/>
  <c r="T420" i="1"/>
  <c r="R420" i="1"/>
  <c r="P420" i="1"/>
  <c r="N420" i="1"/>
  <c r="L420" i="1"/>
  <c r="J420" i="1"/>
  <c r="H420" i="1"/>
  <c r="F415" i="1" l="1"/>
  <c r="N415" i="1" s="1"/>
  <c r="O415" i="1" s="1"/>
  <c r="F394" i="1"/>
  <c r="P394" i="1" s="1"/>
  <c r="Q394" i="1" s="1"/>
  <c r="R415" i="1" l="1"/>
  <c r="S415" i="1" s="1"/>
  <c r="G415" i="1"/>
  <c r="H415" i="1"/>
  <c r="I415" i="1" s="1"/>
  <c r="T415" i="1"/>
  <c r="U415" i="1" s="1"/>
  <c r="J415" i="1"/>
  <c r="K415" i="1" s="1"/>
  <c r="V415" i="1"/>
  <c r="W415" i="1" s="1"/>
  <c r="L415" i="1"/>
  <c r="M415" i="1" s="1"/>
  <c r="P415" i="1"/>
  <c r="Q415" i="1" s="1"/>
  <c r="R394" i="1"/>
  <c r="S394" i="1" s="1"/>
  <c r="G394" i="1"/>
  <c r="T394" i="1"/>
  <c r="U394" i="1" s="1"/>
  <c r="V394" i="1"/>
  <c r="W394" i="1" s="1"/>
  <c r="L394" i="1"/>
  <c r="M394" i="1" s="1"/>
  <c r="H394" i="1"/>
  <c r="I394" i="1" s="1"/>
  <c r="J394" i="1"/>
  <c r="K394" i="1" s="1"/>
  <c r="N394" i="1"/>
  <c r="O394" i="1" s="1"/>
  <c r="F525" i="1"/>
  <c r="V525" i="1" s="1"/>
  <c r="W525" i="1" s="1"/>
  <c r="F230" i="1"/>
  <c r="P230" i="1" s="1"/>
  <c r="Q230" i="1" s="1"/>
  <c r="J460" i="1"/>
  <c r="K460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G460" i="1"/>
  <c r="F400" i="1"/>
  <c r="V400" i="1" s="1"/>
  <c r="W400" i="1" s="1"/>
  <c r="V546" i="1"/>
  <c r="W546" i="1" s="1"/>
  <c r="T546" i="1"/>
  <c r="U546" i="1" s="1"/>
  <c r="R546" i="1"/>
  <c r="S546" i="1" s="1"/>
  <c r="P546" i="1"/>
  <c r="Q546" i="1" s="1"/>
  <c r="N546" i="1"/>
  <c r="O546" i="1" s="1"/>
  <c r="L546" i="1"/>
  <c r="M546" i="1" s="1"/>
  <c r="J546" i="1"/>
  <c r="K546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H529" i="1"/>
  <c r="I529" i="1" s="1"/>
  <c r="J529" i="1"/>
  <c r="K529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L508" i="1"/>
  <c r="M508" i="1" s="1"/>
  <c r="J508" i="1"/>
  <c r="K508" i="1" s="1"/>
  <c r="H507" i="1"/>
  <c r="I507" i="1" s="1"/>
  <c r="H508" i="1"/>
  <c r="N507" i="1"/>
  <c r="O507" i="1" s="1"/>
  <c r="L507" i="1"/>
  <c r="M507" i="1" s="1"/>
  <c r="J507" i="1"/>
  <c r="K507" i="1" s="1"/>
  <c r="V582" i="1"/>
  <c r="W582" i="1" s="1"/>
  <c r="T582" i="1"/>
  <c r="U582" i="1" s="1"/>
  <c r="R582" i="1"/>
  <c r="S582" i="1" s="1"/>
  <c r="P582" i="1"/>
  <c r="Q582" i="1" s="1"/>
  <c r="N582" i="1"/>
  <c r="O582" i="1" s="1"/>
  <c r="L582" i="1"/>
  <c r="M582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83" i="1"/>
  <c r="V592" i="1"/>
  <c r="W592" i="1" s="1"/>
  <c r="T592" i="1"/>
  <c r="U592" i="1" s="1"/>
  <c r="R592" i="1"/>
  <c r="S592" i="1" s="1"/>
  <c r="P592" i="1"/>
  <c r="Q592" i="1" s="1"/>
  <c r="N592" i="1"/>
  <c r="O592" i="1" s="1"/>
  <c r="L592" i="1"/>
  <c r="M592" i="1" s="1"/>
  <c r="J592" i="1"/>
  <c r="K592" i="1" s="1"/>
  <c r="V591" i="1"/>
  <c r="W591" i="1" s="1"/>
  <c r="T591" i="1"/>
  <c r="U591" i="1" s="1"/>
  <c r="R591" i="1"/>
  <c r="S591" i="1" s="1"/>
  <c r="P591" i="1"/>
  <c r="Q591" i="1" s="1"/>
  <c r="N591" i="1"/>
  <c r="O591" i="1" s="1"/>
  <c r="L591" i="1"/>
  <c r="M591" i="1" s="1"/>
  <c r="J591" i="1"/>
  <c r="K591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V589" i="1"/>
  <c r="W589" i="1" s="1"/>
  <c r="T589" i="1"/>
  <c r="U589" i="1" s="1"/>
  <c r="R589" i="1"/>
  <c r="S589" i="1" s="1"/>
  <c r="P589" i="1"/>
  <c r="Q589" i="1" s="1"/>
  <c r="N589" i="1"/>
  <c r="O589" i="1" s="1"/>
  <c r="L589" i="1"/>
  <c r="M589" i="1" s="1"/>
  <c r="J589" i="1"/>
  <c r="K589" i="1" s="1"/>
  <c r="V588" i="1"/>
  <c r="W588" i="1" s="1"/>
  <c r="T588" i="1"/>
  <c r="U588" i="1" s="1"/>
  <c r="R588" i="1"/>
  <c r="S588" i="1" s="1"/>
  <c r="P588" i="1"/>
  <c r="Q588" i="1" s="1"/>
  <c r="N588" i="1"/>
  <c r="O588" i="1" s="1"/>
  <c r="L588" i="1"/>
  <c r="M588" i="1" s="1"/>
  <c r="J588" i="1"/>
  <c r="K588" i="1" s="1"/>
  <c r="V587" i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V586" i="1"/>
  <c r="W586" i="1" s="1"/>
  <c r="T586" i="1"/>
  <c r="U586" i="1" s="1"/>
  <c r="R586" i="1"/>
  <c r="S586" i="1" s="1"/>
  <c r="P586" i="1"/>
  <c r="Q586" i="1" s="1"/>
  <c r="N586" i="1"/>
  <c r="O586" i="1" s="1"/>
  <c r="L586" i="1"/>
  <c r="M586" i="1" s="1"/>
  <c r="J586" i="1"/>
  <c r="K586" i="1" s="1"/>
  <c r="V585" i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V584" i="1"/>
  <c r="W584" i="1" s="1"/>
  <c r="T584" i="1"/>
  <c r="U584" i="1" s="1"/>
  <c r="R584" i="1"/>
  <c r="S584" i="1" s="1"/>
  <c r="P584" i="1"/>
  <c r="Q584" i="1" s="1"/>
  <c r="N584" i="1"/>
  <c r="O584" i="1" s="1"/>
  <c r="L584" i="1"/>
  <c r="M584" i="1" s="1"/>
  <c r="J584" i="1"/>
  <c r="K584" i="1" s="1"/>
  <c r="V583" i="1"/>
  <c r="W583" i="1" s="1"/>
  <c r="T583" i="1"/>
  <c r="U583" i="1" s="1"/>
  <c r="R583" i="1"/>
  <c r="S583" i="1" s="1"/>
  <c r="P583" i="1"/>
  <c r="Q583" i="1" s="1"/>
  <c r="N583" i="1"/>
  <c r="O583" i="1" s="1"/>
  <c r="L583" i="1"/>
  <c r="M583" i="1" s="1"/>
  <c r="J583" i="1"/>
  <c r="K583" i="1" s="1"/>
  <c r="V581" i="1"/>
  <c r="T581" i="1"/>
  <c r="R581" i="1"/>
  <c r="P581" i="1"/>
  <c r="N581" i="1"/>
  <c r="L581" i="1"/>
  <c r="J581" i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471" i="1"/>
  <c r="W471" i="1" s="1"/>
  <c r="T471" i="1"/>
  <c r="U471" i="1" s="1"/>
  <c r="R471" i="1"/>
  <c r="S471" i="1" s="1"/>
  <c r="P471" i="1"/>
  <c r="Q471" i="1" s="1"/>
  <c r="N471" i="1"/>
  <c r="O471" i="1" s="1"/>
  <c r="L471" i="1"/>
  <c r="M471" i="1" s="1"/>
  <c r="J471" i="1"/>
  <c r="K471" i="1" s="1"/>
  <c r="H471" i="1"/>
  <c r="I471" i="1" s="1"/>
  <c r="H470" i="1"/>
  <c r="H469" i="1"/>
  <c r="J470" i="1"/>
  <c r="J469" i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J463" i="1"/>
  <c r="H463" i="1"/>
  <c r="L463" i="1"/>
  <c r="N463" i="1"/>
  <c r="P463" i="1"/>
  <c r="R463" i="1"/>
  <c r="T463" i="1"/>
  <c r="V463" i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V457" i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L456" i="1"/>
  <c r="N456" i="1"/>
  <c r="P456" i="1"/>
  <c r="R456" i="1"/>
  <c r="T456" i="1"/>
  <c r="V456" i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F432" i="1"/>
  <c r="H432" i="1" s="1"/>
  <c r="F433" i="1"/>
  <c r="P433" i="1" s="1"/>
  <c r="Q433" i="1" s="1"/>
  <c r="L525" i="1" l="1"/>
  <c r="M525" i="1" s="1"/>
  <c r="N525" i="1"/>
  <c r="O525" i="1" s="1"/>
  <c r="P525" i="1"/>
  <c r="Q525" i="1" s="1"/>
  <c r="T525" i="1"/>
  <c r="U525" i="1" s="1"/>
  <c r="G525" i="1"/>
  <c r="J525" i="1"/>
  <c r="K525" i="1" s="1"/>
  <c r="R525" i="1"/>
  <c r="S525" i="1" s="1"/>
  <c r="P432" i="1"/>
  <c r="Q432" i="1" s="1"/>
  <c r="R433" i="1"/>
  <c r="S433" i="1" s="1"/>
  <c r="H433" i="1"/>
  <c r="I433" i="1" s="1"/>
  <c r="L432" i="1"/>
  <c r="M432" i="1" s="1"/>
  <c r="N230" i="1"/>
  <c r="O230" i="1" s="1"/>
  <c r="R230" i="1"/>
  <c r="S230" i="1" s="1"/>
  <c r="G230" i="1"/>
  <c r="H230" i="1"/>
  <c r="I230" i="1" s="1"/>
  <c r="T230" i="1"/>
  <c r="U230" i="1" s="1"/>
  <c r="J230" i="1"/>
  <c r="K230" i="1" s="1"/>
  <c r="V230" i="1"/>
  <c r="W230" i="1" s="1"/>
  <c r="L230" i="1"/>
  <c r="M230" i="1" s="1"/>
  <c r="N432" i="1"/>
  <c r="O432" i="1" s="1"/>
  <c r="T433" i="1"/>
  <c r="U433" i="1" s="1"/>
  <c r="V432" i="1"/>
  <c r="W432" i="1" s="1"/>
  <c r="T432" i="1"/>
  <c r="U432" i="1" s="1"/>
  <c r="V433" i="1"/>
  <c r="W433" i="1" s="1"/>
  <c r="R432" i="1"/>
  <c r="S432" i="1" s="1"/>
  <c r="J400" i="1"/>
  <c r="K400" i="1" s="1"/>
  <c r="H400" i="1"/>
  <c r="I400" i="1" s="1"/>
  <c r="L400" i="1"/>
  <c r="M400" i="1" s="1"/>
  <c r="N400" i="1"/>
  <c r="O400" i="1" s="1"/>
  <c r="J433" i="1"/>
  <c r="K433" i="1" s="1"/>
  <c r="P400" i="1"/>
  <c r="Q400" i="1" s="1"/>
  <c r="L433" i="1"/>
  <c r="M433" i="1" s="1"/>
  <c r="R400" i="1"/>
  <c r="S400" i="1" s="1"/>
  <c r="J432" i="1"/>
  <c r="K432" i="1" s="1"/>
  <c r="N433" i="1"/>
  <c r="O433" i="1" s="1"/>
  <c r="T400" i="1"/>
  <c r="U400" i="1" s="1"/>
  <c r="G400" i="1"/>
  <c r="G432" i="1"/>
  <c r="I432" i="1"/>
  <c r="G433" i="1"/>
  <c r="F439" i="1"/>
  <c r="P439" i="1" s="1"/>
  <c r="F165" i="1"/>
  <c r="V165" i="1" s="1"/>
  <c r="W165" i="1" s="1"/>
  <c r="J439" i="1" l="1"/>
  <c r="K439" i="1" s="1"/>
  <c r="L439" i="1"/>
  <c r="M439" i="1" s="1"/>
  <c r="N439" i="1"/>
  <c r="O439" i="1" s="1"/>
  <c r="V439" i="1"/>
  <c r="W439" i="1" s="1"/>
  <c r="T439" i="1"/>
  <c r="U439" i="1" s="1"/>
  <c r="R439" i="1"/>
  <c r="S439" i="1" s="1"/>
  <c r="T165" i="1"/>
  <c r="U165" i="1" s="1"/>
  <c r="J165" i="1"/>
  <c r="K165" i="1" s="1"/>
  <c r="L165" i="1"/>
  <c r="M165" i="1" s="1"/>
  <c r="G165" i="1"/>
  <c r="N165" i="1"/>
  <c r="O165" i="1" s="1"/>
  <c r="P165" i="1"/>
  <c r="Q165" i="1" s="1"/>
  <c r="R165" i="1"/>
  <c r="S165" i="1" s="1"/>
  <c r="H165" i="1"/>
  <c r="I165" i="1" s="1"/>
  <c r="Q439" i="1"/>
  <c r="G439" i="1"/>
  <c r="F242" i="1"/>
  <c r="L242" i="1" s="1"/>
  <c r="M242" i="1" s="1"/>
  <c r="F14" i="1"/>
  <c r="N242" i="1" l="1"/>
  <c r="O242" i="1" s="1"/>
  <c r="P242" i="1"/>
  <c r="Q242" i="1" s="1"/>
  <c r="V242" i="1"/>
  <c r="W242" i="1" s="1"/>
  <c r="T242" i="1"/>
  <c r="U242" i="1" s="1"/>
  <c r="J242" i="1"/>
  <c r="K242" i="1" s="1"/>
  <c r="R242" i="1"/>
  <c r="S242" i="1" s="1"/>
  <c r="G242" i="1"/>
  <c r="H242" i="1"/>
  <c r="I242" i="1" s="1"/>
  <c r="F351" i="1"/>
  <c r="R351" i="1" s="1"/>
  <c r="S351" i="1" s="1"/>
  <c r="T351" i="1" l="1"/>
  <c r="U351" i="1" s="1"/>
  <c r="V351" i="1"/>
  <c r="W351" i="1" s="1"/>
  <c r="G351" i="1"/>
  <c r="N351" i="1"/>
  <c r="O351" i="1" s="1"/>
  <c r="P351" i="1"/>
  <c r="Q351" i="1" s="1"/>
  <c r="F384" i="1"/>
  <c r="F383" i="1"/>
  <c r="F376" i="1"/>
  <c r="F373" i="1"/>
  <c r="F371" i="1"/>
  <c r="F365" i="1"/>
  <c r="F362" i="1"/>
  <c r="F358" i="1"/>
  <c r="F343" i="1"/>
  <c r="F341" i="1"/>
  <c r="F556" i="1"/>
  <c r="N556" i="1" l="1"/>
  <c r="O556" i="1" s="1"/>
  <c r="P556" i="1"/>
  <c r="Q556" i="1" s="1"/>
  <c r="R556" i="1"/>
  <c r="S556" i="1" s="1"/>
  <c r="T556" i="1"/>
  <c r="U556" i="1" s="1"/>
  <c r="H556" i="1"/>
  <c r="I556" i="1" s="1"/>
  <c r="J556" i="1"/>
  <c r="K556" i="1" s="1"/>
  <c r="L556" i="1"/>
  <c r="M556" i="1" s="1"/>
  <c r="V556" i="1"/>
  <c r="W556" i="1" s="1"/>
  <c r="G556" i="1"/>
  <c r="F532" i="1"/>
  <c r="F535" i="1"/>
  <c r="F528" i="1"/>
  <c r="F530" i="1"/>
  <c r="F537" i="1"/>
  <c r="F538" i="1"/>
  <c r="F548" i="1"/>
  <c r="F573" i="1"/>
  <c r="F567" i="1"/>
  <c r="F566" i="1"/>
  <c r="F554" i="1"/>
  <c r="F539" i="1"/>
  <c r="F550" i="1"/>
  <c r="N528" i="1" l="1"/>
  <c r="O528" i="1" s="1"/>
  <c r="P528" i="1"/>
  <c r="Q528" i="1" s="1"/>
  <c r="R528" i="1"/>
  <c r="S528" i="1" s="1"/>
  <c r="T528" i="1"/>
  <c r="U528" i="1" s="1"/>
  <c r="V528" i="1"/>
  <c r="W528" i="1" s="1"/>
  <c r="H528" i="1"/>
  <c r="I528" i="1" s="1"/>
  <c r="J528" i="1"/>
  <c r="K528" i="1" s="1"/>
  <c r="L528" i="1"/>
  <c r="M528" i="1" s="1"/>
  <c r="P539" i="1"/>
  <c r="Q539" i="1" s="1"/>
  <c r="R539" i="1"/>
  <c r="S539" i="1" s="1"/>
  <c r="T539" i="1"/>
  <c r="U539" i="1" s="1"/>
  <c r="V539" i="1"/>
  <c r="W539" i="1" s="1"/>
  <c r="H539" i="1"/>
  <c r="I539" i="1" s="1"/>
  <c r="J539" i="1"/>
  <c r="K539" i="1" s="1"/>
  <c r="L539" i="1"/>
  <c r="M539" i="1" s="1"/>
  <c r="N539" i="1"/>
  <c r="O539" i="1" s="1"/>
  <c r="H567" i="1"/>
  <c r="I567" i="1" s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N550" i="1"/>
  <c r="O550" i="1" s="1"/>
  <c r="P550" i="1"/>
  <c r="Q550" i="1" s="1"/>
  <c r="R550" i="1"/>
  <c r="S550" i="1" s="1"/>
  <c r="T550" i="1"/>
  <c r="U550" i="1" s="1"/>
  <c r="H550" i="1"/>
  <c r="I550" i="1" s="1"/>
  <c r="J550" i="1"/>
  <c r="K550" i="1" s="1"/>
  <c r="L550" i="1"/>
  <c r="M550" i="1" s="1"/>
  <c r="V550" i="1"/>
  <c r="W550" i="1" s="1"/>
  <c r="H532" i="1"/>
  <c r="I532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G554" i="1"/>
  <c r="N554" i="1"/>
  <c r="O554" i="1" s="1"/>
  <c r="P554" i="1"/>
  <c r="Q554" i="1" s="1"/>
  <c r="R554" i="1"/>
  <c r="S554" i="1" s="1"/>
  <c r="T554" i="1"/>
  <c r="U554" i="1" s="1"/>
  <c r="H554" i="1"/>
  <c r="I554" i="1" s="1"/>
  <c r="J554" i="1"/>
  <c r="K554" i="1" s="1"/>
  <c r="L554" i="1"/>
  <c r="M554" i="1" s="1"/>
  <c r="V554" i="1"/>
  <c r="W554" i="1" s="1"/>
  <c r="R537" i="1"/>
  <c r="S537" i="1" s="1"/>
  <c r="T537" i="1"/>
  <c r="U537" i="1" s="1"/>
  <c r="V537" i="1"/>
  <c r="W537" i="1" s="1"/>
  <c r="H537" i="1"/>
  <c r="I537" i="1" s="1"/>
  <c r="L537" i="1"/>
  <c r="M537" i="1" s="1"/>
  <c r="N537" i="1"/>
  <c r="O537" i="1" s="1"/>
  <c r="J537" i="1"/>
  <c r="K537" i="1" s="1"/>
  <c r="P537" i="1"/>
  <c r="Q537" i="1" s="1"/>
  <c r="T535" i="1"/>
  <c r="U535" i="1" s="1"/>
  <c r="V535" i="1"/>
  <c r="W535" i="1" s="1"/>
  <c r="H535" i="1"/>
  <c r="I535" i="1" s="1"/>
  <c r="J535" i="1"/>
  <c r="K535" i="1" s="1"/>
  <c r="L535" i="1"/>
  <c r="M535" i="1" s="1"/>
  <c r="N535" i="1"/>
  <c r="O535" i="1" s="1"/>
  <c r="P535" i="1"/>
  <c r="Q535" i="1" s="1"/>
  <c r="R535" i="1"/>
  <c r="S535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L573" i="1"/>
  <c r="M573" i="1" s="1"/>
  <c r="J573" i="1"/>
  <c r="K573" i="1" s="1"/>
  <c r="H573" i="1"/>
  <c r="I573" i="1" s="1"/>
  <c r="V573" i="1"/>
  <c r="W573" i="1" s="1"/>
  <c r="T573" i="1"/>
  <c r="U573" i="1" s="1"/>
  <c r="R573" i="1"/>
  <c r="S573" i="1" s="1"/>
  <c r="N573" i="1"/>
  <c r="O573" i="1" s="1"/>
  <c r="P573" i="1"/>
  <c r="Q573" i="1" s="1"/>
  <c r="N548" i="1"/>
  <c r="O548" i="1" s="1"/>
  <c r="P548" i="1"/>
  <c r="Q548" i="1" s="1"/>
  <c r="R548" i="1"/>
  <c r="S548" i="1" s="1"/>
  <c r="T548" i="1"/>
  <c r="U548" i="1" s="1"/>
  <c r="H548" i="1"/>
  <c r="I548" i="1" s="1"/>
  <c r="J548" i="1"/>
  <c r="K548" i="1" s="1"/>
  <c r="L548" i="1"/>
  <c r="M548" i="1" s="1"/>
  <c r="V548" i="1"/>
  <c r="W548" i="1" s="1"/>
  <c r="P538" i="1"/>
  <c r="Q538" i="1" s="1"/>
  <c r="R538" i="1"/>
  <c r="S538" i="1" s="1"/>
  <c r="T538" i="1"/>
  <c r="U538" i="1" s="1"/>
  <c r="H538" i="1"/>
  <c r="I538" i="1" s="1"/>
  <c r="V538" i="1"/>
  <c r="W538" i="1" s="1"/>
  <c r="J538" i="1"/>
  <c r="K538" i="1" s="1"/>
  <c r="L538" i="1"/>
  <c r="M538" i="1" s="1"/>
  <c r="N538" i="1"/>
  <c r="O538" i="1" s="1"/>
  <c r="J530" i="1"/>
  <c r="K530" i="1" s="1"/>
  <c r="L530" i="1"/>
  <c r="M530" i="1" s="1"/>
  <c r="N530" i="1"/>
  <c r="O530" i="1" s="1"/>
  <c r="P530" i="1"/>
  <c r="Q530" i="1" s="1"/>
  <c r="R530" i="1"/>
  <c r="S530" i="1" s="1"/>
  <c r="T530" i="1"/>
  <c r="U530" i="1" s="1"/>
  <c r="V530" i="1"/>
  <c r="W530" i="1" s="1"/>
  <c r="H530" i="1"/>
  <c r="I530" i="1" s="1"/>
  <c r="G539" i="1"/>
  <c r="G535" i="1"/>
  <c r="G532" i="1"/>
  <c r="G550" i="1" l="1"/>
  <c r="F297" i="1" l="1"/>
  <c r="H297" i="1" s="1"/>
  <c r="F282" i="1"/>
  <c r="F277" i="1"/>
  <c r="F276" i="1"/>
  <c r="H276" i="1" s="1"/>
  <c r="F257" i="1"/>
  <c r="F263" i="1"/>
  <c r="F267" i="1"/>
  <c r="P267" i="1" s="1"/>
  <c r="Q267" i="1" s="1"/>
  <c r="F228" i="1"/>
  <c r="J228" i="1" s="1"/>
  <c r="K228" i="1" s="1"/>
  <c r="F259" i="1"/>
  <c r="F252" i="1"/>
  <c r="F251" i="1"/>
  <c r="F249" i="1"/>
  <c r="F247" i="1"/>
  <c r="F246" i="1"/>
  <c r="F245" i="1"/>
  <c r="F244" i="1"/>
  <c r="F241" i="1"/>
  <c r="F231" i="1"/>
  <c r="F224" i="1"/>
  <c r="F547" i="1"/>
  <c r="F220" i="1"/>
  <c r="F219" i="1"/>
  <c r="F214" i="1"/>
  <c r="H214" i="1" s="1"/>
  <c r="F198" i="1"/>
  <c r="F197" i="1"/>
  <c r="F188" i="1"/>
  <c r="F187" i="1"/>
  <c r="F167" i="1"/>
  <c r="F166" i="1"/>
  <c r="F163" i="1"/>
  <c r="F162" i="1"/>
  <c r="F161" i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L94" i="1"/>
  <c r="J94" i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F519" i="1"/>
  <c r="J519" i="1" s="1"/>
  <c r="K519" i="1" s="1"/>
  <c r="N547" i="1" l="1"/>
  <c r="O547" i="1" s="1"/>
  <c r="L547" i="1"/>
  <c r="M547" i="1" s="1"/>
  <c r="J547" i="1"/>
  <c r="K547" i="1" s="1"/>
  <c r="H547" i="1"/>
  <c r="I547" i="1" s="1"/>
  <c r="V547" i="1"/>
  <c r="W547" i="1" s="1"/>
  <c r="T547" i="1"/>
  <c r="U547" i="1" s="1"/>
  <c r="R547" i="1"/>
  <c r="S547" i="1" s="1"/>
  <c r="P547" i="1"/>
  <c r="Q547" i="1" s="1"/>
  <c r="V519" i="1"/>
  <c r="W519" i="1" s="1"/>
  <c r="T519" i="1"/>
  <c r="U519" i="1" s="1"/>
  <c r="N519" i="1"/>
  <c r="O519" i="1" s="1"/>
  <c r="P519" i="1"/>
  <c r="Q519" i="1" s="1"/>
  <c r="R519" i="1"/>
  <c r="S519" i="1" s="1"/>
  <c r="L519" i="1"/>
  <c r="M519" i="1" s="1"/>
  <c r="L267" i="1"/>
  <c r="M267" i="1" s="1"/>
  <c r="G267" i="1"/>
  <c r="H267" i="1"/>
  <c r="I267" i="1" s="1"/>
  <c r="T267" i="1"/>
  <c r="U267" i="1" s="1"/>
  <c r="J267" i="1"/>
  <c r="K267" i="1" s="1"/>
  <c r="V267" i="1"/>
  <c r="W267" i="1" s="1"/>
  <c r="R267" i="1"/>
  <c r="S267" i="1" s="1"/>
  <c r="N267" i="1"/>
  <c r="O267" i="1" s="1"/>
  <c r="G228" i="1"/>
  <c r="V228" i="1"/>
  <c r="W228" i="1" s="1"/>
  <c r="L228" i="1"/>
  <c r="M228" i="1" s="1"/>
  <c r="P228" i="1"/>
  <c r="Q228" i="1" s="1"/>
  <c r="T228" i="1"/>
  <c r="U228" i="1" s="1"/>
  <c r="N228" i="1"/>
  <c r="O228" i="1" s="1"/>
  <c r="R228" i="1"/>
  <c r="S228" i="1" s="1"/>
  <c r="H228" i="1"/>
  <c r="I228" i="1" s="1"/>
  <c r="G519" i="1"/>
  <c r="F364" i="1" l="1"/>
  <c r="P364" i="1" s="1"/>
  <c r="Q364" i="1" s="1"/>
  <c r="F129" i="1"/>
  <c r="F418" i="1"/>
  <c r="F407" i="1"/>
  <c r="F406" i="1"/>
  <c r="V364" i="1" l="1"/>
  <c r="W364" i="1" s="1"/>
  <c r="G364" i="1"/>
  <c r="L364" i="1"/>
  <c r="M364" i="1" s="1"/>
  <c r="R364" i="1"/>
  <c r="S364" i="1" s="1"/>
  <c r="T364" i="1"/>
  <c r="U364" i="1" s="1"/>
  <c r="N364" i="1"/>
  <c r="O364" i="1" s="1"/>
  <c r="F523" i="1" l="1"/>
  <c r="V523" i="1" l="1"/>
  <c r="W523" i="1" s="1"/>
  <c r="T523" i="1"/>
  <c r="U523" i="1" s="1"/>
  <c r="H523" i="1"/>
  <c r="R523" i="1"/>
  <c r="S523" i="1" s="1"/>
  <c r="P523" i="1"/>
  <c r="Q523" i="1" s="1"/>
  <c r="L523" i="1"/>
  <c r="M523" i="1" s="1"/>
  <c r="J523" i="1"/>
  <c r="N523" i="1"/>
  <c r="O523" i="1" s="1"/>
  <c r="F444" i="1"/>
  <c r="F354" i="1"/>
  <c r="F385" i="1"/>
  <c r="F347" i="1"/>
  <c r="F368" i="1"/>
  <c r="F304" i="1"/>
  <c r="F375" i="1"/>
  <c r="F405" i="1"/>
  <c r="F431" i="1"/>
  <c r="F430" i="1"/>
  <c r="F574" i="1"/>
  <c r="F575" i="1"/>
  <c r="F660" i="1"/>
  <c r="F659" i="1"/>
  <c r="F661" i="1"/>
  <c r="F658" i="1"/>
  <c r="W581" i="1"/>
  <c r="U581" i="1"/>
  <c r="S581" i="1"/>
  <c r="Q581" i="1"/>
  <c r="O581" i="1"/>
  <c r="M581" i="1"/>
  <c r="K581" i="1"/>
  <c r="F130" i="1"/>
  <c r="F147" i="1"/>
  <c r="R574" i="1" l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74" i="1"/>
  <c r="W574" i="1" s="1"/>
  <c r="T574" i="1"/>
  <c r="U574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H575" i="1"/>
  <c r="I575" i="1" s="1"/>
  <c r="V575" i="1"/>
  <c r="W575" i="1" s="1"/>
  <c r="N430" i="1"/>
  <c r="O430" i="1" s="1"/>
  <c r="L430" i="1"/>
  <c r="M430" i="1" s="1"/>
  <c r="J430" i="1"/>
  <c r="K430" i="1" s="1"/>
  <c r="H430" i="1"/>
  <c r="I430" i="1" s="1"/>
  <c r="V430" i="1"/>
  <c r="W430" i="1" s="1"/>
  <c r="T430" i="1"/>
  <c r="U430" i="1" s="1"/>
  <c r="R430" i="1"/>
  <c r="S430" i="1" s="1"/>
  <c r="P430" i="1"/>
  <c r="Q430" i="1" s="1"/>
  <c r="R431" i="1"/>
  <c r="S431" i="1" s="1"/>
  <c r="P431" i="1"/>
  <c r="Q431" i="1" s="1"/>
  <c r="J431" i="1"/>
  <c r="K431" i="1" s="1"/>
  <c r="N431" i="1"/>
  <c r="O431" i="1" s="1"/>
  <c r="L431" i="1"/>
  <c r="M431" i="1" s="1"/>
  <c r="V431" i="1"/>
  <c r="W431" i="1" s="1"/>
  <c r="T431" i="1"/>
  <c r="U431" i="1" s="1"/>
  <c r="H431" i="1"/>
  <c r="I431" i="1" s="1"/>
  <c r="F296" i="1"/>
  <c r="G296" i="1" s="1"/>
  <c r="F298" i="1"/>
  <c r="G298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H288" i="1"/>
  <c r="I288" i="1" s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J287" i="1"/>
  <c r="K287" i="1" s="1"/>
  <c r="H287" i="1"/>
  <c r="I287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V268" i="1"/>
  <c r="W268" i="1" s="1"/>
  <c r="T268" i="1"/>
  <c r="U268" i="1" s="1"/>
  <c r="R268" i="1"/>
  <c r="S268" i="1" s="1"/>
  <c r="P268" i="1"/>
  <c r="Q268" i="1" s="1"/>
  <c r="N268" i="1"/>
  <c r="O268" i="1" s="1"/>
  <c r="L268" i="1"/>
  <c r="M268" i="1" s="1"/>
  <c r="J268" i="1"/>
  <c r="K268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H229" i="1"/>
  <c r="I229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L225" i="1"/>
  <c r="J225" i="1"/>
  <c r="H225" i="1"/>
  <c r="N225" i="1"/>
  <c r="T225" i="1"/>
  <c r="R225" i="1"/>
  <c r="P225" i="1"/>
  <c r="V225" i="1"/>
  <c r="L216" i="1"/>
  <c r="N215" i="1"/>
  <c r="O215" i="1" s="1"/>
  <c r="L215" i="1"/>
  <c r="M215" i="1" s="1"/>
  <c r="J215" i="1"/>
  <c r="K215" i="1" s="1"/>
  <c r="V204" i="1"/>
  <c r="W204" i="1" s="1"/>
  <c r="T204" i="1"/>
  <c r="U204" i="1" s="1"/>
  <c r="V203" i="1"/>
  <c r="W203" i="1" s="1"/>
  <c r="T203" i="1"/>
  <c r="U203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T184" i="1"/>
  <c r="R184" i="1"/>
  <c r="P184" i="1"/>
  <c r="N184" i="1"/>
  <c r="L184" i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T179" i="1"/>
  <c r="R179" i="1"/>
  <c r="P179" i="1"/>
  <c r="N179" i="1"/>
  <c r="L179" i="1"/>
  <c r="V177" i="1"/>
  <c r="W177" i="1" s="1"/>
  <c r="T177" i="1"/>
  <c r="U177" i="1" s="1"/>
  <c r="R177" i="1"/>
  <c r="S177" i="1" s="1"/>
  <c r="P177" i="1"/>
  <c r="Q177" i="1" s="1"/>
  <c r="N177" i="1"/>
  <c r="O177" i="1" s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W175" i="1" s="1"/>
  <c r="T175" i="1"/>
  <c r="U175" i="1" s="1"/>
  <c r="R175" i="1"/>
  <c r="S175" i="1" s="1"/>
  <c r="P175" i="1"/>
  <c r="Q175" i="1" s="1"/>
  <c r="N175" i="1"/>
  <c r="O175" i="1" s="1"/>
  <c r="V174" i="1"/>
  <c r="T174" i="1"/>
  <c r="R174" i="1"/>
  <c r="P174" i="1"/>
  <c r="N174" i="1"/>
  <c r="N160" i="1"/>
  <c r="O160" i="1" s="1"/>
  <c r="P160" i="1"/>
  <c r="Q160" i="1" s="1"/>
  <c r="R160" i="1"/>
  <c r="S160" i="1" s="1"/>
  <c r="T160" i="1"/>
  <c r="U160" i="1" s="1"/>
  <c r="V160" i="1"/>
  <c r="W160" i="1" s="1"/>
  <c r="L160" i="1"/>
  <c r="M160" i="1" s="1"/>
  <c r="R298" i="1" l="1"/>
  <c r="S298" i="1" s="1"/>
  <c r="T296" i="1"/>
  <c r="U296" i="1" s="1"/>
  <c r="V296" i="1"/>
  <c r="W296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8" i="1"/>
  <c r="U298" i="1" s="1"/>
  <c r="V298" i="1"/>
  <c r="W298" i="1" s="1"/>
  <c r="H298" i="1"/>
  <c r="I298" i="1" s="1"/>
  <c r="L298" i="1"/>
  <c r="M298" i="1" s="1"/>
  <c r="J298" i="1"/>
  <c r="K298" i="1" s="1"/>
  <c r="N298" i="1"/>
  <c r="O298" i="1" s="1"/>
  <c r="P298" i="1"/>
  <c r="Q298" i="1" s="1"/>
  <c r="F232" i="1" l="1"/>
  <c r="T247" i="1" l="1"/>
  <c r="U247" i="1" s="1"/>
  <c r="R247" i="1"/>
  <c r="S247" i="1" s="1"/>
  <c r="H247" i="1"/>
  <c r="I247" i="1" s="1"/>
  <c r="P247" i="1"/>
  <c r="Q247" i="1" s="1"/>
  <c r="N247" i="1"/>
  <c r="O247" i="1" s="1"/>
  <c r="L247" i="1"/>
  <c r="M247" i="1" s="1"/>
  <c r="J247" i="1"/>
  <c r="K247" i="1" s="1"/>
  <c r="V247" i="1"/>
  <c r="W247" i="1" s="1"/>
  <c r="H232" i="1"/>
  <c r="I232" i="1" s="1"/>
  <c r="V232" i="1"/>
  <c r="W232" i="1" s="1"/>
  <c r="J232" i="1"/>
  <c r="K232" i="1" s="1"/>
  <c r="T232" i="1"/>
  <c r="U232" i="1" s="1"/>
  <c r="R232" i="1"/>
  <c r="S232" i="1" s="1"/>
  <c r="P232" i="1"/>
  <c r="Q232" i="1" s="1"/>
  <c r="N232" i="1"/>
  <c r="O232" i="1" s="1"/>
  <c r="L232" i="1"/>
  <c r="M232" i="1" s="1"/>
  <c r="F390" i="1"/>
  <c r="T390" i="1" s="1"/>
  <c r="U390" i="1" s="1"/>
  <c r="F534" i="1"/>
  <c r="F454" i="1"/>
  <c r="F154" i="1"/>
  <c r="P454" i="1" l="1"/>
  <c r="Q454" i="1" s="1"/>
  <c r="V454" i="1"/>
  <c r="W454" i="1" s="1"/>
  <c r="T454" i="1"/>
  <c r="U454" i="1" s="1"/>
  <c r="R454" i="1"/>
  <c r="S454" i="1" s="1"/>
  <c r="N454" i="1"/>
  <c r="O454" i="1" s="1"/>
  <c r="L454" i="1"/>
  <c r="M454" i="1" s="1"/>
  <c r="J454" i="1"/>
  <c r="K454" i="1" s="1"/>
  <c r="H454" i="1"/>
  <c r="I454" i="1" s="1"/>
  <c r="J534" i="1"/>
  <c r="K534" i="1" s="1"/>
  <c r="H534" i="1"/>
  <c r="I534" i="1" s="1"/>
  <c r="T534" i="1"/>
  <c r="U534" i="1" s="1"/>
  <c r="R534" i="1"/>
  <c r="S534" i="1" s="1"/>
  <c r="P534" i="1"/>
  <c r="Q534" i="1" s="1"/>
  <c r="N534" i="1"/>
  <c r="O534" i="1" s="1"/>
  <c r="L534" i="1"/>
  <c r="M534" i="1" s="1"/>
  <c r="V534" i="1"/>
  <c r="W534" i="1" s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L197" i="1"/>
  <c r="M197" i="1" s="1"/>
  <c r="J197" i="1"/>
  <c r="K197" i="1" s="1"/>
  <c r="N197" i="1"/>
  <c r="O197" i="1" s="1"/>
  <c r="V197" i="1"/>
  <c r="W197" i="1" s="1"/>
  <c r="T197" i="1"/>
  <c r="U197" i="1" s="1"/>
  <c r="R197" i="1"/>
  <c r="S197" i="1" s="1"/>
  <c r="P197" i="1"/>
  <c r="Q197" i="1" s="1"/>
  <c r="V221" i="1"/>
  <c r="W221" i="1" s="1"/>
  <c r="T221" i="1"/>
  <c r="U221" i="1" s="1"/>
  <c r="R221" i="1"/>
  <c r="S221" i="1" s="1"/>
  <c r="P221" i="1"/>
  <c r="Q221" i="1" s="1"/>
  <c r="N221" i="1"/>
  <c r="O221" i="1" s="1"/>
  <c r="J221" i="1"/>
  <c r="K221" i="1" s="1"/>
  <c r="L221" i="1"/>
  <c r="M221" i="1" s="1"/>
  <c r="T244" i="1"/>
  <c r="U244" i="1" s="1"/>
  <c r="R244" i="1"/>
  <c r="S244" i="1" s="1"/>
  <c r="P244" i="1"/>
  <c r="Q244" i="1" s="1"/>
  <c r="V244" i="1"/>
  <c r="W244" i="1" s="1"/>
  <c r="N244" i="1"/>
  <c r="O244" i="1" s="1"/>
  <c r="L244" i="1"/>
  <c r="M244" i="1" s="1"/>
  <c r="J244" i="1"/>
  <c r="K244" i="1" s="1"/>
  <c r="H244" i="1"/>
  <c r="I244" i="1" s="1"/>
  <c r="J390" i="1"/>
  <c r="K390" i="1" s="1"/>
  <c r="P390" i="1"/>
  <c r="Q390" i="1" s="1"/>
  <c r="V390" i="1"/>
  <c r="W390" i="1" s="1"/>
  <c r="L390" i="1"/>
  <c r="M390" i="1" s="1"/>
  <c r="N390" i="1"/>
  <c r="O390" i="1" s="1"/>
  <c r="R390" i="1"/>
  <c r="S390" i="1" s="1"/>
  <c r="G390" i="1"/>
  <c r="H390" i="1"/>
  <c r="I390" i="1" s="1"/>
  <c r="F474" i="1" l="1"/>
  <c r="F473" i="1"/>
  <c r="N473" i="1" l="1"/>
  <c r="J473" i="1"/>
  <c r="H473" i="1"/>
  <c r="P473" i="1"/>
  <c r="R473" i="1"/>
  <c r="T473" i="1"/>
  <c r="V473" i="1"/>
  <c r="L473" i="1"/>
  <c r="H474" i="1"/>
  <c r="I474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J474" i="1"/>
  <c r="K474" i="1" s="1"/>
  <c r="H340" i="1"/>
  <c r="I340" i="1" s="1"/>
  <c r="J340" i="1"/>
  <c r="K340" i="1" s="1"/>
  <c r="L340" i="1"/>
  <c r="M340" i="1" s="1"/>
  <c r="N340" i="1"/>
  <c r="O340" i="1" s="1"/>
  <c r="V428" i="1"/>
  <c r="W428" i="1" s="1"/>
  <c r="T428" i="1"/>
  <c r="U428" i="1" s="1"/>
  <c r="R428" i="1"/>
  <c r="S428" i="1" s="1"/>
  <c r="P428" i="1"/>
  <c r="Q428" i="1" s="1"/>
  <c r="N428" i="1"/>
  <c r="O428" i="1" s="1"/>
  <c r="L428" i="1"/>
  <c r="M428" i="1" s="1"/>
  <c r="J428" i="1"/>
  <c r="K428" i="1" s="1"/>
  <c r="L425" i="1"/>
  <c r="T424" i="1"/>
  <c r="U424" i="1" s="1"/>
  <c r="R424" i="1"/>
  <c r="S424" i="1" s="1"/>
  <c r="P424" i="1"/>
  <c r="Q424" i="1" s="1"/>
  <c r="N424" i="1"/>
  <c r="O424" i="1" s="1"/>
  <c r="L424" i="1"/>
  <c r="M424" i="1" s="1"/>
  <c r="T423" i="1"/>
  <c r="U423" i="1" s="1"/>
  <c r="R423" i="1"/>
  <c r="S423" i="1" s="1"/>
  <c r="P423" i="1"/>
  <c r="Q423" i="1" s="1"/>
  <c r="N423" i="1"/>
  <c r="O423" i="1" s="1"/>
  <c r="L423" i="1"/>
  <c r="M423" i="1" s="1"/>
  <c r="T422" i="1"/>
  <c r="U422" i="1" s="1"/>
  <c r="R422" i="1"/>
  <c r="S422" i="1" s="1"/>
  <c r="P422" i="1"/>
  <c r="Q422" i="1" s="1"/>
  <c r="N422" i="1"/>
  <c r="O422" i="1" s="1"/>
  <c r="L422" i="1"/>
  <c r="M422" i="1" s="1"/>
  <c r="T421" i="1"/>
  <c r="R421" i="1"/>
  <c r="P421" i="1"/>
  <c r="N421" i="1"/>
  <c r="L421" i="1"/>
  <c r="L386" i="1"/>
  <c r="M386" i="1" s="1"/>
  <c r="N386" i="1"/>
  <c r="O386" i="1" s="1"/>
  <c r="P386" i="1"/>
  <c r="Q386" i="1" s="1"/>
  <c r="R386" i="1"/>
  <c r="S386" i="1" s="1"/>
  <c r="T386" i="1"/>
  <c r="U386" i="1" s="1"/>
  <c r="V386" i="1"/>
  <c r="W386" i="1" s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J306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G531" i="1" l="1"/>
  <c r="F522" i="1"/>
  <c r="F521" i="1"/>
  <c r="F520" i="1"/>
  <c r="L520" i="1" l="1"/>
  <c r="M520" i="1" s="1"/>
  <c r="V520" i="1"/>
  <c r="W520" i="1" s="1"/>
  <c r="T520" i="1"/>
  <c r="U520" i="1" s="1"/>
  <c r="R520" i="1"/>
  <c r="S520" i="1" s="1"/>
  <c r="P520" i="1"/>
  <c r="Q520" i="1" s="1"/>
  <c r="N520" i="1"/>
  <c r="O520" i="1" s="1"/>
  <c r="P521" i="1"/>
  <c r="Q521" i="1" s="1"/>
  <c r="N521" i="1"/>
  <c r="O521" i="1" s="1"/>
  <c r="L521" i="1"/>
  <c r="M521" i="1" s="1"/>
  <c r="V521" i="1"/>
  <c r="W521" i="1" s="1"/>
  <c r="T521" i="1"/>
  <c r="U521" i="1" s="1"/>
  <c r="R521" i="1"/>
  <c r="S521" i="1" s="1"/>
  <c r="T522" i="1"/>
  <c r="U522" i="1" s="1"/>
  <c r="R522" i="1"/>
  <c r="S522" i="1" s="1"/>
  <c r="P522" i="1"/>
  <c r="Q522" i="1" s="1"/>
  <c r="N522" i="1"/>
  <c r="O522" i="1" s="1"/>
  <c r="V522" i="1"/>
  <c r="W522" i="1" s="1"/>
  <c r="L522" i="1"/>
  <c r="M522" i="1" s="1"/>
  <c r="G522" i="1"/>
  <c r="G521" i="1"/>
  <c r="G520" i="1"/>
  <c r="W448" i="1"/>
  <c r="U448" i="1"/>
  <c r="S448" i="1"/>
  <c r="Q448" i="1"/>
  <c r="O448" i="1"/>
  <c r="W447" i="1"/>
  <c r="U447" i="1"/>
  <c r="S447" i="1"/>
  <c r="Q447" i="1"/>
  <c r="O447" i="1"/>
  <c r="W442" i="1"/>
  <c r="U442" i="1"/>
  <c r="S442" i="1"/>
  <c r="Q442" i="1"/>
  <c r="O442" i="1"/>
  <c r="W441" i="1"/>
  <c r="U441" i="1"/>
  <c r="S441" i="1"/>
  <c r="Q441" i="1"/>
  <c r="O441" i="1"/>
  <c r="F536" i="1"/>
  <c r="R536" i="1" l="1"/>
  <c r="S536" i="1" s="1"/>
  <c r="T536" i="1"/>
  <c r="U536" i="1" s="1"/>
  <c r="V536" i="1"/>
  <c r="W536" i="1" s="1"/>
  <c r="H536" i="1"/>
  <c r="I536" i="1" s="1"/>
  <c r="J536" i="1"/>
  <c r="K536" i="1" s="1"/>
  <c r="L536" i="1"/>
  <c r="M536" i="1" s="1"/>
  <c r="N536" i="1"/>
  <c r="O536" i="1" s="1"/>
  <c r="P536" i="1"/>
  <c r="Q536" i="1" s="1"/>
  <c r="H455" i="1"/>
  <c r="I455" i="1" s="1"/>
  <c r="V455" i="1"/>
  <c r="W455" i="1" s="1"/>
  <c r="T455" i="1"/>
  <c r="U455" i="1" s="1"/>
  <c r="P455" i="1"/>
  <c r="Q455" i="1" s="1"/>
  <c r="N455" i="1"/>
  <c r="O455" i="1" s="1"/>
  <c r="L455" i="1"/>
  <c r="M455" i="1" s="1"/>
  <c r="R455" i="1"/>
  <c r="S455" i="1" s="1"/>
  <c r="J455" i="1"/>
  <c r="K455" i="1" s="1"/>
  <c r="G536" i="1"/>
  <c r="F620" i="1" l="1"/>
  <c r="F635" i="1"/>
  <c r="R635" i="1" l="1"/>
  <c r="P635" i="1"/>
  <c r="N635" i="1"/>
  <c r="L635" i="1"/>
  <c r="V635" i="1"/>
  <c r="J635" i="1"/>
  <c r="T635" i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F403" i="1"/>
  <c r="F377" i="1"/>
  <c r="F233" i="1"/>
  <c r="F261" i="1"/>
  <c r="F434" i="1"/>
  <c r="F636" i="1"/>
  <c r="F614" i="1"/>
  <c r="F164" i="1"/>
  <c r="F128" i="1"/>
  <c r="V128" i="1" s="1"/>
  <c r="W128" i="1" s="1"/>
  <c r="G160" i="1"/>
  <c r="V614" i="1" l="1"/>
  <c r="W614" i="1" s="1"/>
  <c r="R614" i="1"/>
  <c r="T614" i="1"/>
  <c r="L614" i="1"/>
  <c r="N614" i="1"/>
  <c r="O614" i="1" s="1"/>
  <c r="P614" i="1"/>
  <c r="Q614" i="1" s="1"/>
  <c r="V636" i="1"/>
  <c r="W636" i="1" s="1"/>
  <c r="L636" i="1"/>
  <c r="M636" i="1" s="1"/>
  <c r="J636" i="1"/>
  <c r="K636" i="1" s="1"/>
  <c r="T636" i="1"/>
  <c r="U636" i="1" s="1"/>
  <c r="P636" i="1"/>
  <c r="Q636" i="1" s="1"/>
  <c r="R636" i="1"/>
  <c r="S636" i="1" s="1"/>
  <c r="N636" i="1"/>
  <c r="O636" i="1" s="1"/>
  <c r="R434" i="1"/>
  <c r="S434" i="1" s="1"/>
  <c r="J434" i="1"/>
  <c r="K434" i="1" s="1"/>
  <c r="P434" i="1"/>
  <c r="Q434" i="1" s="1"/>
  <c r="N434" i="1"/>
  <c r="O434" i="1" s="1"/>
  <c r="L434" i="1"/>
  <c r="M434" i="1" s="1"/>
  <c r="H434" i="1"/>
  <c r="I434" i="1" s="1"/>
  <c r="V434" i="1"/>
  <c r="W434" i="1" s="1"/>
  <c r="T434" i="1"/>
  <c r="U434" i="1" s="1"/>
  <c r="T200" i="1"/>
  <c r="U200" i="1" s="1"/>
  <c r="R200" i="1"/>
  <c r="S200" i="1" s="1"/>
  <c r="P200" i="1"/>
  <c r="Q200" i="1" s="1"/>
  <c r="N200" i="1"/>
  <c r="O200" i="1" s="1"/>
  <c r="V200" i="1"/>
  <c r="W200" i="1" s="1"/>
  <c r="L200" i="1"/>
  <c r="M200" i="1" s="1"/>
  <c r="J200" i="1"/>
  <c r="K200" i="1" s="1"/>
  <c r="H200" i="1"/>
  <c r="I200" i="1" s="1"/>
  <c r="N261" i="1"/>
  <c r="O261" i="1" s="1"/>
  <c r="L261" i="1"/>
  <c r="M261" i="1" s="1"/>
  <c r="J261" i="1"/>
  <c r="K261" i="1" s="1"/>
  <c r="H261" i="1"/>
  <c r="I261" i="1" s="1"/>
  <c r="V261" i="1"/>
  <c r="W261" i="1" s="1"/>
  <c r="T261" i="1"/>
  <c r="U261" i="1" s="1"/>
  <c r="P261" i="1"/>
  <c r="Q261" i="1" s="1"/>
  <c r="R261" i="1"/>
  <c r="S261" i="1" s="1"/>
  <c r="J233" i="1"/>
  <c r="K233" i="1" s="1"/>
  <c r="H233" i="1"/>
  <c r="I233" i="1" s="1"/>
  <c r="V233" i="1"/>
  <c r="W233" i="1" s="1"/>
  <c r="T233" i="1"/>
  <c r="U233" i="1" s="1"/>
  <c r="R233" i="1"/>
  <c r="S233" i="1" s="1"/>
  <c r="P233" i="1"/>
  <c r="Q233" i="1" s="1"/>
  <c r="L233" i="1"/>
  <c r="M233" i="1" s="1"/>
  <c r="N233" i="1"/>
  <c r="O233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H164" i="1"/>
  <c r="I164" i="1" s="1"/>
  <c r="V276" i="1"/>
  <c r="T276" i="1"/>
  <c r="R276" i="1"/>
  <c r="P276" i="1"/>
  <c r="N276" i="1"/>
  <c r="L276" i="1"/>
  <c r="J276" i="1"/>
  <c r="L377" i="1"/>
  <c r="M377" i="1" s="1"/>
  <c r="N377" i="1"/>
  <c r="O377" i="1" s="1"/>
  <c r="P377" i="1"/>
  <c r="Q377" i="1" s="1"/>
  <c r="R377" i="1"/>
  <c r="S377" i="1" s="1"/>
  <c r="T377" i="1"/>
  <c r="U377" i="1" s="1"/>
  <c r="V377" i="1"/>
  <c r="W377" i="1" s="1"/>
  <c r="L376" i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J403" i="1"/>
  <c r="K403" i="1" s="1"/>
  <c r="H403" i="1"/>
  <c r="I403" i="1" s="1"/>
  <c r="G376" i="1"/>
  <c r="G377" i="1"/>
  <c r="G233" i="1"/>
  <c r="M614" i="1"/>
  <c r="S614" i="1"/>
  <c r="H614" i="1"/>
  <c r="I614" i="1" s="1"/>
  <c r="J614" i="1"/>
  <c r="K614" i="1" s="1"/>
  <c r="U614" i="1"/>
  <c r="G636" i="1"/>
  <c r="G614" i="1"/>
  <c r="R128" i="1"/>
  <c r="S128" i="1" s="1"/>
  <c r="T128" i="1"/>
  <c r="U128" i="1" s="1"/>
  <c r="L128" i="1"/>
  <c r="M128" i="1" s="1"/>
  <c r="N128" i="1"/>
  <c r="O128" i="1" s="1"/>
  <c r="P128" i="1"/>
  <c r="Q128" i="1" s="1"/>
  <c r="G128" i="1"/>
  <c r="J128" i="1"/>
  <c r="K128" i="1" s="1"/>
  <c r="F391" i="1" l="1"/>
  <c r="F401" i="1"/>
  <c r="H401" i="1" l="1"/>
  <c r="I401" i="1" s="1"/>
  <c r="N401" i="1"/>
  <c r="L401" i="1"/>
  <c r="P401" i="1"/>
  <c r="R401" i="1"/>
  <c r="S401" i="1" s="1"/>
  <c r="T401" i="1"/>
  <c r="U401" i="1" s="1"/>
  <c r="J401" i="1"/>
  <c r="V401" i="1"/>
  <c r="W401" i="1" s="1"/>
  <c r="Q401" i="1"/>
  <c r="O401" i="1"/>
  <c r="M401" i="1"/>
  <c r="K401" i="1"/>
  <c r="P391" i="1"/>
  <c r="Q391" i="1" s="1"/>
  <c r="N391" i="1"/>
  <c r="O391" i="1" s="1"/>
  <c r="L391" i="1"/>
  <c r="M391" i="1" s="1"/>
  <c r="J391" i="1"/>
  <c r="K391" i="1" s="1"/>
  <c r="H391" i="1"/>
  <c r="I391" i="1" s="1"/>
  <c r="T391" i="1"/>
  <c r="U391" i="1" s="1"/>
  <c r="V391" i="1"/>
  <c r="W391" i="1" s="1"/>
  <c r="R391" i="1"/>
  <c r="S391" i="1" s="1"/>
  <c r="F294" i="1"/>
  <c r="R294" i="1" l="1"/>
  <c r="S294" i="1" s="1"/>
  <c r="P294" i="1"/>
  <c r="Q294" i="1" s="1"/>
  <c r="N294" i="1"/>
  <c r="O294" i="1" s="1"/>
  <c r="L294" i="1"/>
  <c r="M294" i="1" s="1"/>
  <c r="T294" i="1"/>
  <c r="U294" i="1" s="1"/>
  <c r="J294" i="1"/>
  <c r="K294" i="1" s="1"/>
  <c r="H294" i="1"/>
  <c r="I294" i="1" s="1"/>
  <c r="V294" i="1"/>
  <c r="W294" i="1" s="1"/>
  <c r="G294" i="1"/>
  <c r="F253" i="1"/>
  <c r="U276" i="1"/>
  <c r="V253" i="1" l="1"/>
  <c r="W253" i="1" s="1"/>
  <c r="T253" i="1"/>
  <c r="U253" i="1" s="1"/>
  <c r="R253" i="1"/>
  <c r="S253" i="1" s="1"/>
  <c r="H253" i="1"/>
  <c r="I253" i="1" s="1"/>
  <c r="P253" i="1"/>
  <c r="Q253" i="1" s="1"/>
  <c r="N253" i="1"/>
  <c r="O253" i="1" s="1"/>
  <c r="L253" i="1"/>
  <c r="M253" i="1" s="1"/>
  <c r="J253" i="1"/>
  <c r="K253" i="1" s="1"/>
  <c r="G253" i="1"/>
  <c r="W276" i="1"/>
  <c r="M276" i="1"/>
  <c r="O276" i="1"/>
  <c r="Q276" i="1"/>
  <c r="S276" i="1"/>
  <c r="G276" i="1"/>
  <c r="I276" i="1"/>
  <c r="K276" i="1"/>
  <c r="V246" i="1" l="1"/>
  <c r="W246" i="1" s="1"/>
  <c r="H246" i="1"/>
  <c r="I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G246" i="1"/>
  <c r="F616" i="1"/>
  <c r="F572" i="1"/>
  <c r="N616" i="1" l="1"/>
  <c r="O616" i="1" s="1"/>
  <c r="T616" i="1"/>
  <c r="L616" i="1"/>
  <c r="M616" i="1" s="1"/>
  <c r="H616" i="1"/>
  <c r="P616" i="1"/>
  <c r="R616" i="1"/>
  <c r="S616" i="1" s="1"/>
  <c r="J616" i="1"/>
  <c r="V616" i="1"/>
  <c r="W616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H572" i="1"/>
  <c r="I572" i="1" s="1"/>
  <c r="U616" i="1"/>
  <c r="Q616" i="1"/>
  <c r="I616" i="1"/>
  <c r="K616" i="1"/>
  <c r="G616" i="1"/>
  <c r="G572" i="1"/>
  <c r="F284" i="1" l="1"/>
  <c r="V284" i="1" l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F281" i="1"/>
  <c r="H281" i="1" l="1"/>
  <c r="I281" i="1" s="1"/>
  <c r="J281" i="1"/>
  <c r="V281" i="1"/>
  <c r="W281" i="1" s="1"/>
  <c r="T281" i="1"/>
  <c r="R281" i="1"/>
  <c r="S281" i="1" s="1"/>
  <c r="P281" i="1"/>
  <c r="Q281" i="1" s="1"/>
  <c r="N281" i="1"/>
  <c r="O281" i="1" s="1"/>
  <c r="L281" i="1"/>
  <c r="M281" i="1" s="1"/>
  <c r="U281" i="1"/>
  <c r="K281" i="1"/>
  <c r="G281" i="1"/>
  <c r="F332" i="1"/>
  <c r="F331" i="1"/>
  <c r="G261" i="1"/>
  <c r="R331" i="1" l="1"/>
  <c r="S331" i="1" s="1"/>
  <c r="P331" i="1"/>
  <c r="Q331" i="1" s="1"/>
  <c r="N331" i="1"/>
  <c r="O331" i="1" s="1"/>
  <c r="L331" i="1"/>
  <c r="M331" i="1" s="1"/>
  <c r="V331" i="1"/>
  <c r="W331" i="1" s="1"/>
  <c r="T331" i="1"/>
  <c r="U331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G332" i="1"/>
  <c r="F482" i="1"/>
  <c r="F481" i="1"/>
  <c r="F485" i="1"/>
  <c r="F484" i="1"/>
  <c r="F483" i="1"/>
  <c r="J483" i="1" l="1"/>
  <c r="K483" i="1" s="1"/>
  <c r="H483" i="1"/>
  <c r="L483" i="1"/>
  <c r="M483" i="1" s="1"/>
  <c r="V484" i="1"/>
  <c r="W484" i="1" s="1"/>
  <c r="H484" i="1"/>
  <c r="I484" i="1" s="1"/>
  <c r="T484" i="1"/>
  <c r="U484" i="1" s="1"/>
  <c r="R484" i="1"/>
  <c r="S484" i="1" s="1"/>
  <c r="N484" i="1"/>
  <c r="O484" i="1" s="1"/>
  <c r="L484" i="1"/>
  <c r="M484" i="1" s="1"/>
  <c r="J484" i="1"/>
  <c r="K484" i="1" s="1"/>
  <c r="P484" i="1"/>
  <c r="Q484" i="1" s="1"/>
  <c r="H485" i="1"/>
  <c r="L485" i="1"/>
  <c r="M485" i="1" s="1"/>
  <c r="J485" i="1"/>
  <c r="K485" i="1" s="1"/>
  <c r="J481" i="1"/>
  <c r="L481" i="1"/>
  <c r="N481" i="1"/>
  <c r="P481" i="1"/>
  <c r="H481" i="1"/>
  <c r="R481" i="1"/>
  <c r="T481" i="1"/>
  <c r="V481" i="1"/>
  <c r="L482" i="1"/>
  <c r="J482" i="1"/>
  <c r="H482" i="1"/>
  <c r="R347" i="1"/>
  <c r="S347" i="1" s="1"/>
  <c r="P347" i="1"/>
  <c r="Q347" i="1" s="1"/>
  <c r="N347" i="1"/>
  <c r="O347" i="1" s="1"/>
  <c r="L347" i="1"/>
  <c r="M347" i="1" s="1"/>
  <c r="T347" i="1"/>
  <c r="U347" i="1" s="1"/>
  <c r="V347" i="1"/>
  <c r="W347" i="1" s="1"/>
  <c r="G347" i="1"/>
  <c r="T652" i="1"/>
  <c r="U652" i="1" s="1"/>
  <c r="R652" i="1"/>
  <c r="S652" i="1" s="1"/>
  <c r="P652" i="1"/>
  <c r="Q652" i="1" s="1"/>
  <c r="N652" i="1"/>
  <c r="O652" i="1" s="1"/>
  <c r="L652" i="1"/>
  <c r="M652" i="1" s="1"/>
  <c r="J652" i="1"/>
  <c r="K652" i="1" s="1"/>
  <c r="G652" i="1"/>
  <c r="T651" i="1"/>
  <c r="U651" i="1" s="1"/>
  <c r="R651" i="1"/>
  <c r="S651" i="1" s="1"/>
  <c r="P651" i="1"/>
  <c r="Q651" i="1" s="1"/>
  <c r="N651" i="1"/>
  <c r="O651" i="1" s="1"/>
  <c r="L651" i="1"/>
  <c r="M651" i="1" s="1"/>
  <c r="J651" i="1"/>
  <c r="K651" i="1" s="1"/>
  <c r="G651" i="1"/>
  <c r="F292" i="1"/>
  <c r="F299" i="1"/>
  <c r="F615" i="1"/>
  <c r="F540" i="1"/>
  <c r="F408" i="1"/>
  <c r="F361" i="1"/>
  <c r="F389" i="1"/>
  <c r="G468" i="1"/>
  <c r="F417" i="1"/>
  <c r="F352" i="1"/>
  <c r="F353" i="1"/>
  <c r="F350" i="1"/>
  <c r="F356" i="1"/>
  <c r="R356" i="1" l="1"/>
  <c r="S356" i="1" s="1"/>
  <c r="P356" i="1"/>
  <c r="Q356" i="1" s="1"/>
  <c r="T356" i="1"/>
  <c r="U356" i="1" s="1"/>
  <c r="V356" i="1"/>
  <c r="W356" i="1" s="1"/>
  <c r="P540" i="1"/>
  <c r="Q540" i="1" s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N540" i="1"/>
  <c r="O540" i="1" s="1"/>
  <c r="P277" i="1"/>
  <c r="Q277" i="1" s="1"/>
  <c r="N277" i="1"/>
  <c r="O277" i="1" s="1"/>
  <c r="L277" i="1"/>
  <c r="M277" i="1" s="1"/>
  <c r="R277" i="1"/>
  <c r="S277" i="1" s="1"/>
  <c r="J277" i="1"/>
  <c r="K277" i="1" s="1"/>
  <c r="H277" i="1"/>
  <c r="I277" i="1" s="1"/>
  <c r="V277" i="1"/>
  <c r="W277" i="1" s="1"/>
  <c r="T277" i="1"/>
  <c r="U277" i="1" s="1"/>
  <c r="P292" i="1"/>
  <c r="Q292" i="1" s="1"/>
  <c r="N292" i="1"/>
  <c r="O292" i="1" s="1"/>
  <c r="L292" i="1"/>
  <c r="M292" i="1" s="1"/>
  <c r="J292" i="1"/>
  <c r="K292" i="1" s="1"/>
  <c r="H292" i="1"/>
  <c r="I292" i="1" s="1"/>
  <c r="V292" i="1"/>
  <c r="W292" i="1" s="1"/>
  <c r="T292" i="1"/>
  <c r="U292" i="1" s="1"/>
  <c r="R292" i="1"/>
  <c r="S292" i="1" s="1"/>
  <c r="P241" i="1"/>
  <c r="Q241" i="1" s="1"/>
  <c r="N241" i="1"/>
  <c r="O241" i="1" s="1"/>
  <c r="L241" i="1"/>
  <c r="M241" i="1" s="1"/>
  <c r="J241" i="1"/>
  <c r="K241" i="1" s="1"/>
  <c r="H241" i="1"/>
  <c r="I241" i="1" s="1"/>
  <c r="R241" i="1"/>
  <c r="S241" i="1" s="1"/>
  <c r="V241" i="1"/>
  <c r="W241" i="1" s="1"/>
  <c r="T241" i="1"/>
  <c r="U241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P198" i="1"/>
  <c r="Q198" i="1" s="1"/>
  <c r="N198" i="1"/>
  <c r="O198" i="1" s="1"/>
  <c r="L198" i="1"/>
  <c r="M198" i="1" s="1"/>
  <c r="J198" i="1"/>
  <c r="K198" i="1" s="1"/>
  <c r="R198" i="1"/>
  <c r="S198" i="1" s="1"/>
  <c r="V198" i="1"/>
  <c r="W198" i="1" s="1"/>
  <c r="T198" i="1"/>
  <c r="U198" i="1" s="1"/>
  <c r="L389" i="1"/>
  <c r="M389" i="1" s="1"/>
  <c r="N389" i="1"/>
  <c r="O389" i="1" s="1"/>
  <c r="P389" i="1"/>
  <c r="Q389" i="1" s="1"/>
  <c r="R389" i="1"/>
  <c r="S389" i="1" s="1"/>
  <c r="T389" i="1"/>
  <c r="U389" i="1" s="1"/>
  <c r="V389" i="1"/>
  <c r="W389" i="1" s="1"/>
  <c r="H408" i="1"/>
  <c r="I408" i="1" s="1"/>
  <c r="L408" i="1"/>
  <c r="M408" i="1" s="1"/>
  <c r="V408" i="1"/>
  <c r="W408" i="1" s="1"/>
  <c r="T408" i="1"/>
  <c r="U408" i="1" s="1"/>
  <c r="R408" i="1"/>
  <c r="S408" i="1" s="1"/>
  <c r="P408" i="1"/>
  <c r="Q408" i="1" s="1"/>
  <c r="N408" i="1"/>
  <c r="O408" i="1" s="1"/>
  <c r="J408" i="1"/>
  <c r="K408" i="1" s="1"/>
  <c r="T358" i="1"/>
  <c r="U358" i="1" s="1"/>
  <c r="J358" i="1"/>
  <c r="R358" i="1"/>
  <c r="S358" i="1" s="1"/>
  <c r="P358" i="1"/>
  <c r="Q358" i="1" s="1"/>
  <c r="N358" i="1"/>
  <c r="O358" i="1" s="1"/>
  <c r="L358" i="1"/>
  <c r="M358" i="1" s="1"/>
  <c r="V358" i="1"/>
  <c r="W358" i="1" s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L385" i="1"/>
  <c r="M385" i="1" s="1"/>
  <c r="N385" i="1"/>
  <c r="O385" i="1" s="1"/>
  <c r="P385" i="1"/>
  <c r="Q385" i="1" s="1"/>
  <c r="R385" i="1"/>
  <c r="S385" i="1" s="1"/>
  <c r="T385" i="1"/>
  <c r="U385" i="1" s="1"/>
  <c r="V385" i="1"/>
  <c r="W385" i="1" s="1"/>
  <c r="V417" i="1"/>
  <c r="W417" i="1" s="1"/>
  <c r="T417" i="1"/>
  <c r="U417" i="1" s="1"/>
  <c r="R417" i="1"/>
  <c r="S417" i="1" s="1"/>
  <c r="P417" i="1"/>
  <c r="Q417" i="1" s="1"/>
  <c r="N417" i="1"/>
  <c r="O417" i="1" s="1"/>
  <c r="L417" i="1"/>
  <c r="M417" i="1" s="1"/>
  <c r="J417" i="1"/>
  <c r="K417" i="1" s="1"/>
  <c r="H417" i="1"/>
  <c r="I417" i="1" s="1"/>
  <c r="L373" i="1"/>
  <c r="M373" i="1" s="1"/>
  <c r="N373" i="1"/>
  <c r="O373" i="1" s="1"/>
  <c r="P373" i="1"/>
  <c r="Q373" i="1" s="1"/>
  <c r="R373" i="1"/>
  <c r="S373" i="1" s="1"/>
  <c r="T373" i="1"/>
  <c r="U373" i="1" s="1"/>
  <c r="V373" i="1"/>
  <c r="W373" i="1" s="1"/>
  <c r="P350" i="1"/>
  <c r="Q350" i="1" s="1"/>
  <c r="N350" i="1"/>
  <c r="O350" i="1" s="1"/>
  <c r="L350" i="1"/>
  <c r="M350" i="1" s="1"/>
  <c r="T365" i="1"/>
  <c r="U365" i="1" s="1"/>
  <c r="R365" i="1"/>
  <c r="S365" i="1" s="1"/>
  <c r="P365" i="1"/>
  <c r="Q365" i="1" s="1"/>
  <c r="N365" i="1"/>
  <c r="O365" i="1" s="1"/>
  <c r="L365" i="1"/>
  <c r="M365" i="1" s="1"/>
  <c r="V365" i="1"/>
  <c r="W365" i="1" s="1"/>
  <c r="L375" i="1"/>
  <c r="M375" i="1" s="1"/>
  <c r="N375" i="1"/>
  <c r="O375" i="1" s="1"/>
  <c r="P375" i="1"/>
  <c r="Q375" i="1" s="1"/>
  <c r="R375" i="1"/>
  <c r="S375" i="1" s="1"/>
  <c r="T375" i="1"/>
  <c r="U375" i="1" s="1"/>
  <c r="V375" i="1"/>
  <c r="W375" i="1" s="1"/>
  <c r="T362" i="1"/>
  <c r="U362" i="1" s="1"/>
  <c r="R362" i="1"/>
  <c r="S362" i="1" s="1"/>
  <c r="P362" i="1"/>
  <c r="Q362" i="1" s="1"/>
  <c r="N362" i="1"/>
  <c r="O362" i="1" s="1"/>
  <c r="L362" i="1"/>
  <c r="M362" i="1" s="1"/>
  <c r="V362" i="1"/>
  <c r="W362" i="1" s="1"/>
  <c r="N356" i="1"/>
  <c r="O356" i="1" s="1"/>
  <c r="L356" i="1"/>
  <c r="M356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N353" i="1"/>
  <c r="O353" i="1" s="1"/>
  <c r="L353" i="1"/>
  <c r="M353" i="1" s="1"/>
  <c r="V353" i="1"/>
  <c r="W353" i="1" s="1"/>
  <c r="T353" i="1"/>
  <c r="U353" i="1" s="1"/>
  <c r="R353" i="1"/>
  <c r="S353" i="1" s="1"/>
  <c r="P353" i="1"/>
  <c r="Q353" i="1" s="1"/>
  <c r="V352" i="1"/>
  <c r="W352" i="1" s="1"/>
  <c r="T352" i="1"/>
  <c r="U352" i="1" s="1"/>
  <c r="R352" i="1"/>
  <c r="S352" i="1" s="1"/>
  <c r="P352" i="1"/>
  <c r="Q352" i="1" s="1"/>
  <c r="N352" i="1"/>
  <c r="O352" i="1" s="1"/>
  <c r="G124" i="1" l="1"/>
  <c r="G408" i="1" l="1"/>
  <c r="F305" i="1"/>
  <c r="F101" i="1"/>
  <c r="F100" i="1"/>
  <c r="F649" i="1"/>
  <c r="F646" i="1"/>
  <c r="F613" i="1"/>
  <c r="F568" i="1"/>
  <c r="F565" i="1"/>
  <c r="F564" i="1"/>
  <c r="F557" i="1"/>
  <c r="F555" i="1"/>
  <c r="F552" i="1"/>
  <c r="F527" i="1"/>
  <c r="F498" i="1"/>
  <c r="F493" i="1"/>
  <c r="F490" i="1"/>
  <c r="F489" i="1"/>
  <c r="F486" i="1"/>
  <c r="N555" i="1" l="1"/>
  <c r="O555" i="1" s="1"/>
  <c r="P555" i="1"/>
  <c r="Q555" i="1" s="1"/>
  <c r="R555" i="1"/>
  <c r="S555" i="1" s="1"/>
  <c r="T555" i="1"/>
  <c r="U555" i="1" s="1"/>
  <c r="H555" i="1"/>
  <c r="I555" i="1" s="1"/>
  <c r="J555" i="1"/>
  <c r="K555" i="1" s="1"/>
  <c r="V555" i="1"/>
  <c r="W555" i="1" s="1"/>
  <c r="L555" i="1"/>
  <c r="M555" i="1" s="1"/>
  <c r="N564" i="1"/>
  <c r="O564" i="1" s="1"/>
  <c r="P564" i="1"/>
  <c r="Q564" i="1" s="1"/>
  <c r="R564" i="1"/>
  <c r="S564" i="1" s="1"/>
  <c r="T564" i="1"/>
  <c r="U564" i="1" s="1"/>
  <c r="H564" i="1"/>
  <c r="I564" i="1" s="1"/>
  <c r="J564" i="1"/>
  <c r="K564" i="1" s="1"/>
  <c r="L564" i="1"/>
  <c r="M564" i="1" s="1"/>
  <c r="V564" i="1"/>
  <c r="W564" i="1" s="1"/>
  <c r="J568" i="1"/>
  <c r="K568" i="1" s="1"/>
  <c r="H568" i="1"/>
  <c r="I568" i="1" s="1"/>
  <c r="V568" i="1"/>
  <c r="W568" i="1" s="1"/>
  <c r="T568" i="1"/>
  <c r="U568" i="1" s="1"/>
  <c r="R568" i="1"/>
  <c r="S568" i="1" s="1"/>
  <c r="L568" i="1"/>
  <c r="M568" i="1" s="1"/>
  <c r="P568" i="1"/>
  <c r="Q568" i="1" s="1"/>
  <c r="N568" i="1"/>
  <c r="O568" i="1" s="1"/>
  <c r="L490" i="1"/>
  <c r="M490" i="1" s="1"/>
  <c r="J490" i="1"/>
  <c r="K490" i="1" s="1"/>
  <c r="H490" i="1"/>
  <c r="N557" i="1"/>
  <c r="O557" i="1" s="1"/>
  <c r="P557" i="1"/>
  <c r="Q557" i="1" s="1"/>
  <c r="R557" i="1"/>
  <c r="S557" i="1" s="1"/>
  <c r="T557" i="1"/>
  <c r="U557" i="1" s="1"/>
  <c r="H557" i="1"/>
  <c r="I557" i="1" s="1"/>
  <c r="J557" i="1"/>
  <c r="K557" i="1" s="1"/>
  <c r="L557" i="1"/>
  <c r="M557" i="1" s="1"/>
  <c r="V557" i="1"/>
  <c r="W557" i="1" s="1"/>
  <c r="H493" i="1"/>
  <c r="J493" i="1"/>
  <c r="K493" i="1" s="1"/>
  <c r="L493" i="1"/>
  <c r="M493" i="1" s="1"/>
  <c r="J527" i="1"/>
  <c r="K527" i="1" s="1"/>
  <c r="V527" i="1"/>
  <c r="W527" i="1" s="1"/>
  <c r="H527" i="1"/>
  <c r="I527" i="1" s="1"/>
  <c r="T527" i="1"/>
  <c r="U527" i="1" s="1"/>
  <c r="P527" i="1"/>
  <c r="Q527" i="1" s="1"/>
  <c r="N527" i="1"/>
  <c r="O527" i="1" s="1"/>
  <c r="L527" i="1"/>
  <c r="M527" i="1" s="1"/>
  <c r="R527" i="1"/>
  <c r="S527" i="1" s="1"/>
  <c r="R565" i="1"/>
  <c r="S565" i="1" s="1"/>
  <c r="P565" i="1"/>
  <c r="Q565" i="1" s="1"/>
  <c r="N565" i="1"/>
  <c r="O565" i="1" s="1"/>
  <c r="L565" i="1"/>
  <c r="M565" i="1" s="1"/>
  <c r="J565" i="1"/>
  <c r="K565" i="1" s="1"/>
  <c r="H565" i="1"/>
  <c r="I565" i="1" s="1"/>
  <c r="V565" i="1"/>
  <c r="W565" i="1" s="1"/>
  <c r="T565" i="1"/>
  <c r="U565" i="1" s="1"/>
  <c r="L486" i="1"/>
  <c r="M486" i="1" s="1"/>
  <c r="H486" i="1"/>
  <c r="J486" i="1"/>
  <c r="K486" i="1" s="1"/>
  <c r="P489" i="1"/>
  <c r="Q489" i="1" s="1"/>
  <c r="H489" i="1"/>
  <c r="I489" i="1" s="1"/>
  <c r="N489" i="1"/>
  <c r="O489" i="1" s="1"/>
  <c r="L489" i="1"/>
  <c r="M489" i="1" s="1"/>
  <c r="J489" i="1"/>
  <c r="K489" i="1" s="1"/>
  <c r="V489" i="1"/>
  <c r="W489" i="1" s="1"/>
  <c r="T489" i="1"/>
  <c r="U489" i="1" s="1"/>
  <c r="R489" i="1"/>
  <c r="S489" i="1" s="1"/>
  <c r="H498" i="1"/>
  <c r="L498" i="1"/>
  <c r="M498" i="1" s="1"/>
  <c r="J498" i="1"/>
  <c r="K498" i="1" s="1"/>
  <c r="N552" i="1"/>
  <c r="O552" i="1" s="1"/>
  <c r="P552" i="1"/>
  <c r="Q552" i="1" s="1"/>
  <c r="R552" i="1"/>
  <c r="S552" i="1" s="1"/>
  <c r="T552" i="1"/>
  <c r="U552" i="1" s="1"/>
  <c r="H552" i="1"/>
  <c r="I552" i="1" s="1"/>
  <c r="J552" i="1"/>
  <c r="K552" i="1" s="1"/>
  <c r="L552" i="1"/>
  <c r="M552" i="1" s="1"/>
  <c r="V552" i="1"/>
  <c r="W55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H100" i="1"/>
  <c r="I100" i="1" s="1"/>
  <c r="J100" i="1"/>
  <c r="K100" i="1" s="1"/>
  <c r="J101" i="1"/>
  <c r="K101" i="1" s="1"/>
  <c r="H101" i="1"/>
  <c r="I101" i="1" s="1"/>
  <c r="V101" i="1"/>
  <c r="W101" i="1" s="1"/>
  <c r="N101" i="1"/>
  <c r="O101" i="1" s="1"/>
  <c r="L101" i="1"/>
  <c r="M101" i="1" s="1"/>
  <c r="T101" i="1"/>
  <c r="U101" i="1" s="1"/>
  <c r="R101" i="1"/>
  <c r="S101" i="1" s="1"/>
  <c r="P101" i="1"/>
  <c r="Q101" i="1" s="1"/>
  <c r="L384" i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N305" i="1"/>
  <c r="L305" i="1"/>
  <c r="V305" i="1"/>
  <c r="T305" i="1"/>
  <c r="P305" i="1"/>
  <c r="R305" i="1"/>
  <c r="T444" i="1"/>
  <c r="U444" i="1" s="1"/>
  <c r="R444" i="1"/>
  <c r="S444" i="1" s="1"/>
  <c r="P444" i="1"/>
  <c r="Q444" i="1" s="1"/>
  <c r="N444" i="1"/>
  <c r="O444" i="1" s="1"/>
  <c r="L444" i="1"/>
  <c r="M444" i="1" s="1"/>
  <c r="J444" i="1"/>
  <c r="K444" i="1" s="1"/>
  <c r="V444" i="1"/>
  <c r="W444" i="1" s="1"/>
  <c r="F512" i="1"/>
  <c r="F511" i="1"/>
  <c r="F416" i="1"/>
  <c r="F413" i="1"/>
  <c r="F409" i="1"/>
  <c r="F402" i="1"/>
  <c r="F412" i="1"/>
  <c r="F392" i="1"/>
  <c r="F387" i="1"/>
  <c r="F312" i="1"/>
  <c r="F311" i="1"/>
  <c r="F310" i="1"/>
  <c r="F308" i="1"/>
  <c r="F320" i="1"/>
  <c r="F322" i="1"/>
  <c r="F324" i="1"/>
  <c r="F336" i="1"/>
  <c r="F314" i="1"/>
  <c r="F313" i="1"/>
  <c r="F326" i="1"/>
  <c r="F329" i="1"/>
  <c r="F330" i="1"/>
  <c r="F337" i="1"/>
  <c r="F370" i="1"/>
  <c r="F372" i="1"/>
  <c r="F379" i="1"/>
  <c r="F380" i="1"/>
  <c r="F339" i="1"/>
  <c r="F342" i="1"/>
  <c r="F345" i="1"/>
  <c r="F348" i="1"/>
  <c r="F367" i="1"/>
  <c r="F366" i="1"/>
  <c r="F335" i="1"/>
  <c r="F333" i="1"/>
  <c r="F309" i="1"/>
  <c r="F303" i="1"/>
  <c r="F205" i="1"/>
  <c r="N402" i="1" l="1"/>
  <c r="O402" i="1" s="1"/>
  <c r="L402" i="1"/>
  <c r="M402" i="1" s="1"/>
  <c r="J402" i="1"/>
  <c r="K402" i="1" s="1"/>
  <c r="V402" i="1"/>
  <c r="W402" i="1" s="1"/>
  <c r="H402" i="1"/>
  <c r="I402" i="1" s="1"/>
  <c r="T402" i="1"/>
  <c r="U402" i="1" s="1"/>
  <c r="R402" i="1"/>
  <c r="S402" i="1" s="1"/>
  <c r="P402" i="1"/>
  <c r="Q402" i="1" s="1"/>
  <c r="T511" i="1"/>
  <c r="U511" i="1" s="1"/>
  <c r="R511" i="1"/>
  <c r="S511" i="1" s="1"/>
  <c r="P511" i="1"/>
  <c r="Q511" i="1" s="1"/>
  <c r="H511" i="1"/>
  <c r="I511" i="1" s="1"/>
  <c r="N511" i="1"/>
  <c r="O511" i="1" s="1"/>
  <c r="L511" i="1"/>
  <c r="M511" i="1" s="1"/>
  <c r="V511" i="1"/>
  <c r="W511" i="1" s="1"/>
  <c r="J511" i="1"/>
  <c r="K511" i="1" s="1"/>
  <c r="H512" i="1"/>
  <c r="L512" i="1"/>
  <c r="M512" i="1" s="1"/>
  <c r="J512" i="1"/>
  <c r="K512" i="1" s="1"/>
  <c r="L370" i="1"/>
  <c r="M370" i="1" s="1"/>
  <c r="H370" i="1"/>
  <c r="I370" i="1" s="1"/>
  <c r="J370" i="1"/>
  <c r="K370" i="1" s="1"/>
  <c r="P205" i="1"/>
  <c r="Q205" i="1" s="1"/>
  <c r="N205" i="1"/>
  <c r="O205" i="1" s="1"/>
  <c r="L205" i="1"/>
  <c r="M205" i="1" s="1"/>
  <c r="R205" i="1"/>
  <c r="S205" i="1" s="1"/>
  <c r="J205" i="1"/>
  <c r="K205" i="1" s="1"/>
  <c r="H205" i="1"/>
  <c r="I205" i="1" s="1"/>
  <c r="V205" i="1"/>
  <c r="W205" i="1" s="1"/>
  <c r="T205" i="1"/>
  <c r="U205" i="1" s="1"/>
  <c r="L322" i="1"/>
  <c r="M322" i="1" s="1"/>
  <c r="V322" i="1"/>
  <c r="W322" i="1" s="1"/>
  <c r="T322" i="1"/>
  <c r="U322" i="1" s="1"/>
  <c r="R322" i="1"/>
  <c r="S322" i="1" s="1"/>
  <c r="N322" i="1"/>
  <c r="O322" i="1" s="1"/>
  <c r="P322" i="1"/>
  <c r="Q32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N303" i="1"/>
  <c r="O303" i="1" s="1"/>
  <c r="L303" i="1"/>
  <c r="M303" i="1" s="1"/>
  <c r="J303" i="1"/>
  <c r="K303" i="1" s="1"/>
  <c r="H303" i="1"/>
  <c r="I303" i="1" s="1"/>
  <c r="V303" i="1"/>
  <c r="W303" i="1" s="1"/>
  <c r="T303" i="1"/>
  <c r="U303" i="1" s="1"/>
  <c r="R303" i="1"/>
  <c r="S303" i="1" s="1"/>
  <c r="P303" i="1"/>
  <c r="Q303" i="1" s="1"/>
  <c r="L309" i="1"/>
  <c r="M309" i="1" s="1"/>
  <c r="V309" i="1"/>
  <c r="W309" i="1" s="1"/>
  <c r="T309" i="1"/>
  <c r="U309" i="1" s="1"/>
  <c r="R309" i="1"/>
  <c r="S309" i="1" s="1"/>
  <c r="P309" i="1"/>
  <c r="Q309" i="1" s="1"/>
  <c r="N309" i="1"/>
  <c r="O309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N333" i="1"/>
  <c r="O333" i="1" s="1"/>
  <c r="L333" i="1"/>
  <c r="M333" i="1" s="1"/>
  <c r="V333" i="1"/>
  <c r="W333" i="1" s="1"/>
  <c r="T333" i="1"/>
  <c r="U333" i="1" s="1"/>
  <c r="R333" i="1"/>
  <c r="S333" i="1" s="1"/>
  <c r="P333" i="1"/>
  <c r="Q333" i="1" s="1"/>
  <c r="T310" i="1"/>
  <c r="U310" i="1" s="1"/>
  <c r="R310" i="1"/>
  <c r="S310" i="1" s="1"/>
  <c r="P310" i="1"/>
  <c r="Q310" i="1" s="1"/>
  <c r="N310" i="1"/>
  <c r="O310" i="1" s="1"/>
  <c r="L310" i="1"/>
  <c r="M310" i="1" s="1"/>
  <c r="V310" i="1"/>
  <c r="W310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T367" i="1"/>
  <c r="U367" i="1" s="1"/>
  <c r="R367" i="1"/>
  <c r="S367" i="1" s="1"/>
  <c r="P367" i="1"/>
  <c r="Q367" i="1" s="1"/>
  <c r="N367" i="1"/>
  <c r="O367" i="1" s="1"/>
  <c r="L367" i="1"/>
  <c r="M367" i="1" s="1"/>
  <c r="V367" i="1"/>
  <c r="W367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T326" i="1"/>
  <c r="U326" i="1" s="1"/>
  <c r="R326" i="1"/>
  <c r="S326" i="1" s="1"/>
  <c r="P326" i="1"/>
  <c r="Q326" i="1" s="1"/>
  <c r="N326" i="1"/>
  <c r="O326" i="1" s="1"/>
  <c r="L326" i="1"/>
  <c r="M326" i="1" s="1"/>
  <c r="V326" i="1"/>
  <c r="W326" i="1" s="1"/>
  <c r="L387" i="1"/>
  <c r="M387" i="1" s="1"/>
  <c r="N387" i="1"/>
  <c r="O387" i="1" s="1"/>
  <c r="P387" i="1"/>
  <c r="Q387" i="1" s="1"/>
  <c r="R387" i="1"/>
  <c r="S387" i="1" s="1"/>
  <c r="T387" i="1"/>
  <c r="U387" i="1" s="1"/>
  <c r="V387" i="1"/>
  <c r="W387" i="1" s="1"/>
  <c r="P413" i="1"/>
  <c r="Q413" i="1" s="1"/>
  <c r="N413" i="1"/>
  <c r="O413" i="1" s="1"/>
  <c r="L413" i="1"/>
  <c r="M413" i="1" s="1"/>
  <c r="J413" i="1"/>
  <c r="K413" i="1" s="1"/>
  <c r="H413" i="1"/>
  <c r="I413" i="1" s="1"/>
  <c r="R413" i="1"/>
  <c r="S413" i="1" s="1"/>
  <c r="L379" i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V335" i="1"/>
  <c r="W335" i="1" s="1"/>
  <c r="T335" i="1"/>
  <c r="U335" i="1" s="1"/>
  <c r="R335" i="1"/>
  <c r="S335" i="1" s="1"/>
  <c r="P335" i="1"/>
  <c r="Q335" i="1" s="1"/>
  <c r="N335" i="1"/>
  <c r="O335" i="1" s="1"/>
  <c r="L335" i="1"/>
  <c r="M335" i="1" s="1"/>
  <c r="V392" i="1"/>
  <c r="W392" i="1" s="1"/>
  <c r="T392" i="1"/>
  <c r="U392" i="1" s="1"/>
  <c r="R392" i="1"/>
  <c r="S392" i="1" s="1"/>
  <c r="P392" i="1"/>
  <c r="Q392" i="1" s="1"/>
  <c r="N392" i="1"/>
  <c r="O392" i="1" s="1"/>
  <c r="L392" i="1"/>
  <c r="M392" i="1" s="1"/>
  <c r="J392" i="1"/>
  <c r="K392" i="1" s="1"/>
  <c r="H392" i="1"/>
  <c r="I392" i="1" s="1"/>
  <c r="N409" i="1"/>
  <c r="O409" i="1" s="1"/>
  <c r="L409" i="1"/>
  <c r="M409" i="1" s="1"/>
  <c r="J409" i="1"/>
  <c r="K409" i="1" s="1"/>
  <c r="P409" i="1"/>
  <c r="Q409" i="1" s="1"/>
  <c r="H409" i="1"/>
  <c r="I409" i="1" s="1"/>
  <c r="V409" i="1"/>
  <c r="W409" i="1" s="1"/>
  <c r="T409" i="1"/>
  <c r="U409" i="1" s="1"/>
  <c r="R409" i="1"/>
  <c r="S409" i="1" s="1"/>
  <c r="N416" i="1"/>
  <c r="R416" i="1"/>
  <c r="L416" i="1"/>
  <c r="J416" i="1"/>
  <c r="H416" i="1"/>
  <c r="V416" i="1"/>
  <c r="T416" i="1"/>
  <c r="P416" i="1"/>
  <c r="R312" i="1"/>
  <c r="S312" i="1" s="1"/>
  <c r="P312" i="1"/>
  <c r="Q312" i="1" s="1"/>
  <c r="N312" i="1"/>
  <c r="O312" i="1" s="1"/>
  <c r="L312" i="1"/>
  <c r="M312" i="1" s="1"/>
  <c r="V312" i="1"/>
  <c r="W312" i="1" s="1"/>
  <c r="T312" i="1"/>
  <c r="U312" i="1" s="1"/>
  <c r="T329" i="1"/>
  <c r="U329" i="1" s="1"/>
  <c r="R329" i="1"/>
  <c r="S329" i="1" s="1"/>
  <c r="P329" i="1"/>
  <c r="Q329" i="1" s="1"/>
  <c r="N329" i="1"/>
  <c r="O329" i="1" s="1"/>
  <c r="L329" i="1"/>
  <c r="M329" i="1" s="1"/>
  <c r="V329" i="1"/>
  <c r="W329" i="1" s="1"/>
  <c r="L383" i="1"/>
  <c r="M383" i="1" s="1"/>
  <c r="N383" i="1"/>
  <c r="O383" i="1" s="1"/>
  <c r="P383" i="1"/>
  <c r="Q383" i="1" s="1"/>
  <c r="R383" i="1"/>
  <c r="S383" i="1" s="1"/>
  <c r="T383" i="1"/>
  <c r="U383" i="1" s="1"/>
  <c r="V383" i="1"/>
  <c r="W383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L345" i="1"/>
  <c r="M345" i="1" s="1"/>
  <c r="V345" i="1"/>
  <c r="W345" i="1" s="1"/>
  <c r="T345" i="1"/>
  <c r="U345" i="1" s="1"/>
  <c r="R345" i="1"/>
  <c r="S345" i="1" s="1"/>
  <c r="P345" i="1"/>
  <c r="Q345" i="1" s="1"/>
  <c r="N345" i="1"/>
  <c r="O345" i="1" s="1"/>
  <c r="L314" i="1"/>
  <c r="M314" i="1" s="1"/>
  <c r="V314" i="1"/>
  <c r="W314" i="1" s="1"/>
  <c r="T314" i="1"/>
  <c r="U314" i="1" s="1"/>
  <c r="R314" i="1"/>
  <c r="S314" i="1" s="1"/>
  <c r="P314" i="1"/>
  <c r="Q314" i="1" s="1"/>
  <c r="N314" i="1"/>
  <c r="O314" i="1" s="1"/>
  <c r="H412" i="1"/>
  <c r="I412" i="1" s="1"/>
  <c r="V412" i="1"/>
  <c r="W412" i="1" s="1"/>
  <c r="T412" i="1"/>
  <c r="U412" i="1" s="1"/>
  <c r="R412" i="1"/>
  <c r="S412" i="1" s="1"/>
  <c r="P412" i="1"/>
  <c r="Q412" i="1" s="1"/>
  <c r="N412" i="1"/>
  <c r="O412" i="1" s="1"/>
  <c r="L412" i="1"/>
  <c r="M412" i="1" s="1"/>
  <c r="J412" i="1"/>
  <c r="K412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L380" i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V320" i="1"/>
  <c r="W320" i="1" s="1"/>
  <c r="T320" i="1"/>
  <c r="U320" i="1" s="1"/>
  <c r="R320" i="1"/>
  <c r="S320" i="1" s="1"/>
  <c r="P320" i="1"/>
  <c r="Q320" i="1" s="1"/>
  <c r="N320" i="1"/>
  <c r="O320" i="1" s="1"/>
  <c r="L320" i="1"/>
  <c r="M320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N342" i="1"/>
  <c r="O342" i="1" s="1"/>
  <c r="L342" i="1"/>
  <c r="M342" i="1" s="1"/>
  <c r="V342" i="1"/>
  <c r="W342" i="1" s="1"/>
  <c r="T342" i="1"/>
  <c r="U342" i="1" s="1"/>
  <c r="P342" i="1"/>
  <c r="Q342" i="1" s="1"/>
  <c r="R342" i="1"/>
  <c r="S342" i="1" s="1"/>
  <c r="T336" i="1"/>
  <c r="U336" i="1" s="1"/>
  <c r="R336" i="1"/>
  <c r="S336" i="1" s="1"/>
  <c r="P336" i="1"/>
  <c r="Q336" i="1" s="1"/>
  <c r="N336" i="1"/>
  <c r="O336" i="1" s="1"/>
  <c r="L336" i="1"/>
  <c r="M336" i="1" s="1"/>
  <c r="V336" i="1"/>
  <c r="W336" i="1" s="1"/>
  <c r="F285" i="1"/>
  <c r="H285" i="1" l="1"/>
  <c r="I285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F243" i="1"/>
  <c r="F234" i="1"/>
  <c r="F227" i="1"/>
  <c r="G278" i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R243" i="1" l="1"/>
  <c r="S243" i="1" s="1"/>
  <c r="P243" i="1"/>
  <c r="Q243" i="1" s="1"/>
  <c r="N243" i="1"/>
  <c r="O243" i="1" s="1"/>
  <c r="L243" i="1"/>
  <c r="M243" i="1" s="1"/>
  <c r="J243" i="1"/>
  <c r="K243" i="1" s="1"/>
  <c r="H243" i="1"/>
  <c r="I243" i="1" s="1"/>
  <c r="T243" i="1"/>
  <c r="U243" i="1" s="1"/>
  <c r="V243" i="1"/>
  <c r="W243" i="1" s="1"/>
  <c r="L234" i="1"/>
  <c r="M234" i="1" s="1"/>
  <c r="J234" i="1"/>
  <c r="K234" i="1" s="1"/>
  <c r="V234" i="1"/>
  <c r="W234" i="1" s="1"/>
  <c r="H234" i="1"/>
  <c r="I234" i="1" s="1"/>
  <c r="N234" i="1"/>
  <c r="O234" i="1" s="1"/>
  <c r="T234" i="1"/>
  <c r="U234" i="1" s="1"/>
  <c r="R234" i="1"/>
  <c r="S234" i="1" s="1"/>
  <c r="P234" i="1"/>
  <c r="Q234" i="1" s="1"/>
  <c r="H249" i="1"/>
  <c r="I249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J249" i="1"/>
  <c r="K249" i="1" s="1"/>
  <c r="H227" i="1"/>
  <c r="I227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69" i="1" l="1"/>
  <c r="F28" i="1"/>
  <c r="F186" i="1"/>
  <c r="F185" i="1"/>
  <c r="F266" i="1"/>
  <c r="F569" i="1"/>
  <c r="F255" i="1"/>
  <c r="F250" i="1"/>
  <c r="F451" i="1"/>
  <c r="F452" i="1"/>
  <c r="F248" i="1"/>
  <c r="F388" i="1"/>
  <c r="F265" i="1"/>
  <c r="F256" i="1"/>
  <c r="F404" i="1"/>
  <c r="F382" i="1"/>
  <c r="F414" i="1"/>
  <c r="F258" i="1"/>
  <c r="F381" i="1"/>
  <c r="F378" i="1"/>
  <c r="H452" i="1" l="1"/>
  <c r="I452" i="1" s="1"/>
  <c r="L452" i="1"/>
  <c r="M452" i="1" s="1"/>
  <c r="J452" i="1"/>
  <c r="K452" i="1" s="1"/>
  <c r="V451" i="1"/>
  <c r="W451" i="1" s="1"/>
  <c r="N451" i="1"/>
  <c r="O451" i="1" s="1"/>
  <c r="T451" i="1"/>
  <c r="U451" i="1" s="1"/>
  <c r="R451" i="1"/>
  <c r="S451" i="1" s="1"/>
  <c r="P451" i="1"/>
  <c r="Q451" i="1" s="1"/>
  <c r="J451" i="1"/>
  <c r="K451" i="1" s="1"/>
  <c r="H451" i="1"/>
  <c r="I451" i="1" s="1"/>
  <c r="L451" i="1"/>
  <c r="M451" i="1" s="1"/>
  <c r="P569" i="1"/>
  <c r="Q569" i="1" s="1"/>
  <c r="N569" i="1"/>
  <c r="O569" i="1" s="1"/>
  <c r="L569" i="1"/>
  <c r="M569" i="1" s="1"/>
  <c r="J569" i="1"/>
  <c r="K569" i="1" s="1"/>
  <c r="H569" i="1"/>
  <c r="I569" i="1" s="1"/>
  <c r="V569" i="1"/>
  <c r="W569" i="1" s="1"/>
  <c r="T569" i="1"/>
  <c r="U569" i="1" s="1"/>
  <c r="R569" i="1"/>
  <c r="S569" i="1" s="1"/>
  <c r="N167" i="1"/>
  <c r="O167" i="1" s="1"/>
  <c r="J167" i="1"/>
  <c r="K167" i="1" s="1"/>
  <c r="H167" i="1"/>
  <c r="I167" i="1" s="1"/>
  <c r="P167" i="1"/>
  <c r="Q167" i="1" s="1"/>
  <c r="L167" i="1"/>
  <c r="M167" i="1" s="1"/>
  <c r="V167" i="1"/>
  <c r="W167" i="1" s="1"/>
  <c r="T167" i="1"/>
  <c r="U167" i="1" s="1"/>
  <c r="R167" i="1"/>
  <c r="S167" i="1" s="1"/>
  <c r="P251" i="1"/>
  <c r="Q251" i="1" s="1"/>
  <c r="N251" i="1"/>
  <c r="O251" i="1" s="1"/>
  <c r="L251" i="1"/>
  <c r="M251" i="1" s="1"/>
  <c r="J251" i="1"/>
  <c r="K251" i="1" s="1"/>
  <c r="R251" i="1"/>
  <c r="S251" i="1" s="1"/>
  <c r="H251" i="1"/>
  <c r="I251" i="1" s="1"/>
  <c r="V251" i="1"/>
  <c r="W251" i="1" s="1"/>
  <c r="T251" i="1"/>
  <c r="U251" i="1" s="1"/>
  <c r="V166" i="1"/>
  <c r="W166" i="1" s="1"/>
  <c r="T166" i="1"/>
  <c r="U166" i="1" s="1"/>
  <c r="R166" i="1"/>
  <c r="S166" i="1" s="1"/>
  <c r="P166" i="1"/>
  <c r="Q166" i="1" s="1"/>
  <c r="H166" i="1"/>
  <c r="N166" i="1"/>
  <c r="O166" i="1" s="1"/>
  <c r="L166" i="1"/>
  <c r="M166" i="1" s="1"/>
  <c r="J166" i="1"/>
  <c r="K166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258" i="1"/>
  <c r="W258" i="1" s="1"/>
  <c r="T258" i="1"/>
  <c r="U258" i="1" s="1"/>
  <c r="R258" i="1"/>
  <c r="S258" i="1" s="1"/>
  <c r="P258" i="1"/>
  <c r="Q258" i="1" s="1"/>
  <c r="H258" i="1"/>
  <c r="I258" i="1" s="1"/>
  <c r="N258" i="1"/>
  <c r="O258" i="1" s="1"/>
  <c r="L258" i="1"/>
  <c r="M258" i="1" s="1"/>
  <c r="J258" i="1"/>
  <c r="K258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R265" i="1"/>
  <c r="S265" i="1" s="1"/>
  <c r="P265" i="1"/>
  <c r="Q265" i="1" s="1"/>
  <c r="T265" i="1"/>
  <c r="U265" i="1" s="1"/>
  <c r="N265" i="1"/>
  <c r="O265" i="1" s="1"/>
  <c r="L265" i="1"/>
  <c r="M265" i="1" s="1"/>
  <c r="J265" i="1"/>
  <c r="K265" i="1" s="1"/>
  <c r="V265" i="1"/>
  <c r="W265" i="1" s="1"/>
  <c r="H265" i="1"/>
  <c r="I265" i="1" s="1"/>
  <c r="V252" i="1"/>
  <c r="W252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L250" i="1"/>
  <c r="M250" i="1" s="1"/>
  <c r="J250" i="1"/>
  <c r="K250" i="1" s="1"/>
  <c r="H250" i="1"/>
  <c r="I250" i="1" s="1"/>
  <c r="N250" i="1"/>
  <c r="O250" i="1" s="1"/>
  <c r="V250" i="1"/>
  <c r="W250" i="1" s="1"/>
  <c r="T250" i="1"/>
  <c r="U250" i="1" s="1"/>
  <c r="R250" i="1"/>
  <c r="S250" i="1" s="1"/>
  <c r="P250" i="1"/>
  <c r="Q250" i="1" s="1"/>
  <c r="N256" i="1"/>
  <c r="O256" i="1" s="1"/>
  <c r="L256" i="1"/>
  <c r="M256" i="1" s="1"/>
  <c r="J256" i="1"/>
  <c r="K256" i="1" s="1"/>
  <c r="H256" i="1"/>
  <c r="I256" i="1" s="1"/>
  <c r="V256" i="1"/>
  <c r="W256" i="1" s="1"/>
  <c r="P256" i="1"/>
  <c r="Q256" i="1" s="1"/>
  <c r="T256" i="1"/>
  <c r="U256" i="1" s="1"/>
  <c r="R256" i="1"/>
  <c r="S256" i="1" s="1"/>
  <c r="R266" i="1"/>
  <c r="S266" i="1" s="1"/>
  <c r="P266" i="1"/>
  <c r="Q266" i="1" s="1"/>
  <c r="N266" i="1"/>
  <c r="O266" i="1" s="1"/>
  <c r="L266" i="1"/>
  <c r="M266" i="1" s="1"/>
  <c r="J266" i="1"/>
  <c r="K266" i="1" s="1"/>
  <c r="H266" i="1"/>
  <c r="I266" i="1" s="1"/>
  <c r="V266" i="1"/>
  <c r="W266" i="1" s="1"/>
  <c r="T266" i="1"/>
  <c r="U266" i="1" s="1"/>
  <c r="N185" i="1"/>
  <c r="O185" i="1" s="1"/>
  <c r="L185" i="1"/>
  <c r="M185" i="1" s="1"/>
  <c r="V185" i="1"/>
  <c r="W185" i="1" s="1"/>
  <c r="T185" i="1"/>
  <c r="U185" i="1" s="1"/>
  <c r="P185" i="1"/>
  <c r="Q185" i="1" s="1"/>
  <c r="R185" i="1"/>
  <c r="S185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H414" i="1"/>
  <c r="I414" i="1" s="1"/>
  <c r="L414" i="1"/>
  <c r="M414" i="1" s="1"/>
  <c r="V414" i="1"/>
  <c r="W414" i="1" s="1"/>
  <c r="T414" i="1"/>
  <c r="U414" i="1" s="1"/>
  <c r="R414" i="1"/>
  <c r="S414" i="1" s="1"/>
  <c r="P414" i="1"/>
  <c r="Q414" i="1" s="1"/>
  <c r="N414" i="1"/>
  <c r="O414" i="1" s="1"/>
  <c r="J414" i="1"/>
  <c r="K414" i="1" s="1"/>
  <c r="H404" i="1"/>
  <c r="I404" i="1" s="1"/>
  <c r="L404" i="1"/>
  <c r="M404" i="1" s="1"/>
  <c r="V404" i="1"/>
  <c r="W404" i="1" s="1"/>
  <c r="T404" i="1"/>
  <c r="U404" i="1" s="1"/>
  <c r="R404" i="1"/>
  <c r="S404" i="1" s="1"/>
  <c r="P404" i="1"/>
  <c r="Q404" i="1" s="1"/>
  <c r="N404" i="1"/>
  <c r="O404" i="1" s="1"/>
  <c r="J404" i="1"/>
  <c r="K404" i="1" s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L381" i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L378" i="1"/>
  <c r="M378" i="1" s="1"/>
  <c r="N378" i="1"/>
  <c r="O378" i="1" s="1"/>
  <c r="P378" i="1"/>
  <c r="Q378" i="1" s="1"/>
  <c r="R378" i="1"/>
  <c r="S378" i="1" s="1"/>
  <c r="T378" i="1"/>
  <c r="U378" i="1" s="1"/>
  <c r="V378" i="1"/>
  <c r="W378" i="1" s="1"/>
  <c r="T369" i="1"/>
  <c r="U369" i="1" s="1"/>
  <c r="R369" i="1"/>
  <c r="S369" i="1" s="1"/>
  <c r="P369" i="1"/>
  <c r="Q369" i="1" s="1"/>
  <c r="N369" i="1"/>
  <c r="O369" i="1" s="1"/>
  <c r="L369" i="1"/>
  <c r="M369" i="1" s="1"/>
  <c r="V369" i="1"/>
  <c r="W369" i="1" s="1"/>
  <c r="G186" i="1"/>
  <c r="G266" i="1"/>
  <c r="G569" i="1"/>
  <c r="J259" i="1" l="1"/>
  <c r="K259" i="1" s="1"/>
  <c r="H259" i="1"/>
  <c r="I259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425" i="1"/>
  <c r="K425" i="1" s="1"/>
  <c r="P425" i="1"/>
  <c r="R425" i="1"/>
  <c r="T425" i="1"/>
  <c r="V425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J140" i="1"/>
  <c r="V140" i="1"/>
  <c r="T140" i="1"/>
  <c r="R140" i="1"/>
  <c r="P140" i="1"/>
  <c r="N140" i="1"/>
  <c r="L140" i="1"/>
  <c r="N207" i="1"/>
  <c r="O207" i="1" s="1"/>
  <c r="L207" i="1"/>
  <c r="M207" i="1" s="1"/>
  <c r="J207" i="1"/>
  <c r="K207" i="1" s="1"/>
  <c r="F637" i="1"/>
  <c r="J637" i="1" l="1"/>
  <c r="K637" i="1" s="1"/>
  <c r="V637" i="1"/>
  <c r="W637" i="1" s="1"/>
  <c r="N637" i="1"/>
  <c r="O637" i="1" s="1"/>
  <c r="L637" i="1"/>
  <c r="M637" i="1" s="1"/>
  <c r="T637" i="1"/>
  <c r="U637" i="1" s="1"/>
  <c r="R637" i="1"/>
  <c r="S637" i="1" s="1"/>
  <c r="P637" i="1"/>
  <c r="Q637" i="1" s="1"/>
  <c r="F542" i="1"/>
  <c r="F541" i="1"/>
  <c r="F506" i="1"/>
  <c r="F505" i="1"/>
  <c r="F504" i="1"/>
  <c r="F502" i="1"/>
  <c r="F501" i="1"/>
  <c r="F500" i="1"/>
  <c r="F492" i="1"/>
  <c r="F491" i="1"/>
  <c r="V508" i="1"/>
  <c r="W508" i="1" s="1"/>
  <c r="T508" i="1"/>
  <c r="U508" i="1" s="1"/>
  <c r="R508" i="1"/>
  <c r="S508" i="1" s="1"/>
  <c r="P508" i="1"/>
  <c r="Q508" i="1" s="1"/>
  <c r="N508" i="1"/>
  <c r="O508" i="1" s="1"/>
  <c r="I508" i="1"/>
  <c r="V482" i="1"/>
  <c r="F549" i="1"/>
  <c r="F551" i="1"/>
  <c r="V178" i="1"/>
  <c r="T178" i="1"/>
  <c r="R178" i="1"/>
  <c r="P178" i="1"/>
  <c r="N178" i="1"/>
  <c r="L178" i="1"/>
  <c r="L500" i="1" l="1"/>
  <c r="M500" i="1" s="1"/>
  <c r="H500" i="1"/>
  <c r="J500" i="1"/>
  <c r="K500" i="1" s="1"/>
  <c r="N549" i="1"/>
  <c r="O549" i="1" s="1"/>
  <c r="P549" i="1"/>
  <c r="Q549" i="1" s="1"/>
  <c r="R549" i="1"/>
  <c r="S549" i="1" s="1"/>
  <c r="T549" i="1"/>
  <c r="U549" i="1" s="1"/>
  <c r="H549" i="1"/>
  <c r="I549" i="1" s="1"/>
  <c r="L549" i="1"/>
  <c r="M549" i="1" s="1"/>
  <c r="J549" i="1"/>
  <c r="K549" i="1" s="1"/>
  <c r="V549" i="1"/>
  <c r="W549" i="1" s="1"/>
  <c r="V504" i="1"/>
  <c r="W504" i="1" s="1"/>
  <c r="T504" i="1"/>
  <c r="U504" i="1" s="1"/>
  <c r="R504" i="1"/>
  <c r="S504" i="1" s="1"/>
  <c r="N504" i="1"/>
  <c r="O504" i="1" s="1"/>
  <c r="H504" i="1"/>
  <c r="I504" i="1" s="1"/>
  <c r="L504" i="1"/>
  <c r="M504" i="1" s="1"/>
  <c r="J504" i="1"/>
  <c r="K504" i="1" s="1"/>
  <c r="P504" i="1"/>
  <c r="Q504" i="1" s="1"/>
  <c r="N551" i="1"/>
  <c r="O551" i="1" s="1"/>
  <c r="P551" i="1"/>
  <c r="Q551" i="1" s="1"/>
  <c r="R551" i="1"/>
  <c r="S551" i="1" s="1"/>
  <c r="T551" i="1"/>
  <c r="U551" i="1" s="1"/>
  <c r="H551" i="1"/>
  <c r="I551" i="1" s="1"/>
  <c r="J551" i="1"/>
  <c r="K551" i="1" s="1"/>
  <c r="L551" i="1"/>
  <c r="M551" i="1" s="1"/>
  <c r="V551" i="1"/>
  <c r="W551" i="1" s="1"/>
  <c r="L505" i="1"/>
  <c r="M505" i="1" s="1"/>
  <c r="H505" i="1"/>
  <c r="J505" i="1"/>
  <c r="K505" i="1" s="1"/>
  <c r="L492" i="1"/>
  <c r="M492" i="1" s="1"/>
  <c r="J492" i="1"/>
  <c r="K492" i="1" s="1"/>
  <c r="H492" i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L506" i="1"/>
  <c r="M506" i="1" s="1"/>
  <c r="J506" i="1"/>
  <c r="K506" i="1" s="1"/>
  <c r="V506" i="1"/>
  <c r="W506" i="1" s="1"/>
  <c r="H506" i="1"/>
  <c r="I506" i="1" s="1"/>
  <c r="R506" i="1"/>
  <c r="S506" i="1" s="1"/>
  <c r="P506" i="1"/>
  <c r="Q506" i="1" s="1"/>
  <c r="T506" i="1"/>
  <c r="U506" i="1" s="1"/>
  <c r="N506" i="1"/>
  <c r="O506" i="1" s="1"/>
  <c r="L502" i="1"/>
  <c r="M502" i="1" s="1"/>
  <c r="J502" i="1"/>
  <c r="K502" i="1" s="1"/>
  <c r="H502" i="1"/>
  <c r="P541" i="1"/>
  <c r="Q541" i="1" s="1"/>
  <c r="R541" i="1"/>
  <c r="S541" i="1" s="1"/>
  <c r="T541" i="1"/>
  <c r="U541" i="1" s="1"/>
  <c r="V541" i="1"/>
  <c r="W541" i="1" s="1"/>
  <c r="J541" i="1"/>
  <c r="K541" i="1" s="1"/>
  <c r="L541" i="1"/>
  <c r="M541" i="1" s="1"/>
  <c r="N541" i="1"/>
  <c r="O541" i="1" s="1"/>
  <c r="H541" i="1"/>
  <c r="I541" i="1" s="1"/>
  <c r="H491" i="1"/>
  <c r="I491" i="1" s="1"/>
  <c r="P491" i="1"/>
  <c r="Q491" i="1" s="1"/>
  <c r="N491" i="1"/>
  <c r="O491" i="1" s="1"/>
  <c r="L491" i="1"/>
  <c r="M491" i="1" s="1"/>
  <c r="J491" i="1"/>
  <c r="K491" i="1" s="1"/>
  <c r="V491" i="1"/>
  <c r="W491" i="1" s="1"/>
  <c r="T491" i="1"/>
  <c r="U491" i="1" s="1"/>
  <c r="R491" i="1"/>
  <c r="S491" i="1" s="1"/>
  <c r="P542" i="1"/>
  <c r="Q542" i="1" s="1"/>
  <c r="R542" i="1"/>
  <c r="S542" i="1" s="1"/>
  <c r="T542" i="1"/>
  <c r="U542" i="1" s="1"/>
  <c r="V542" i="1"/>
  <c r="W542" i="1" s="1"/>
  <c r="H542" i="1"/>
  <c r="I542" i="1" s="1"/>
  <c r="J542" i="1"/>
  <c r="K542" i="1" s="1"/>
  <c r="L542" i="1"/>
  <c r="M542" i="1" s="1"/>
  <c r="N542" i="1"/>
  <c r="O542" i="1" s="1"/>
  <c r="N482" i="1"/>
  <c r="P482" i="1"/>
  <c r="R482" i="1"/>
  <c r="T482" i="1"/>
  <c r="G549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H231" i="1" l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G241" i="1"/>
  <c r="G231" i="1"/>
  <c r="G392" i="1"/>
  <c r="W225" i="1" l="1"/>
  <c r="U225" i="1"/>
  <c r="S225" i="1"/>
  <c r="Q225" i="1"/>
  <c r="O225" i="1"/>
  <c r="M225" i="1"/>
  <c r="K225" i="1"/>
  <c r="I225" i="1"/>
  <c r="W184" i="1" l="1"/>
  <c r="U184" i="1"/>
  <c r="S184" i="1"/>
  <c r="Q184" i="1"/>
  <c r="O184" i="1"/>
  <c r="M184" i="1"/>
  <c r="T148" i="1" l="1"/>
  <c r="V148" i="1"/>
  <c r="R148" i="1"/>
  <c r="P110" i="1"/>
  <c r="Q110" i="1" s="1"/>
  <c r="N110" i="1"/>
  <c r="O110" i="1" s="1"/>
  <c r="P109" i="1"/>
  <c r="N109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73" i="1" l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R269" i="1"/>
  <c r="T269" i="1"/>
  <c r="V269" i="1"/>
  <c r="P269" i="1"/>
  <c r="N269" i="1"/>
  <c r="W456" i="1"/>
  <c r="O456" i="1"/>
  <c r="V28" i="1" l="1"/>
  <c r="T28" i="1"/>
  <c r="R28" i="1"/>
  <c r="N28" i="1"/>
  <c r="P28" i="1"/>
  <c r="L28" i="1"/>
  <c r="K358" i="1"/>
  <c r="G358" i="1"/>
  <c r="W425" i="1"/>
  <c r="U425" i="1"/>
  <c r="S425" i="1"/>
  <c r="Q425" i="1"/>
  <c r="N425" i="1"/>
  <c r="O425" i="1" s="1"/>
  <c r="M425" i="1"/>
  <c r="V426" i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J426" i="1"/>
  <c r="K426" i="1" s="1"/>
  <c r="G426" i="1"/>
  <c r="G427" i="1"/>
  <c r="G425" i="1"/>
  <c r="S416" i="1" l="1"/>
  <c r="Q416" i="1"/>
  <c r="M416" i="1"/>
  <c r="K416" i="1"/>
  <c r="W416" i="1"/>
  <c r="U416" i="1"/>
  <c r="O416" i="1"/>
  <c r="G416" i="1"/>
  <c r="I416" i="1"/>
  <c r="G430" i="1" l="1"/>
  <c r="G350" i="1" l="1"/>
  <c r="G356" i="1"/>
  <c r="G353" i="1"/>
  <c r="G303" i="1"/>
  <c r="W10" i="1" l="1"/>
  <c r="U10" i="1"/>
  <c r="S10" i="1"/>
  <c r="Q10" i="1"/>
  <c r="O10" i="1"/>
  <c r="F346" i="1" l="1"/>
  <c r="F438" i="1"/>
  <c r="W449" i="1"/>
  <c r="U449" i="1"/>
  <c r="S449" i="1"/>
  <c r="Q449" i="1"/>
  <c r="O449" i="1"/>
  <c r="J438" i="1" l="1"/>
  <c r="K438" i="1" s="1"/>
  <c r="H438" i="1"/>
  <c r="I438" i="1" s="1"/>
  <c r="V438" i="1"/>
  <c r="W438" i="1" s="1"/>
  <c r="R438" i="1"/>
  <c r="S438" i="1" s="1"/>
  <c r="P438" i="1"/>
  <c r="Q438" i="1" s="1"/>
  <c r="N438" i="1"/>
  <c r="O438" i="1" s="1"/>
  <c r="T438" i="1"/>
  <c r="U438" i="1" s="1"/>
  <c r="L438" i="1"/>
  <c r="M438" i="1" s="1"/>
  <c r="N346" i="1"/>
  <c r="O346" i="1" s="1"/>
  <c r="L346" i="1"/>
  <c r="M346" i="1" s="1"/>
  <c r="V346" i="1"/>
  <c r="W346" i="1" s="1"/>
  <c r="T346" i="1"/>
  <c r="U346" i="1" s="1"/>
  <c r="R346" i="1"/>
  <c r="S346" i="1" s="1"/>
  <c r="P346" i="1"/>
  <c r="Q346" i="1" s="1"/>
  <c r="L129" i="1"/>
  <c r="M129" i="1" s="1"/>
  <c r="N129" i="1"/>
  <c r="O129" i="1" s="1"/>
  <c r="J129" i="1"/>
  <c r="K129" i="1" s="1"/>
  <c r="P129" i="1"/>
  <c r="Q129" i="1" s="1"/>
  <c r="V129" i="1"/>
  <c r="W129" i="1" s="1"/>
  <c r="T129" i="1"/>
  <c r="U129" i="1" s="1"/>
  <c r="R129" i="1"/>
  <c r="S129" i="1" s="1"/>
  <c r="G346" i="1"/>
  <c r="G252" i="1"/>
  <c r="G438" i="1"/>
  <c r="G129" i="1"/>
  <c r="G455" i="1"/>
  <c r="G352" i="1" l="1"/>
  <c r="G197" i="1"/>
  <c r="F648" i="1" l="1"/>
  <c r="G292" i="1" l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J148" i="1" l="1"/>
  <c r="L148" i="1"/>
  <c r="N148" i="1"/>
  <c r="P148" i="1"/>
  <c r="G200" i="1" l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76" i="1"/>
  <c r="F293" i="1"/>
  <c r="R476" i="1" l="1"/>
  <c r="S476" i="1" s="1"/>
  <c r="P476" i="1"/>
  <c r="Q476" i="1" s="1"/>
  <c r="N476" i="1"/>
  <c r="O476" i="1" s="1"/>
  <c r="L476" i="1"/>
  <c r="M476" i="1" s="1"/>
  <c r="J476" i="1"/>
  <c r="K476" i="1" s="1"/>
  <c r="H476" i="1"/>
  <c r="I476" i="1" s="1"/>
  <c r="V476" i="1"/>
  <c r="W476" i="1" s="1"/>
  <c r="T476" i="1"/>
  <c r="U476" i="1" s="1"/>
  <c r="P293" i="1"/>
  <c r="Q293" i="1" s="1"/>
  <c r="N293" i="1"/>
  <c r="O293" i="1" s="1"/>
  <c r="L293" i="1"/>
  <c r="M293" i="1" s="1"/>
  <c r="J293" i="1"/>
  <c r="K293" i="1" s="1"/>
  <c r="H293" i="1"/>
  <c r="I293" i="1" s="1"/>
  <c r="V293" i="1"/>
  <c r="W293" i="1" s="1"/>
  <c r="T293" i="1"/>
  <c r="U293" i="1" s="1"/>
  <c r="R293" i="1"/>
  <c r="S293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P405" i="1"/>
  <c r="Q405" i="1" s="1"/>
  <c r="T405" i="1"/>
  <c r="U405" i="1" s="1"/>
  <c r="N405" i="1"/>
  <c r="O405" i="1" s="1"/>
  <c r="L405" i="1"/>
  <c r="M405" i="1" s="1"/>
  <c r="J405" i="1"/>
  <c r="K405" i="1" s="1"/>
  <c r="H405" i="1"/>
  <c r="I405" i="1" s="1"/>
  <c r="V405" i="1"/>
  <c r="W405" i="1" s="1"/>
  <c r="R405" i="1"/>
  <c r="S405" i="1" s="1"/>
  <c r="G293" i="1"/>
  <c r="G248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8" i="1" l="1"/>
  <c r="G255" i="1"/>
  <c r="F553" i="1" l="1"/>
  <c r="F543" i="1"/>
  <c r="F334" i="1"/>
  <c r="R543" i="1" l="1"/>
  <c r="S543" i="1" s="1"/>
  <c r="T543" i="1"/>
  <c r="U543" i="1" s="1"/>
  <c r="V543" i="1"/>
  <c r="W543" i="1" s="1"/>
  <c r="H543" i="1"/>
  <c r="I543" i="1" s="1"/>
  <c r="L543" i="1"/>
  <c r="M543" i="1" s="1"/>
  <c r="N543" i="1"/>
  <c r="O543" i="1" s="1"/>
  <c r="J543" i="1"/>
  <c r="K543" i="1" s="1"/>
  <c r="P543" i="1"/>
  <c r="Q543" i="1" s="1"/>
  <c r="N553" i="1"/>
  <c r="O553" i="1" s="1"/>
  <c r="P553" i="1"/>
  <c r="Q553" i="1" s="1"/>
  <c r="R553" i="1"/>
  <c r="S553" i="1" s="1"/>
  <c r="T553" i="1"/>
  <c r="U553" i="1" s="1"/>
  <c r="H553" i="1"/>
  <c r="I553" i="1" s="1"/>
  <c r="L553" i="1"/>
  <c r="M553" i="1" s="1"/>
  <c r="J553" i="1"/>
  <c r="K553" i="1" s="1"/>
  <c r="V553" i="1"/>
  <c r="W553" i="1" s="1"/>
  <c r="T334" i="1"/>
  <c r="U334" i="1" s="1"/>
  <c r="R334" i="1"/>
  <c r="S334" i="1" s="1"/>
  <c r="P334" i="1"/>
  <c r="Q334" i="1" s="1"/>
  <c r="N334" i="1"/>
  <c r="O334" i="1" s="1"/>
  <c r="L334" i="1"/>
  <c r="M334" i="1" s="1"/>
  <c r="V334" i="1"/>
  <c r="W334" i="1" s="1"/>
  <c r="I490" i="1"/>
  <c r="R490" i="1"/>
  <c r="S490" i="1" s="1"/>
  <c r="N490" i="1"/>
  <c r="O490" i="1" s="1"/>
  <c r="V490" i="1"/>
  <c r="W490" i="1" s="1"/>
  <c r="T490" i="1"/>
  <c r="U490" i="1" s="1"/>
  <c r="P490" i="1"/>
  <c r="Q490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53" i="1" l="1"/>
  <c r="G288" i="1"/>
  <c r="G61" i="1" l="1"/>
  <c r="V343" i="1" l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G548" i="1"/>
  <c r="L14" i="1" l="1"/>
  <c r="H14" i="1"/>
  <c r="J14" i="1"/>
  <c r="T14" i="1"/>
  <c r="R14" i="1"/>
  <c r="P14" i="1"/>
  <c r="N14" i="1"/>
  <c r="R406" i="1" l="1"/>
  <c r="S406" i="1" s="1"/>
  <c r="P406" i="1"/>
  <c r="Q406" i="1" s="1"/>
  <c r="N406" i="1"/>
  <c r="O406" i="1" s="1"/>
  <c r="L406" i="1"/>
  <c r="M406" i="1" s="1"/>
  <c r="V406" i="1"/>
  <c r="W406" i="1" s="1"/>
  <c r="J406" i="1"/>
  <c r="K406" i="1" s="1"/>
  <c r="H406" i="1"/>
  <c r="I406" i="1" s="1"/>
  <c r="T406" i="1"/>
  <c r="U406" i="1" s="1"/>
  <c r="F495" i="1"/>
  <c r="F496" i="1"/>
  <c r="H496" i="1" l="1"/>
  <c r="L496" i="1"/>
  <c r="M496" i="1" s="1"/>
  <c r="J496" i="1"/>
  <c r="K496" i="1" s="1"/>
  <c r="P495" i="1"/>
  <c r="Q495" i="1" s="1"/>
  <c r="N495" i="1"/>
  <c r="O495" i="1" s="1"/>
  <c r="L495" i="1"/>
  <c r="M495" i="1" s="1"/>
  <c r="V495" i="1"/>
  <c r="W495" i="1" s="1"/>
  <c r="T495" i="1"/>
  <c r="U495" i="1" s="1"/>
  <c r="H495" i="1"/>
  <c r="I495" i="1" s="1"/>
  <c r="R495" i="1"/>
  <c r="S495" i="1" s="1"/>
  <c r="J495" i="1"/>
  <c r="K495" i="1" s="1"/>
  <c r="R496" i="1"/>
  <c r="S496" i="1" s="1"/>
  <c r="V496" i="1"/>
  <c r="W496" i="1" s="1"/>
  <c r="P496" i="1"/>
  <c r="Q496" i="1" s="1"/>
  <c r="N496" i="1"/>
  <c r="O496" i="1" s="1"/>
  <c r="T496" i="1"/>
  <c r="U496" i="1" s="1"/>
  <c r="I496" i="1"/>
  <c r="G496" i="1"/>
  <c r="G495" i="1"/>
  <c r="F410" i="1" l="1"/>
  <c r="F411" i="1"/>
  <c r="V411" i="1" l="1"/>
  <c r="W411" i="1" s="1"/>
  <c r="T411" i="1"/>
  <c r="U411" i="1" s="1"/>
  <c r="R411" i="1"/>
  <c r="S411" i="1" s="1"/>
  <c r="P411" i="1"/>
  <c r="Q411" i="1" s="1"/>
  <c r="N411" i="1"/>
  <c r="O411" i="1" s="1"/>
  <c r="L411" i="1"/>
  <c r="M411" i="1" s="1"/>
  <c r="J411" i="1"/>
  <c r="K411" i="1" s="1"/>
  <c r="H411" i="1"/>
  <c r="I411" i="1" s="1"/>
  <c r="P410" i="1"/>
  <c r="Q410" i="1" s="1"/>
  <c r="N410" i="1"/>
  <c r="O410" i="1" s="1"/>
  <c r="L410" i="1"/>
  <c r="M410" i="1" s="1"/>
  <c r="J410" i="1"/>
  <c r="K410" i="1" s="1"/>
  <c r="H410" i="1"/>
  <c r="I410" i="1" s="1"/>
  <c r="T410" i="1"/>
  <c r="U410" i="1" s="1"/>
  <c r="V410" i="1"/>
  <c r="W410" i="1" s="1"/>
  <c r="R410" i="1"/>
  <c r="S410" i="1" s="1"/>
  <c r="G411" i="1"/>
  <c r="H655" i="1" l="1"/>
  <c r="I655" i="1" s="1"/>
  <c r="H656" i="1"/>
  <c r="I656" i="1" s="1"/>
  <c r="T656" i="1" l="1"/>
  <c r="U656" i="1" s="1"/>
  <c r="R656" i="1"/>
  <c r="S656" i="1" s="1"/>
  <c r="P656" i="1"/>
  <c r="Q656" i="1" s="1"/>
  <c r="N656" i="1"/>
  <c r="O656" i="1" s="1"/>
  <c r="L656" i="1"/>
  <c r="M656" i="1" s="1"/>
  <c r="J656" i="1"/>
  <c r="K656" i="1" s="1"/>
  <c r="G656" i="1"/>
  <c r="F524" i="1" l="1"/>
  <c r="V524" i="1" l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G524" i="1"/>
  <c r="F610" i="1" l="1"/>
  <c r="J610" i="1" l="1"/>
  <c r="L610" i="1"/>
  <c r="N610" i="1"/>
  <c r="P610" i="1"/>
  <c r="R610" i="1"/>
  <c r="H610" i="1"/>
  <c r="T610" i="1"/>
  <c r="V610" i="1"/>
  <c r="W610" i="1" s="1"/>
  <c r="M610" i="1" l="1"/>
  <c r="O610" i="1"/>
  <c r="G610" i="1"/>
  <c r="Q610" i="1"/>
  <c r="S610" i="1"/>
  <c r="I610" i="1"/>
  <c r="U610" i="1"/>
  <c r="K610" i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G534" i="1" l="1"/>
  <c r="G568" i="1" l="1"/>
  <c r="G567" i="1"/>
  <c r="V645" i="1" l="1"/>
  <c r="W645" i="1" s="1"/>
  <c r="T645" i="1"/>
  <c r="U645" i="1" s="1"/>
  <c r="R645" i="1"/>
  <c r="S645" i="1" s="1"/>
  <c r="P645" i="1"/>
  <c r="Q645" i="1" s="1"/>
  <c r="N645" i="1"/>
  <c r="O645" i="1" s="1"/>
  <c r="L645" i="1"/>
  <c r="M645" i="1" s="1"/>
  <c r="J645" i="1"/>
  <c r="K645" i="1" s="1"/>
  <c r="H645" i="1"/>
  <c r="I645" i="1" s="1"/>
  <c r="V644" i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H644" i="1"/>
  <c r="I644" i="1" s="1"/>
  <c r="F571" i="1" l="1"/>
  <c r="T571" i="1" l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1" i="1"/>
  <c r="W571" i="1" s="1"/>
  <c r="H571" i="1"/>
  <c r="I571" i="1" s="1"/>
  <c r="G571" i="1"/>
  <c r="G566" i="1"/>
  <c r="V620" i="1"/>
  <c r="P620" i="1" l="1"/>
  <c r="Q620" i="1" s="1"/>
  <c r="H620" i="1"/>
  <c r="I620" i="1" s="1"/>
  <c r="R620" i="1"/>
  <c r="S620" i="1" s="1"/>
  <c r="J620" i="1"/>
  <c r="K620" i="1" s="1"/>
  <c r="T620" i="1"/>
  <c r="U620" i="1" s="1"/>
  <c r="N620" i="1"/>
  <c r="O620" i="1" s="1"/>
  <c r="L620" i="1"/>
  <c r="M620" i="1" s="1"/>
  <c r="G620" i="1"/>
  <c r="W620" i="1"/>
  <c r="G637" i="1"/>
  <c r="W635" i="1" l="1"/>
  <c r="S635" i="1"/>
  <c r="O635" i="1"/>
  <c r="K635" i="1"/>
  <c r="G635" i="1"/>
  <c r="M635" i="1" l="1"/>
  <c r="Q635" i="1"/>
  <c r="U635" i="1"/>
  <c r="H613" i="1" l="1"/>
  <c r="I613" i="1" s="1"/>
  <c r="F647" i="1"/>
  <c r="F570" i="1"/>
  <c r="T570" i="1" l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70" i="1"/>
  <c r="W570" i="1" s="1"/>
  <c r="P615" i="1"/>
  <c r="Q615" i="1" s="1"/>
  <c r="H615" i="1"/>
  <c r="I615" i="1" s="1"/>
  <c r="R613" i="1"/>
  <c r="S613" i="1" s="1"/>
  <c r="J613" i="1"/>
  <c r="K613" i="1" s="1"/>
  <c r="P613" i="1"/>
  <c r="Q613" i="1" s="1"/>
  <c r="T613" i="1"/>
  <c r="U613" i="1" s="1"/>
  <c r="V613" i="1"/>
  <c r="W613" i="1" s="1"/>
  <c r="L613" i="1"/>
  <c r="M613" i="1" s="1"/>
  <c r="N613" i="1"/>
  <c r="O613" i="1" s="1"/>
  <c r="R615" i="1"/>
  <c r="S615" i="1" s="1"/>
  <c r="V615" i="1"/>
  <c r="W615" i="1" s="1"/>
  <c r="T615" i="1"/>
  <c r="U615" i="1" s="1"/>
  <c r="J615" i="1"/>
  <c r="K615" i="1" s="1"/>
  <c r="L615" i="1"/>
  <c r="M615" i="1" s="1"/>
  <c r="N615" i="1"/>
  <c r="O615" i="1" s="1"/>
  <c r="G615" i="1"/>
  <c r="G613" i="1"/>
  <c r="F494" i="1"/>
  <c r="H494" i="1" l="1"/>
  <c r="J494" i="1"/>
  <c r="K494" i="1" s="1"/>
  <c r="L494" i="1"/>
  <c r="M494" i="1" s="1"/>
  <c r="V483" i="1"/>
  <c r="W483" i="1" s="1"/>
  <c r="T483" i="1"/>
  <c r="U483" i="1" s="1"/>
  <c r="R483" i="1"/>
  <c r="S483" i="1" s="1"/>
  <c r="I483" i="1"/>
  <c r="P483" i="1"/>
  <c r="Q483" i="1" s="1"/>
  <c r="N483" i="1"/>
  <c r="O483" i="1" s="1"/>
  <c r="T498" i="1"/>
  <c r="U498" i="1" s="1"/>
  <c r="R498" i="1"/>
  <c r="S498" i="1" s="1"/>
  <c r="P498" i="1"/>
  <c r="Q498" i="1" s="1"/>
  <c r="I498" i="1"/>
  <c r="N498" i="1"/>
  <c r="O498" i="1" s="1"/>
  <c r="V498" i="1"/>
  <c r="W498" i="1" s="1"/>
  <c r="I505" i="1"/>
  <c r="V505" i="1"/>
  <c r="W505" i="1" s="1"/>
  <c r="P505" i="1"/>
  <c r="Q505" i="1" s="1"/>
  <c r="T505" i="1"/>
  <c r="U505" i="1" s="1"/>
  <c r="R505" i="1"/>
  <c r="S505" i="1" s="1"/>
  <c r="N505" i="1"/>
  <c r="O505" i="1" s="1"/>
  <c r="I492" i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R485" i="1"/>
  <c r="S485" i="1" s="1"/>
  <c r="I485" i="1"/>
  <c r="P485" i="1"/>
  <c r="Q485" i="1" s="1"/>
  <c r="P494" i="1"/>
  <c r="Q494" i="1" s="1"/>
  <c r="N494" i="1"/>
  <c r="O494" i="1" s="1"/>
  <c r="R494" i="1"/>
  <c r="S494" i="1" s="1"/>
  <c r="V494" i="1"/>
  <c r="W494" i="1" s="1"/>
  <c r="T494" i="1"/>
  <c r="U494" i="1" s="1"/>
  <c r="I494" i="1"/>
  <c r="F355" i="1"/>
  <c r="F240" i="1"/>
  <c r="V214" i="1"/>
  <c r="F196" i="1"/>
  <c r="F189" i="1"/>
  <c r="L240" i="1" l="1"/>
  <c r="M240" i="1" s="1"/>
  <c r="J240" i="1"/>
  <c r="K240" i="1" s="1"/>
  <c r="H240" i="1"/>
  <c r="I240" i="1" s="1"/>
  <c r="V240" i="1"/>
  <c r="W240" i="1" s="1"/>
  <c r="T240" i="1"/>
  <c r="U240" i="1" s="1"/>
  <c r="R240" i="1"/>
  <c r="S240" i="1" s="1"/>
  <c r="P240" i="1"/>
  <c r="Q240" i="1" s="1"/>
  <c r="N240" i="1"/>
  <c r="O240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2" i="1"/>
  <c r="W282" i="1" s="1"/>
  <c r="T282" i="1"/>
  <c r="U282" i="1" s="1"/>
  <c r="H189" i="1"/>
  <c r="I189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196" i="1"/>
  <c r="K196" i="1" s="1"/>
  <c r="V407" i="1"/>
  <c r="W407" i="1" s="1"/>
  <c r="T407" i="1"/>
  <c r="U407" i="1" s="1"/>
  <c r="R407" i="1"/>
  <c r="S407" i="1" s="1"/>
  <c r="P407" i="1"/>
  <c r="Q407" i="1" s="1"/>
  <c r="N407" i="1"/>
  <c r="O407" i="1" s="1"/>
  <c r="L407" i="1"/>
  <c r="M407" i="1" s="1"/>
  <c r="J407" i="1"/>
  <c r="K407" i="1" s="1"/>
  <c r="H407" i="1"/>
  <c r="I407" i="1" s="1"/>
  <c r="N355" i="1"/>
  <c r="O355" i="1" s="1"/>
  <c r="L355" i="1"/>
  <c r="M355" i="1" s="1"/>
  <c r="V355" i="1"/>
  <c r="W355" i="1" s="1"/>
  <c r="T355" i="1"/>
  <c r="U355" i="1" s="1"/>
  <c r="R355" i="1"/>
  <c r="S355" i="1" s="1"/>
  <c r="P355" i="1"/>
  <c r="Q355" i="1" s="1"/>
  <c r="I214" i="1"/>
  <c r="P214" i="1"/>
  <c r="R214" i="1"/>
  <c r="J214" i="1"/>
  <c r="N214" i="1"/>
  <c r="T214" i="1"/>
  <c r="L214" i="1"/>
  <c r="G14" i="1"/>
  <c r="U14" i="1" l="1"/>
  <c r="S14" i="1"/>
  <c r="Q14" i="1"/>
  <c r="O14" i="1"/>
  <c r="M14" i="1"/>
  <c r="K14" i="1"/>
  <c r="I14" i="1"/>
  <c r="F360" i="1" l="1"/>
  <c r="T360" i="1" l="1"/>
  <c r="U360" i="1" s="1"/>
  <c r="R360" i="1"/>
  <c r="S360" i="1" s="1"/>
  <c r="P360" i="1"/>
  <c r="Q360" i="1" s="1"/>
  <c r="N360" i="1"/>
  <c r="O360" i="1" s="1"/>
  <c r="L360" i="1"/>
  <c r="M360" i="1" s="1"/>
  <c r="V360" i="1"/>
  <c r="W360" i="1" s="1"/>
  <c r="G28" i="1"/>
  <c r="F544" i="1"/>
  <c r="F499" i="1"/>
  <c r="F497" i="1"/>
  <c r="F488" i="1"/>
  <c r="F487" i="1"/>
  <c r="L487" i="1" l="1"/>
  <c r="M487" i="1" s="1"/>
  <c r="J487" i="1"/>
  <c r="K487" i="1" s="1"/>
  <c r="H487" i="1"/>
  <c r="I487" i="1" s="1"/>
  <c r="V487" i="1"/>
  <c r="W487" i="1" s="1"/>
  <c r="R487" i="1"/>
  <c r="S487" i="1" s="1"/>
  <c r="P487" i="1"/>
  <c r="Q487" i="1" s="1"/>
  <c r="T487" i="1"/>
  <c r="U487" i="1" s="1"/>
  <c r="N487" i="1"/>
  <c r="O487" i="1" s="1"/>
  <c r="L488" i="1"/>
  <c r="M488" i="1" s="1"/>
  <c r="H488" i="1"/>
  <c r="I488" i="1" s="1"/>
  <c r="J488" i="1"/>
  <c r="K488" i="1" s="1"/>
  <c r="T544" i="1"/>
  <c r="U544" i="1" s="1"/>
  <c r="V544" i="1"/>
  <c r="W544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R497" i="1"/>
  <c r="S497" i="1" s="1"/>
  <c r="P497" i="1"/>
  <c r="Q497" i="1" s="1"/>
  <c r="N497" i="1"/>
  <c r="O497" i="1" s="1"/>
  <c r="L497" i="1"/>
  <c r="M497" i="1" s="1"/>
  <c r="J497" i="1"/>
  <c r="K497" i="1" s="1"/>
  <c r="V497" i="1"/>
  <c r="W497" i="1" s="1"/>
  <c r="H497" i="1"/>
  <c r="I497" i="1" s="1"/>
  <c r="T497" i="1"/>
  <c r="U497" i="1" s="1"/>
  <c r="L499" i="1"/>
  <c r="M499" i="1" s="1"/>
  <c r="J499" i="1"/>
  <c r="K499" i="1" s="1"/>
  <c r="H499" i="1"/>
  <c r="I499" i="1" s="1"/>
  <c r="N512" i="1"/>
  <c r="O512" i="1" s="1"/>
  <c r="I512" i="1"/>
  <c r="V488" i="1"/>
  <c r="W488" i="1" s="1"/>
  <c r="T488" i="1"/>
  <c r="U488" i="1" s="1"/>
  <c r="N488" i="1"/>
  <c r="O488" i="1" s="1"/>
  <c r="R488" i="1"/>
  <c r="S488" i="1" s="1"/>
  <c r="P488" i="1"/>
  <c r="Q488" i="1" s="1"/>
  <c r="I493" i="1"/>
  <c r="N493" i="1"/>
  <c r="O493" i="1" s="1"/>
  <c r="R493" i="1"/>
  <c r="S493" i="1" s="1"/>
  <c r="V493" i="1"/>
  <c r="W493" i="1" s="1"/>
  <c r="T493" i="1"/>
  <c r="U493" i="1" s="1"/>
  <c r="P493" i="1"/>
  <c r="Q493" i="1" s="1"/>
  <c r="V499" i="1"/>
  <c r="W499" i="1" s="1"/>
  <c r="T499" i="1"/>
  <c r="U499" i="1" s="1"/>
  <c r="R499" i="1"/>
  <c r="S499" i="1" s="1"/>
  <c r="N499" i="1"/>
  <c r="O499" i="1" s="1"/>
  <c r="P499" i="1"/>
  <c r="Q499" i="1" s="1"/>
  <c r="G483" i="1"/>
  <c r="F443" i="1"/>
  <c r="F393" i="1"/>
  <c r="P393" i="1" l="1"/>
  <c r="Q393" i="1" s="1"/>
  <c r="N393" i="1"/>
  <c r="O393" i="1" s="1"/>
  <c r="L393" i="1"/>
  <c r="M393" i="1" s="1"/>
  <c r="J393" i="1"/>
  <c r="K393" i="1" s="1"/>
  <c r="H393" i="1"/>
  <c r="I393" i="1" s="1"/>
  <c r="V393" i="1"/>
  <c r="W393" i="1" s="1"/>
  <c r="T393" i="1"/>
  <c r="U393" i="1" s="1"/>
  <c r="R393" i="1"/>
  <c r="S393" i="1" s="1"/>
  <c r="T443" i="1"/>
  <c r="U443" i="1" s="1"/>
  <c r="R443" i="1"/>
  <c r="S443" i="1" s="1"/>
  <c r="P443" i="1"/>
  <c r="Q443" i="1" s="1"/>
  <c r="J443" i="1"/>
  <c r="K443" i="1" s="1"/>
  <c r="N443" i="1"/>
  <c r="O443" i="1" s="1"/>
  <c r="V443" i="1"/>
  <c r="W443" i="1" s="1"/>
  <c r="L443" i="1"/>
  <c r="M443" i="1" s="1"/>
  <c r="F374" i="1"/>
  <c r="F349" i="1"/>
  <c r="F328" i="1"/>
  <c r="F327" i="1"/>
  <c r="F325" i="1"/>
  <c r="F323" i="1"/>
  <c r="F321" i="1"/>
  <c r="F264" i="1"/>
  <c r="F262" i="1"/>
  <c r="F260" i="1"/>
  <c r="F223" i="1"/>
  <c r="F218" i="1"/>
  <c r="F217" i="1"/>
  <c r="F146" i="1"/>
  <c r="F103" i="1"/>
  <c r="F102" i="1"/>
  <c r="F99" i="1"/>
  <c r="F98" i="1"/>
  <c r="F95" i="1"/>
  <c r="T95" i="1" l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V95" i="1"/>
  <c r="W95" i="1" s="1"/>
  <c r="N102" i="1"/>
  <c r="O102" i="1" s="1"/>
  <c r="L102" i="1"/>
  <c r="M102" i="1" s="1"/>
  <c r="J102" i="1"/>
  <c r="K102" i="1" s="1"/>
  <c r="H102" i="1"/>
  <c r="I102" i="1" s="1"/>
  <c r="P102" i="1"/>
  <c r="Q102" i="1" s="1"/>
  <c r="V102" i="1"/>
  <c r="W102" i="1" s="1"/>
  <c r="T102" i="1"/>
  <c r="U102" i="1" s="1"/>
  <c r="R102" i="1"/>
  <c r="S102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H98" i="1"/>
  <c r="I98" i="1" s="1"/>
  <c r="V98" i="1"/>
  <c r="W98" i="1" s="1"/>
  <c r="T99" i="1"/>
  <c r="U99" i="1" s="1"/>
  <c r="R99" i="1"/>
  <c r="S99" i="1" s="1"/>
  <c r="P99" i="1"/>
  <c r="Q99" i="1" s="1"/>
  <c r="L99" i="1"/>
  <c r="M99" i="1" s="1"/>
  <c r="N99" i="1"/>
  <c r="O99" i="1" s="1"/>
  <c r="H99" i="1"/>
  <c r="I99" i="1" s="1"/>
  <c r="J99" i="1"/>
  <c r="K99" i="1" s="1"/>
  <c r="V99" i="1"/>
  <c r="W99" i="1" s="1"/>
  <c r="N103" i="1"/>
  <c r="O103" i="1" s="1"/>
  <c r="L103" i="1"/>
  <c r="M103" i="1" s="1"/>
  <c r="J103" i="1"/>
  <c r="K103" i="1" s="1"/>
  <c r="H103" i="1"/>
  <c r="I103" i="1" s="1"/>
  <c r="V103" i="1"/>
  <c r="W103" i="1" s="1"/>
  <c r="T103" i="1"/>
  <c r="U103" i="1" s="1"/>
  <c r="R103" i="1"/>
  <c r="S103" i="1" s="1"/>
  <c r="P103" i="1"/>
  <c r="Q103" i="1" s="1"/>
  <c r="J162" i="1"/>
  <c r="V162" i="1"/>
  <c r="R162" i="1"/>
  <c r="T162" i="1"/>
  <c r="P162" i="1"/>
  <c r="N162" i="1"/>
  <c r="L162" i="1"/>
  <c r="H162" i="1"/>
  <c r="I297" i="1"/>
  <c r="V297" i="1"/>
  <c r="W297" i="1" s="1"/>
  <c r="T297" i="1"/>
  <c r="U297" i="1" s="1"/>
  <c r="J297" i="1"/>
  <c r="K297" i="1" s="1"/>
  <c r="R297" i="1"/>
  <c r="S297" i="1" s="1"/>
  <c r="P297" i="1"/>
  <c r="Q297" i="1" s="1"/>
  <c r="N297" i="1"/>
  <c r="O297" i="1" s="1"/>
  <c r="L297" i="1"/>
  <c r="M297" i="1" s="1"/>
  <c r="V217" i="1"/>
  <c r="W217" i="1" s="1"/>
  <c r="T217" i="1"/>
  <c r="U217" i="1" s="1"/>
  <c r="R217" i="1"/>
  <c r="S217" i="1" s="1"/>
  <c r="P217" i="1"/>
  <c r="Q217" i="1" s="1"/>
  <c r="J217" i="1"/>
  <c r="K217" i="1" s="1"/>
  <c r="N217" i="1"/>
  <c r="O217" i="1" s="1"/>
  <c r="L217" i="1"/>
  <c r="M217" i="1" s="1"/>
  <c r="N218" i="1"/>
  <c r="O218" i="1" s="1"/>
  <c r="L218" i="1"/>
  <c r="M218" i="1" s="1"/>
  <c r="J218" i="1"/>
  <c r="K218" i="1" s="1"/>
  <c r="P218" i="1"/>
  <c r="Q218" i="1" s="1"/>
  <c r="V218" i="1"/>
  <c r="W218" i="1" s="1"/>
  <c r="T218" i="1"/>
  <c r="U218" i="1" s="1"/>
  <c r="R218" i="1"/>
  <c r="S218" i="1" s="1"/>
  <c r="J260" i="1"/>
  <c r="K260" i="1" s="1"/>
  <c r="H260" i="1"/>
  <c r="I260" i="1" s="1"/>
  <c r="L260" i="1"/>
  <c r="M260" i="1" s="1"/>
  <c r="V260" i="1"/>
  <c r="W260" i="1" s="1"/>
  <c r="T260" i="1"/>
  <c r="U260" i="1" s="1"/>
  <c r="R260" i="1"/>
  <c r="S260" i="1" s="1"/>
  <c r="P260" i="1"/>
  <c r="Q260" i="1" s="1"/>
  <c r="N260" i="1"/>
  <c r="O260" i="1" s="1"/>
  <c r="R219" i="1"/>
  <c r="S219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N223" i="1"/>
  <c r="O223" i="1" s="1"/>
  <c r="L223" i="1"/>
  <c r="M223" i="1" s="1"/>
  <c r="J223" i="1"/>
  <c r="K223" i="1" s="1"/>
  <c r="P223" i="1"/>
  <c r="Q223" i="1" s="1"/>
  <c r="V223" i="1"/>
  <c r="W223" i="1" s="1"/>
  <c r="T223" i="1"/>
  <c r="U223" i="1" s="1"/>
  <c r="R223" i="1"/>
  <c r="S223" i="1" s="1"/>
  <c r="P262" i="1"/>
  <c r="Q262" i="1" s="1"/>
  <c r="R262" i="1"/>
  <c r="S262" i="1" s="1"/>
  <c r="N262" i="1"/>
  <c r="O262" i="1" s="1"/>
  <c r="L262" i="1"/>
  <c r="M262" i="1" s="1"/>
  <c r="J262" i="1"/>
  <c r="K262" i="1" s="1"/>
  <c r="H262" i="1"/>
  <c r="I262" i="1" s="1"/>
  <c r="V262" i="1"/>
  <c r="W262" i="1" s="1"/>
  <c r="T262" i="1"/>
  <c r="U262" i="1" s="1"/>
  <c r="H264" i="1"/>
  <c r="I264" i="1" s="1"/>
  <c r="T161" i="1"/>
  <c r="U161" i="1" s="1"/>
  <c r="R161" i="1"/>
  <c r="S161" i="1" s="1"/>
  <c r="P161" i="1"/>
  <c r="Q161" i="1" s="1"/>
  <c r="N161" i="1"/>
  <c r="O161" i="1" s="1"/>
  <c r="L161" i="1"/>
  <c r="M161" i="1" s="1"/>
  <c r="J161" i="1"/>
  <c r="K161" i="1" s="1"/>
  <c r="V161" i="1"/>
  <c r="W161" i="1" s="1"/>
  <c r="R188" i="1"/>
  <c r="S188" i="1" s="1"/>
  <c r="P188" i="1"/>
  <c r="Q188" i="1" s="1"/>
  <c r="N188" i="1"/>
  <c r="O188" i="1" s="1"/>
  <c r="L188" i="1"/>
  <c r="M188" i="1" s="1"/>
  <c r="T188" i="1"/>
  <c r="U188" i="1" s="1"/>
  <c r="V188" i="1"/>
  <c r="W188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3" i="1"/>
  <c r="W263" i="1" s="1"/>
  <c r="N321" i="1"/>
  <c r="O321" i="1" s="1"/>
  <c r="L321" i="1"/>
  <c r="M321" i="1" s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T323" i="1"/>
  <c r="U323" i="1" s="1"/>
  <c r="R323" i="1"/>
  <c r="S323" i="1" s="1"/>
  <c r="P323" i="1"/>
  <c r="Q323" i="1" s="1"/>
  <c r="N323" i="1"/>
  <c r="O323" i="1" s="1"/>
  <c r="L323" i="1"/>
  <c r="M323" i="1" s="1"/>
  <c r="V323" i="1"/>
  <c r="W323" i="1" s="1"/>
  <c r="N325" i="1"/>
  <c r="O325" i="1" s="1"/>
  <c r="L325" i="1"/>
  <c r="M325" i="1" s="1"/>
  <c r="V325" i="1"/>
  <c r="W325" i="1" s="1"/>
  <c r="T325" i="1"/>
  <c r="U325" i="1" s="1"/>
  <c r="R325" i="1"/>
  <c r="S325" i="1" s="1"/>
  <c r="P325" i="1"/>
  <c r="Q325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R349" i="1"/>
  <c r="S349" i="1" s="1"/>
  <c r="P349" i="1"/>
  <c r="Q349" i="1" s="1"/>
  <c r="N349" i="1"/>
  <c r="O349" i="1" s="1"/>
  <c r="L349" i="1"/>
  <c r="M349" i="1" s="1"/>
  <c r="V349" i="1"/>
  <c r="W349" i="1" s="1"/>
  <c r="T349" i="1"/>
  <c r="U349" i="1" s="1"/>
  <c r="P328" i="1"/>
  <c r="Q328" i="1" s="1"/>
  <c r="N328" i="1"/>
  <c r="O328" i="1" s="1"/>
  <c r="L328" i="1"/>
  <c r="M328" i="1" s="1"/>
  <c r="L146" i="1"/>
  <c r="M146" i="1" s="1"/>
  <c r="J146" i="1"/>
  <c r="K146" i="1" s="1"/>
  <c r="H146" i="1"/>
  <c r="I146" i="1" s="1"/>
  <c r="W305" i="1"/>
  <c r="U305" i="1"/>
  <c r="S305" i="1"/>
  <c r="Q305" i="1"/>
  <c r="O305" i="1"/>
  <c r="M305" i="1"/>
  <c r="N146" i="1"/>
  <c r="O146" i="1" s="1"/>
  <c r="T146" i="1"/>
  <c r="U146" i="1" s="1"/>
  <c r="P146" i="1"/>
  <c r="Q146" i="1" s="1"/>
  <c r="V146" i="1"/>
  <c r="W146" i="1" s="1"/>
  <c r="R146" i="1"/>
  <c r="S146" i="1" s="1"/>
  <c r="G575" i="1" l="1"/>
  <c r="G343" i="1"/>
  <c r="G342" i="1" l="1"/>
  <c r="G409" i="1" l="1"/>
  <c r="G410" i="1"/>
  <c r="G406" i="1"/>
  <c r="G407" i="1"/>
  <c r="G227" i="1"/>
  <c r="J11" i="1" l="1"/>
  <c r="G11" i="1"/>
  <c r="I420" i="1" l="1"/>
  <c r="G232" i="1" l="1"/>
  <c r="G234" i="1" l="1"/>
  <c r="V341" i="1" l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G341" i="1"/>
  <c r="G382" i="1"/>
  <c r="G476" i="1" l="1"/>
  <c r="T657" i="1"/>
  <c r="U657" i="1" s="1"/>
  <c r="R657" i="1"/>
  <c r="S657" i="1" s="1"/>
  <c r="P657" i="1"/>
  <c r="Q657" i="1" s="1"/>
  <c r="N657" i="1"/>
  <c r="O657" i="1" s="1"/>
  <c r="L657" i="1"/>
  <c r="M657" i="1" s="1"/>
  <c r="J657" i="1"/>
  <c r="K657" i="1" s="1"/>
  <c r="T653" i="1"/>
  <c r="R653" i="1"/>
  <c r="P653" i="1"/>
  <c r="N653" i="1"/>
  <c r="L653" i="1"/>
  <c r="J653" i="1"/>
  <c r="L655" i="1"/>
  <c r="J655" i="1"/>
  <c r="L654" i="1"/>
  <c r="W214" i="1" l="1"/>
  <c r="U214" i="1"/>
  <c r="S214" i="1"/>
  <c r="Q214" i="1"/>
  <c r="O214" i="1"/>
  <c r="M214" i="1"/>
  <c r="K214" i="1"/>
  <c r="U179" i="1"/>
  <c r="S179" i="1"/>
  <c r="Q179" i="1"/>
  <c r="O179" i="1"/>
  <c r="M179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9" i="1"/>
  <c r="U269" i="1"/>
  <c r="S269" i="1"/>
  <c r="Q269" i="1"/>
  <c r="O269" i="1"/>
  <c r="F359" i="1" l="1"/>
  <c r="V359" i="1" l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G414" i="1"/>
  <c r="L660" i="1" l="1"/>
  <c r="M660" i="1" s="1"/>
  <c r="J660" i="1"/>
  <c r="K660" i="1" s="1"/>
  <c r="T660" i="1"/>
  <c r="U660" i="1" s="1"/>
  <c r="R660" i="1"/>
  <c r="S660" i="1" s="1"/>
  <c r="P660" i="1"/>
  <c r="Q660" i="1" s="1"/>
  <c r="N660" i="1"/>
  <c r="O660" i="1" s="1"/>
  <c r="R661" i="1"/>
  <c r="S661" i="1" s="1"/>
  <c r="P661" i="1"/>
  <c r="Q661" i="1" s="1"/>
  <c r="N661" i="1"/>
  <c r="O661" i="1" s="1"/>
  <c r="L661" i="1"/>
  <c r="M661" i="1" s="1"/>
  <c r="J661" i="1"/>
  <c r="K661" i="1" s="1"/>
  <c r="T661" i="1"/>
  <c r="U661" i="1" s="1"/>
  <c r="P658" i="1"/>
  <c r="Q658" i="1" s="1"/>
  <c r="N658" i="1"/>
  <c r="O658" i="1" s="1"/>
  <c r="L658" i="1"/>
  <c r="M658" i="1" s="1"/>
  <c r="J658" i="1"/>
  <c r="K658" i="1" s="1"/>
  <c r="R658" i="1"/>
  <c r="S658" i="1" s="1"/>
  <c r="T658" i="1"/>
  <c r="U658" i="1" s="1"/>
  <c r="F545" i="1"/>
  <c r="V545" i="1" l="1"/>
  <c r="W545" i="1" s="1"/>
  <c r="H545" i="1"/>
  <c r="I545" i="1" s="1"/>
  <c r="J545" i="1"/>
  <c r="K545" i="1" s="1"/>
  <c r="L545" i="1"/>
  <c r="M545" i="1" s="1"/>
  <c r="P545" i="1"/>
  <c r="Q545" i="1" s="1"/>
  <c r="R545" i="1"/>
  <c r="S545" i="1" s="1"/>
  <c r="N545" i="1"/>
  <c r="O545" i="1" s="1"/>
  <c r="T545" i="1"/>
  <c r="U545" i="1" s="1"/>
  <c r="U420" i="1"/>
  <c r="S420" i="1"/>
  <c r="Q420" i="1"/>
  <c r="O420" i="1"/>
  <c r="M420" i="1"/>
  <c r="K420" i="1"/>
  <c r="G420" i="1"/>
  <c r="G485" i="1" l="1"/>
  <c r="G484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85" i="1" l="1"/>
  <c r="G413" i="1" l="1"/>
  <c r="G498" i="1" l="1"/>
  <c r="U456" i="1" l="1"/>
  <c r="S456" i="1"/>
  <c r="Q456" i="1"/>
  <c r="M456" i="1"/>
  <c r="K470" i="1"/>
  <c r="I470" i="1"/>
  <c r="K469" i="1"/>
  <c r="I469" i="1"/>
  <c r="G463" i="1" l="1"/>
  <c r="Q463" i="1" l="1"/>
  <c r="O463" i="1"/>
  <c r="M463" i="1"/>
  <c r="W463" i="1"/>
  <c r="K463" i="1"/>
  <c r="U463" i="1"/>
  <c r="S463" i="1"/>
  <c r="I463" i="1"/>
  <c r="L647" i="1" l="1"/>
  <c r="L646" i="1"/>
  <c r="G402" i="1" l="1"/>
  <c r="F15" i="1" l="1"/>
  <c r="H15" i="1" s="1"/>
  <c r="F16" i="1"/>
  <c r="H16" i="1" s="1"/>
  <c r="N163" i="1" l="1"/>
  <c r="O163" i="1" s="1"/>
  <c r="J163" i="1"/>
  <c r="K163" i="1" s="1"/>
  <c r="P163" i="1"/>
  <c r="Q163" i="1" s="1"/>
  <c r="L163" i="1"/>
  <c r="M163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T224" i="1"/>
  <c r="U224" i="1" s="1"/>
  <c r="R224" i="1"/>
  <c r="S224" i="1" s="1"/>
  <c r="P224" i="1"/>
  <c r="Q224" i="1" s="1"/>
  <c r="V224" i="1"/>
  <c r="W224" i="1" s="1"/>
  <c r="N224" i="1"/>
  <c r="O224" i="1" s="1"/>
  <c r="H224" i="1"/>
  <c r="I224" i="1" s="1"/>
  <c r="L224" i="1"/>
  <c r="M224" i="1" s="1"/>
  <c r="J224" i="1"/>
  <c r="K224" i="1" s="1"/>
  <c r="J147" i="1"/>
  <c r="K147" i="1" s="1"/>
  <c r="H147" i="1"/>
  <c r="I147" i="1" s="1"/>
  <c r="L147" i="1"/>
  <c r="M147" i="1" s="1"/>
  <c r="V147" i="1"/>
  <c r="W147" i="1" s="1"/>
  <c r="T147" i="1"/>
  <c r="U147" i="1" s="1"/>
  <c r="R147" i="1"/>
  <c r="S147" i="1" s="1"/>
  <c r="N147" i="1"/>
  <c r="O147" i="1" s="1"/>
  <c r="P147" i="1"/>
  <c r="Q147" i="1" s="1"/>
  <c r="I162" i="1"/>
  <c r="W162" i="1"/>
  <c r="U162" i="1"/>
  <c r="S162" i="1"/>
  <c r="Q162" i="1"/>
  <c r="O162" i="1"/>
  <c r="M162" i="1"/>
  <c r="K162" i="1"/>
  <c r="G547" i="1"/>
  <c r="G391" i="1" l="1"/>
  <c r="V486" i="1" l="1"/>
  <c r="W486" i="1" s="1"/>
  <c r="I486" i="1"/>
  <c r="T486" i="1"/>
  <c r="U486" i="1" s="1"/>
  <c r="P486" i="1"/>
  <c r="Q486" i="1" s="1"/>
  <c r="R486" i="1"/>
  <c r="S486" i="1" s="1"/>
  <c r="N486" i="1"/>
  <c r="O486" i="1" s="1"/>
  <c r="G486" i="1"/>
  <c r="G367" i="1" l="1"/>
  <c r="F509" i="1" l="1"/>
  <c r="P509" i="1" l="1"/>
  <c r="Q509" i="1" s="1"/>
  <c r="N509" i="1"/>
  <c r="O509" i="1" s="1"/>
  <c r="L509" i="1"/>
  <c r="M509" i="1" s="1"/>
  <c r="J509" i="1"/>
  <c r="K509" i="1" s="1"/>
  <c r="H509" i="1"/>
  <c r="I509" i="1" s="1"/>
  <c r="V509" i="1"/>
  <c r="W509" i="1" s="1"/>
  <c r="T509" i="1"/>
  <c r="U509" i="1" s="1"/>
  <c r="R509" i="1"/>
  <c r="S509" i="1" s="1"/>
  <c r="G509" i="1"/>
  <c r="G369" i="1" l="1"/>
  <c r="G365" i="1" l="1"/>
  <c r="P647" i="1" l="1"/>
  <c r="Q647" i="1" s="1"/>
  <c r="M647" i="1" l="1"/>
  <c r="V647" i="1"/>
  <c r="W647" i="1" s="1"/>
  <c r="G647" i="1"/>
  <c r="R647" i="1"/>
  <c r="S647" i="1" s="1"/>
  <c r="N647" i="1"/>
  <c r="O647" i="1" s="1"/>
  <c r="T647" i="1"/>
  <c r="U647" i="1" s="1"/>
  <c r="G528" i="1"/>
  <c r="G570" i="1"/>
  <c r="G99" i="1"/>
  <c r="G147" i="1"/>
  <c r="R655" i="1" l="1"/>
  <c r="R654" i="1"/>
  <c r="P655" i="1"/>
  <c r="P654" i="1"/>
  <c r="N655" i="1"/>
  <c r="N654" i="1"/>
  <c r="T654" i="1"/>
  <c r="T655" i="1"/>
  <c r="G434" i="1" l="1"/>
  <c r="V646" i="1"/>
  <c r="W646" i="1" s="1"/>
  <c r="P646" i="1"/>
  <c r="Q646" i="1" s="1"/>
  <c r="R646" i="1"/>
  <c r="S646" i="1" s="1"/>
  <c r="N646" i="1"/>
  <c r="O646" i="1" s="1"/>
  <c r="T646" i="1"/>
  <c r="U646" i="1" s="1"/>
  <c r="G646" i="1"/>
  <c r="M646" i="1"/>
  <c r="F437" i="1"/>
  <c r="F435" i="1"/>
  <c r="F436" i="1"/>
  <c r="H437" i="1" l="1"/>
  <c r="I437" i="1" s="1"/>
  <c r="R437" i="1"/>
  <c r="S437" i="1" s="1"/>
  <c r="V437" i="1"/>
  <c r="W437" i="1" s="1"/>
  <c r="T437" i="1"/>
  <c r="U437" i="1" s="1"/>
  <c r="N437" i="1"/>
  <c r="O437" i="1" s="1"/>
  <c r="L437" i="1"/>
  <c r="M437" i="1" s="1"/>
  <c r="J437" i="1"/>
  <c r="K437" i="1" s="1"/>
  <c r="P437" i="1"/>
  <c r="Q437" i="1" s="1"/>
  <c r="H436" i="1"/>
  <c r="I436" i="1" s="1"/>
  <c r="R436" i="1"/>
  <c r="S436" i="1" s="1"/>
  <c r="V436" i="1"/>
  <c r="W436" i="1" s="1"/>
  <c r="T436" i="1"/>
  <c r="U436" i="1" s="1"/>
  <c r="N436" i="1"/>
  <c r="O436" i="1" s="1"/>
  <c r="L436" i="1"/>
  <c r="M436" i="1" s="1"/>
  <c r="J436" i="1"/>
  <c r="K436" i="1" s="1"/>
  <c r="P436" i="1"/>
  <c r="Q436" i="1" s="1"/>
  <c r="R435" i="1"/>
  <c r="S435" i="1" s="1"/>
  <c r="L435" i="1"/>
  <c r="M435" i="1" s="1"/>
  <c r="P435" i="1"/>
  <c r="Q435" i="1" s="1"/>
  <c r="N435" i="1"/>
  <c r="O435" i="1" s="1"/>
  <c r="H435" i="1"/>
  <c r="I435" i="1" s="1"/>
  <c r="V435" i="1"/>
  <c r="W435" i="1" s="1"/>
  <c r="J435" i="1"/>
  <c r="K435" i="1" s="1"/>
  <c r="T435" i="1"/>
  <c r="U435" i="1" s="1"/>
  <c r="G435" i="1"/>
  <c r="G436" i="1"/>
  <c r="G437" i="1"/>
  <c r="G366" i="1" l="1"/>
  <c r="W148" i="1" l="1"/>
  <c r="U148" i="1"/>
  <c r="S148" i="1"/>
  <c r="Q148" i="1"/>
  <c r="O148" i="1"/>
  <c r="M148" i="1"/>
  <c r="K148" i="1"/>
  <c r="W450" i="1"/>
  <c r="W446" i="1"/>
  <c r="W445" i="1"/>
  <c r="U450" i="1"/>
  <c r="U446" i="1"/>
  <c r="U445" i="1"/>
  <c r="S450" i="1"/>
  <c r="S446" i="1"/>
  <c r="S445" i="1"/>
  <c r="Q450" i="1"/>
  <c r="Q446" i="1"/>
  <c r="Q445" i="1"/>
  <c r="O450" i="1"/>
  <c r="O446" i="1"/>
  <c r="O445" i="1"/>
  <c r="G448" i="1"/>
  <c r="G449" i="1"/>
  <c r="G450" i="1"/>
  <c r="G447" i="1"/>
  <c r="G446" i="1"/>
  <c r="G445" i="1"/>
  <c r="G333" i="1" l="1"/>
  <c r="F475" i="1" l="1"/>
  <c r="N475" i="1" l="1"/>
  <c r="O475" i="1" s="1"/>
  <c r="L475" i="1"/>
  <c r="M475" i="1" s="1"/>
  <c r="J475" i="1"/>
  <c r="K475" i="1" s="1"/>
  <c r="H475" i="1"/>
  <c r="I475" i="1" s="1"/>
  <c r="T475" i="1"/>
  <c r="U475" i="1" s="1"/>
  <c r="R475" i="1"/>
  <c r="S475" i="1" s="1"/>
  <c r="P475" i="1"/>
  <c r="Q475" i="1" s="1"/>
  <c r="V475" i="1"/>
  <c r="W475" i="1" s="1"/>
  <c r="M127" i="1"/>
  <c r="F510" i="1" l="1"/>
  <c r="L510" i="1" l="1"/>
  <c r="M510" i="1" s="1"/>
  <c r="J510" i="1"/>
  <c r="K510" i="1" s="1"/>
  <c r="H510" i="1"/>
  <c r="P510" i="1"/>
  <c r="Q510" i="1" s="1"/>
  <c r="N510" i="1"/>
  <c r="O510" i="1" s="1"/>
  <c r="V510" i="1"/>
  <c r="W510" i="1" s="1"/>
  <c r="R510" i="1"/>
  <c r="S510" i="1" s="1"/>
  <c r="I510" i="1"/>
  <c r="T510" i="1"/>
  <c r="U510" i="1" s="1"/>
  <c r="G277" i="1" l="1"/>
  <c r="V502" i="1" l="1"/>
  <c r="W502" i="1" s="1"/>
  <c r="I502" i="1"/>
  <c r="T502" i="1"/>
  <c r="U502" i="1" s="1"/>
  <c r="N502" i="1"/>
  <c r="O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I500" i="1"/>
  <c r="P500" i="1"/>
  <c r="Q500" i="1" s="1"/>
  <c r="G500" i="1"/>
  <c r="G355" i="1"/>
  <c r="F344" i="1" l="1"/>
  <c r="F173" i="1"/>
  <c r="F172" i="1"/>
  <c r="F171" i="1"/>
  <c r="F170" i="1"/>
  <c r="F169" i="1"/>
  <c r="F168" i="1"/>
  <c r="P168" i="1" l="1"/>
  <c r="Q168" i="1" s="1"/>
  <c r="N168" i="1"/>
  <c r="O168" i="1" s="1"/>
  <c r="L168" i="1"/>
  <c r="M168" i="1" s="1"/>
  <c r="J168" i="1"/>
  <c r="K168" i="1" s="1"/>
  <c r="T168" i="1"/>
  <c r="U168" i="1" s="1"/>
  <c r="R168" i="1"/>
  <c r="S168" i="1" s="1"/>
  <c r="H168" i="1"/>
  <c r="I168" i="1" s="1"/>
  <c r="V168" i="1"/>
  <c r="W168" i="1" s="1"/>
  <c r="R171" i="1"/>
  <c r="S171" i="1" s="1"/>
  <c r="P171" i="1"/>
  <c r="Q171" i="1" s="1"/>
  <c r="N171" i="1"/>
  <c r="O171" i="1" s="1"/>
  <c r="L171" i="1"/>
  <c r="M171" i="1" s="1"/>
  <c r="J171" i="1"/>
  <c r="K171" i="1" s="1"/>
  <c r="T171" i="1"/>
  <c r="U171" i="1" s="1"/>
  <c r="V169" i="1"/>
  <c r="W169" i="1" s="1"/>
  <c r="R169" i="1"/>
  <c r="S169" i="1" s="1"/>
  <c r="T169" i="1"/>
  <c r="U169" i="1" s="1"/>
  <c r="P169" i="1"/>
  <c r="Q169" i="1" s="1"/>
  <c r="N169" i="1"/>
  <c r="O169" i="1" s="1"/>
  <c r="L169" i="1"/>
  <c r="M169" i="1" s="1"/>
  <c r="J169" i="1"/>
  <c r="K169" i="1" s="1"/>
  <c r="H169" i="1"/>
  <c r="I169" i="1" s="1"/>
  <c r="N172" i="1"/>
  <c r="O172" i="1" s="1"/>
  <c r="L172" i="1"/>
  <c r="M172" i="1" s="1"/>
  <c r="J172" i="1"/>
  <c r="K172" i="1" s="1"/>
  <c r="V172" i="1"/>
  <c r="W172" i="1" s="1"/>
  <c r="T172" i="1"/>
  <c r="U172" i="1" s="1"/>
  <c r="P172" i="1"/>
  <c r="Q172" i="1" s="1"/>
  <c r="R172" i="1"/>
  <c r="S172" i="1" s="1"/>
  <c r="H172" i="1"/>
  <c r="I172" i="1" s="1"/>
  <c r="R173" i="1"/>
  <c r="S173" i="1" s="1"/>
  <c r="N173" i="1"/>
  <c r="O173" i="1" s="1"/>
  <c r="L173" i="1"/>
  <c r="M173" i="1" s="1"/>
  <c r="J173" i="1"/>
  <c r="K173" i="1" s="1"/>
  <c r="H173" i="1"/>
  <c r="I173" i="1" s="1"/>
  <c r="T173" i="1"/>
  <c r="U173" i="1" s="1"/>
  <c r="P173" i="1"/>
  <c r="Q173" i="1" s="1"/>
  <c r="V173" i="1"/>
  <c r="W173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R344" i="1"/>
  <c r="S344" i="1" s="1"/>
  <c r="P344" i="1"/>
  <c r="Q344" i="1" s="1"/>
  <c r="N344" i="1"/>
  <c r="O344" i="1" s="1"/>
  <c r="L344" i="1"/>
  <c r="M344" i="1" s="1"/>
  <c r="T344" i="1"/>
  <c r="U344" i="1" s="1"/>
  <c r="T130" i="1" l="1"/>
  <c r="U130" i="1" s="1"/>
  <c r="R130" i="1"/>
  <c r="S130" i="1" s="1"/>
  <c r="P130" i="1"/>
  <c r="Q130" i="1" s="1"/>
  <c r="V130" i="1"/>
  <c r="W130" i="1" s="1"/>
  <c r="N130" i="1"/>
  <c r="O130" i="1" s="1"/>
  <c r="L130" i="1"/>
  <c r="M130" i="1" s="1"/>
  <c r="J130" i="1"/>
  <c r="K130" i="1" s="1"/>
  <c r="T659" i="1"/>
  <c r="U659" i="1" s="1"/>
  <c r="R659" i="1"/>
  <c r="S659" i="1" s="1"/>
  <c r="P659" i="1"/>
  <c r="Q659" i="1" s="1"/>
  <c r="N659" i="1"/>
  <c r="O659" i="1" s="1"/>
  <c r="L659" i="1"/>
  <c r="M659" i="1" s="1"/>
  <c r="J659" i="1"/>
  <c r="K659" i="1" s="1"/>
  <c r="G381" i="1"/>
  <c r="L648" i="1"/>
  <c r="V648" i="1" l="1"/>
  <c r="T648" i="1"/>
  <c r="R648" i="1"/>
  <c r="P648" i="1"/>
  <c r="N648" i="1"/>
  <c r="O672" i="1"/>
  <c r="L649" i="1"/>
  <c r="V418" i="1" l="1"/>
  <c r="W418" i="1" s="1"/>
  <c r="T418" i="1"/>
  <c r="U418" i="1" s="1"/>
  <c r="R418" i="1"/>
  <c r="S418" i="1" s="1"/>
  <c r="P418" i="1"/>
  <c r="Q418" i="1" s="1"/>
  <c r="N418" i="1"/>
  <c r="O418" i="1" s="1"/>
  <c r="L418" i="1"/>
  <c r="M418" i="1" s="1"/>
  <c r="J418" i="1"/>
  <c r="K418" i="1" s="1"/>
  <c r="T649" i="1"/>
  <c r="R649" i="1"/>
  <c r="P649" i="1"/>
  <c r="N649" i="1"/>
  <c r="G301" i="1" l="1"/>
  <c r="F338" i="1" l="1"/>
  <c r="T338" i="1" l="1"/>
  <c r="U338" i="1" s="1"/>
  <c r="R338" i="1"/>
  <c r="S338" i="1" s="1"/>
  <c r="P338" i="1"/>
  <c r="Q338" i="1" s="1"/>
  <c r="N338" i="1"/>
  <c r="O338" i="1" s="1"/>
  <c r="L338" i="1"/>
  <c r="M338" i="1" s="1"/>
  <c r="V338" i="1"/>
  <c r="W338" i="1" s="1"/>
  <c r="G660" i="1"/>
  <c r="G505" i="1" l="1"/>
  <c r="G504" i="1" l="1"/>
  <c r="G493" i="1" l="1"/>
  <c r="G488" i="1"/>
  <c r="G487" i="1" l="1"/>
  <c r="G260" i="1" l="1"/>
  <c r="G257" i="1"/>
  <c r="G245" i="1" l="1"/>
  <c r="G240" i="1"/>
  <c r="G573" i="1" l="1"/>
  <c r="G574" i="1"/>
  <c r="G474" i="1" l="1"/>
  <c r="G199" i="1" l="1"/>
  <c r="G198" i="1" l="1"/>
  <c r="G214" i="1"/>
  <c r="G541" i="1" l="1"/>
  <c r="G540" i="1"/>
  <c r="G354" i="1" l="1"/>
  <c r="G244" i="1" l="1"/>
  <c r="G368" i="1" l="1"/>
  <c r="G172" i="1" l="1"/>
  <c r="G173" i="1"/>
  <c r="G169" i="1" l="1"/>
  <c r="G171" i="1"/>
  <c r="G170" i="1"/>
  <c r="G168" i="1"/>
  <c r="G167" i="1"/>
  <c r="G166" i="1"/>
  <c r="I166" i="1"/>
  <c r="G417" i="1" l="1"/>
  <c r="G295" i="1" l="1"/>
  <c r="W576" i="1" l="1"/>
  <c r="U576" i="1"/>
  <c r="S576" i="1"/>
  <c r="Q576" i="1"/>
  <c r="O576" i="1"/>
  <c r="M576" i="1"/>
  <c r="K576" i="1"/>
  <c r="I576" i="1"/>
  <c r="W514" i="1" l="1"/>
  <c r="U514" i="1"/>
  <c r="S514" i="1"/>
  <c r="Q514" i="1"/>
  <c r="O514" i="1"/>
  <c r="M514" i="1"/>
  <c r="K514" i="1"/>
  <c r="I514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412" i="1" l="1"/>
  <c r="G265" i="1"/>
  <c r="G259" i="1" l="1"/>
  <c r="G492" i="1" l="1"/>
  <c r="G491" i="1" l="1"/>
  <c r="G183" i="1"/>
  <c r="G182" i="1"/>
  <c r="G179" i="1"/>
  <c r="W174" i="1"/>
  <c r="U174" i="1"/>
  <c r="S174" i="1"/>
  <c r="Q174" i="1"/>
  <c r="O174" i="1"/>
  <c r="K644" i="1"/>
  <c r="G181" i="1" l="1"/>
  <c r="G180" i="1"/>
  <c r="W179" i="1"/>
  <c r="G184" i="1"/>
  <c r="G551" i="1"/>
  <c r="I675" i="1" l="1"/>
  <c r="I674" i="1"/>
  <c r="I672" i="1"/>
  <c r="I673" i="1"/>
  <c r="W672" i="1"/>
  <c r="U672" i="1"/>
  <c r="S672" i="1"/>
  <c r="Q672" i="1"/>
  <c r="M672" i="1"/>
  <c r="K672" i="1"/>
  <c r="W513" i="1" l="1"/>
  <c r="U513" i="1" l="1"/>
  <c r="I513" i="1"/>
  <c r="M513" i="1"/>
  <c r="Q513" i="1"/>
  <c r="K513" i="1"/>
  <c r="O513" i="1"/>
  <c r="S513" i="1"/>
  <c r="G490" i="1" l="1"/>
  <c r="G489" i="1"/>
  <c r="K306" i="1" l="1"/>
  <c r="I473" i="1" l="1"/>
  <c r="G243" i="1" l="1"/>
  <c r="G546" i="1" l="1"/>
  <c r="G565" i="1" l="1"/>
  <c r="G555" i="1"/>
  <c r="G564" i="1"/>
  <c r="G533" i="1" l="1"/>
  <c r="K523" i="1" l="1"/>
  <c r="G526" i="1"/>
  <c r="G538" i="1"/>
  <c r="G527" i="1" l="1"/>
  <c r="G537" i="1"/>
  <c r="G530" i="1"/>
  <c r="I523" i="1"/>
  <c r="G557" i="1"/>
  <c r="G553" i="1"/>
  <c r="G552" i="1"/>
  <c r="G545" i="1"/>
  <c r="G544" i="1"/>
  <c r="G543" i="1"/>
  <c r="G542" i="1"/>
  <c r="G529" i="1"/>
  <c r="G523" i="1"/>
  <c r="G280" i="1" l="1"/>
  <c r="G386" i="1" l="1"/>
  <c r="G279" i="1" l="1"/>
  <c r="G302" i="1"/>
  <c r="G291" i="1"/>
  <c r="G289" i="1"/>
  <c r="G290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21" i="1" l="1"/>
  <c r="G389" i="1" l="1"/>
  <c r="G658" i="1" l="1"/>
  <c r="U653" i="1" l="1"/>
  <c r="K653" i="1"/>
  <c r="S653" i="1"/>
  <c r="Q653" i="1"/>
  <c r="O653" i="1"/>
  <c r="M653" i="1"/>
  <c r="G653" i="1"/>
  <c r="U655" i="1"/>
  <c r="S655" i="1"/>
  <c r="Q655" i="1"/>
  <c r="O655" i="1"/>
  <c r="M655" i="1"/>
  <c r="K655" i="1"/>
  <c r="G655" i="1"/>
  <c r="G424" i="1" l="1"/>
  <c r="G423" i="1"/>
  <c r="Q57" i="1" l="1"/>
  <c r="M57" i="1"/>
  <c r="K57" i="1"/>
  <c r="W57" i="1"/>
  <c r="U57" i="1"/>
  <c r="S57" i="1"/>
  <c r="O57" i="1"/>
  <c r="G57" i="1"/>
  <c r="G334" i="1" l="1"/>
  <c r="G357" i="1" l="1"/>
  <c r="G287" i="1"/>
  <c r="G225" i="1" l="1"/>
  <c r="G226" i="1"/>
  <c r="G229" i="1" l="1"/>
  <c r="I668" i="1" l="1"/>
  <c r="K668" i="1"/>
  <c r="W668" i="1"/>
  <c r="U668" i="1"/>
  <c r="S668" i="1"/>
  <c r="Q668" i="1"/>
  <c r="O668" i="1"/>
  <c r="M668" i="1"/>
  <c r="W667" i="1"/>
  <c r="U667" i="1"/>
  <c r="S667" i="1"/>
  <c r="Q667" i="1"/>
  <c r="O667" i="1"/>
  <c r="M667" i="1"/>
  <c r="S673" i="1"/>
  <c r="U673" i="1"/>
  <c r="W673" i="1"/>
  <c r="S674" i="1"/>
  <c r="U674" i="1"/>
  <c r="W674" i="1"/>
  <c r="S675" i="1"/>
  <c r="U675" i="1"/>
  <c r="W675" i="1"/>
  <c r="Q675" i="1"/>
  <c r="O675" i="1"/>
  <c r="M675" i="1"/>
  <c r="K675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54" i="1" l="1"/>
  <c r="S654" i="1"/>
  <c r="Q654" i="1"/>
  <c r="O654" i="1"/>
  <c r="M654" i="1"/>
  <c r="W648" i="1"/>
  <c r="U648" i="1"/>
  <c r="S648" i="1"/>
  <c r="Q648" i="1"/>
  <c r="O648" i="1"/>
  <c r="M648" i="1"/>
  <c r="W473" i="1"/>
  <c r="U473" i="1"/>
  <c r="S473" i="1"/>
  <c r="Q473" i="1"/>
  <c r="O473" i="1"/>
  <c r="M473" i="1"/>
  <c r="K473" i="1"/>
  <c r="Q440" i="1"/>
  <c r="Q421" i="1"/>
  <c r="Q419" i="1"/>
  <c r="G645" i="1" l="1"/>
  <c r="G644" i="1"/>
  <c r="Q178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10" i="1" l="1"/>
  <c r="G223" i="1"/>
  <c r="G247" i="1" l="1"/>
  <c r="G209" i="1"/>
  <c r="G431" i="1" l="1"/>
  <c r="G384" i="1" l="1"/>
  <c r="G418" i="1"/>
  <c r="G284" i="1"/>
  <c r="G362" i="1"/>
  <c r="Q143" i="1"/>
  <c r="Q142" i="1"/>
  <c r="W38" i="1"/>
  <c r="G130" i="1" l="1"/>
  <c r="G263" i="1" l="1"/>
  <c r="G188" i="1"/>
  <c r="G383" i="1" l="1"/>
  <c r="O71" i="1" l="1"/>
  <c r="G204" i="1"/>
  <c r="G285" i="1" l="1"/>
  <c r="W69" i="1" l="1"/>
  <c r="U69" i="1"/>
  <c r="S69" i="1"/>
  <c r="O69" i="1"/>
  <c r="G282" i="1"/>
  <c r="G373" i="1" l="1"/>
  <c r="G163" i="1" l="1"/>
  <c r="G338" i="1" l="1"/>
  <c r="G659" i="1"/>
  <c r="G661" i="1"/>
  <c r="G428" i="1" l="1"/>
  <c r="G494" i="1" l="1"/>
  <c r="G39" i="1" l="1"/>
  <c r="U38" i="1"/>
  <c r="S38" i="1"/>
  <c r="O38" i="1"/>
  <c r="G38" i="1"/>
  <c r="I583" i="1" l="1"/>
  <c r="G250" i="1" l="1"/>
  <c r="G256" i="1" l="1"/>
  <c r="G251" i="1"/>
  <c r="G164" i="1" l="1"/>
  <c r="V97" i="1" l="1"/>
  <c r="T97" i="1"/>
  <c r="R97" i="1"/>
  <c r="N97" i="1"/>
  <c r="K97" i="1"/>
  <c r="G401" i="1" l="1"/>
  <c r="G502" i="1" l="1"/>
  <c r="G205" i="1" l="1"/>
  <c r="G464" i="1" l="1"/>
  <c r="G404" i="1"/>
  <c r="I699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2" i="1" l="1"/>
  <c r="G511" i="1"/>
  <c r="G497" i="1"/>
  <c r="G499" i="1"/>
  <c r="G508" i="1"/>
  <c r="G507" i="1"/>
  <c r="G456" i="1" l="1"/>
  <c r="G283" i="1" l="1"/>
  <c r="G300" i="1"/>
  <c r="G286" i="1"/>
  <c r="G299" i="1" l="1"/>
  <c r="G220" i="1" l="1"/>
  <c r="G10" i="1"/>
  <c r="G211" i="1" l="1"/>
  <c r="G648" i="1" l="1"/>
  <c r="G212" i="1" l="1"/>
  <c r="O34" i="1"/>
  <c r="G187" i="1" l="1"/>
  <c r="G269" i="1" l="1"/>
  <c r="G271" i="1"/>
  <c r="G270" i="1"/>
  <c r="G387" i="1" l="1"/>
  <c r="G388" i="1"/>
  <c r="S40" i="1" l="1"/>
  <c r="G110" i="1" l="1"/>
  <c r="G454" i="1" l="1"/>
  <c r="G657" i="1" l="1"/>
  <c r="G654" i="1"/>
  <c r="G268" i="1"/>
  <c r="G213" i="1"/>
  <c r="G210" i="1"/>
  <c r="G208" i="1"/>
  <c r="G202" i="1"/>
  <c r="G203" i="1"/>
  <c r="G201" i="1"/>
  <c r="G104" i="1"/>
  <c r="G64" i="1"/>
  <c r="G22" i="1"/>
  <c r="G20" i="1"/>
  <c r="G21" i="1"/>
  <c r="G380" i="1" l="1"/>
  <c r="U419" i="1" l="1"/>
  <c r="S419" i="1"/>
  <c r="M419" i="1"/>
  <c r="O419" i="1"/>
  <c r="G419" i="1"/>
  <c r="J462" i="1" l="1"/>
  <c r="J459" i="1"/>
  <c r="J458" i="1"/>
  <c r="J457" i="1"/>
  <c r="J461" i="1"/>
  <c r="J456" i="1"/>
  <c r="O109" i="1" l="1"/>
  <c r="G19" i="1"/>
  <c r="G421" i="1"/>
  <c r="M421" i="1"/>
  <c r="O421" i="1"/>
  <c r="S421" i="1"/>
  <c r="U421" i="1"/>
  <c r="G154" i="1"/>
  <c r="G24" i="1" l="1"/>
  <c r="G501" i="1" l="1"/>
  <c r="G54" i="1" l="1"/>
  <c r="G56" i="1"/>
  <c r="O29" i="1"/>
  <c r="G58" i="1"/>
  <c r="U29" i="1" l="1"/>
  <c r="G196" i="1"/>
  <c r="G27" i="1" l="1"/>
  <c r="G304" i="1"/>
  <c r="O126" i="1"/>
  <c r="S126" i="1"/>
  <c r="U126" i="1"/>
  <c r="G297" i="1" l="1"/>
  <c r="G13" i="1" l="1"/>
  <c r="G475" i="1" l="1"/>
  <c r="G146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8" i="1"/>
  <c r="Q138" i="1"/>
  <c r="G139" i="1"/>
  <c r="Q139" i="1"/>
  <c r="G142" i="1"/>
  <c r="G143" i="1"/>
  <c r="G148" i="1"/>
  <c r="G161" i="1"/>
  <c r="G162" i="1"/>
  <c r="G178" i="1"/>
  <c r="M178" i="1"/>
  <c r="O178" i="1"/>
  <c r="S178" i="1"/>
  <c r="U178" i="1"/>
  <c r="W178" i="1"/>
  <c r="G185" i="1"/>
  <c r="G189" i="1"/>
  <c r="G207" i="1"/>
  <c r="G215" i="1"/>
  <c r="G216" i="1"/>
  <c r="M216" i="1"/>
  <c r="P216" i="1"/>
  <c r="G217" i="1"/>
  <c r="G218" i="1"/>
  <c r="G219" i="1"/>
  <c r="G224" i="1"/>
  <c r="G249" i="1"/>
  <c r="G262" i="1"/>
  <c r="G264" i="1"/>
  <c r="G272" i="1"/>
  <c r="G273" i="1"/>
  <c r="G305" i="1"/>
  <c r="G306" i="1"/>
  <c r="G308" i="1"/>
  <c r="G309" i="1"/>
  <c r="G310" i="1"/>
  <c r="G311" i="1"/>
  <c r="G312" i="1"/>
  <c r="G313" i="1"/>
  <c r="G314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5" i="1"/>
  <c r="G336" i="1"/>
  <c r="G337" i="1"/>
  <c r="G339" i="1"/>
  <c r="G340" i="1"/>
  <c r="G344" i="1"/>
  <c r="G345" i="1"/>
  <c r="G348" i="1"/>
  <c r="G349" i="1"/>
  <c r="G359" i="1"/>
  <c r="G360" i="1"/>
  <c r="G361" i="1"/>
  <c r="G363" i="1"/>
  <c r="G370" i="1"/>
  <c r="G371" i="1"/>
  <c r="G372" i="1"/>
  <c r="G374" i="1"/>
  <c r="G375" i="1"/>
  <c r="G378" i="1"/>
  <c r="G379" i="1"/>
  <c r="G393" i="1"/>
  <c r="G403" i="1"/>
  <c r="G405" i="1"/>
  <c r="G422" i="1"/>
  <c r="G429" i="1"/>
  <c r="G440" i="1"/>
  <c r="O440" i="1"/>
  <c r="S440" i="1"/>
  <c r="U440" i="1"/>
  <c r="W440" i="1"/>
  <c r="G441" i="1"/>
  <c r="G442" i="1"/>
  <c r="G443" i="1"/>
  <c r="G444" i="1"/>
  <c r="G451" i="1"/>
  <c r="G452" i="1"/>
  <c r="G457" i="1"/>
  <c r="G458" i="1"/>
  <c r="G459" i="1"/>
  <c r="G461" i="1"/>
  <c r="G462" i="1"/>
  <c r="G465" i="1"/>
  <c r="G466" i="1"/>
  <c r="G467" i="1"/>
  <c r="G469" i="1"/>
  <c r="G470" i="1"/>
  <c r="G471" i="1"/>
  <c r="G472" i="1"/>
  <c r="G473" i="1"/>
  <c r="G506" i="1"/>
  <c r="G649" i="1"/>
  <c r="M649" i="1"/>
  <c r="O649" i="1"/>
  <c r="Q649" i="1"/>
  <c r="S649" i="1"/>
  <c r="U649" i="1"/>
  <c r="M665" i="1"/>
  <c r="O665" i="1"/>
  <c r="Q665" i="1"/>
  <c r="S665" i="1"/>
  <c r="U665" i="1"/>
  <c r="W665" i="1"/>
  <c r="K666" i="1"/>
  <c r="M666" i="1"/>
  <c r="O666" i="1"/>
  <c r="Q666" i="1"/>
  <c r="S666" i="1"/>
  <c r="U666" i="1"/>
  <c r="W666" i="1"/>
  <c r="K673" i="1"/>
  <c r="M673" i="1"/>
  <c r="O673" i="1"/>
  <c r="Q673" i="1"/>
  <c r="K674" i="1"/>
  <c r="M674" i="1"/>
  <c r="O674" i="1"/>
  <c r="Q674" i="1"/>
  <c r="M677" i="1"/>
  <c r="Q677" i="1"/>
  <c r="I698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<sst xmlns="http://schemas.openxmlformats.org/spreadsheetml/2006/main" count="1175" uniqueCount="952">
  <si>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</si>
  <si>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</si>
  <si>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</si>
  <si>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</si>
  <si>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</si>
  <si>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</si>
  <si>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</si>
  <si>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</si>
  <si>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</si>
  <si>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</si>
  <si>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</si>
  <si>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</si>
  <si>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</si>
  <si>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</si>
  <si>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</si>
  <si>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</si>
  <si>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</si>
  <si>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</si>
  <si>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</si>
  <si>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</si>
  <si>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</si>
  <si>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</si>
  <si>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</si>
  <si>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</si>
  <si>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</si>
  <si>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</si>
  <si>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</si>
  <si>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</si>
  <si>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</si>
  <si>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</si>
  <si>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</si>
  <si>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</si>
  <si>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</si>
  <si>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</si>
  <si>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</si>
  <si>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</si>
  <si>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</si>
  <si>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</si>
  <si>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</si>
  <si>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</si>
  <si>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</si>
  <si>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</si>
  <si>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</si>
  <si>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</si>
  <si>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</si>
  <si>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</si>
  <si>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</si>
  <si>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</si>
  <si>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</si>
  <si>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</si>
  <si>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</si>
  <si>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</si>
  <si>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</si>
  <si>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</si>
  <si>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</si>
  <si>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</si>
  <si>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</si>
  <si>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</si>
  <si>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</si>
  <si>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</si>
  <si>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</si>
  <si>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</si>
  <si>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</si>
  <si>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</si>
  <si>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</si>
  <si>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</si>
  <si>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</si>
  <si>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</si>
  <si>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</si>
  <si>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</si>
  <si>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</si>
  <si>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</si>
  <si>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</si>
  <si>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</si>
  <si>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</si>
  <si>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</si>
  <si>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</si>
  <si>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</si>
  <si>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</si>
  <si>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</si>
  <si>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</si>
  <si>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</si>
  <si>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</si>
  <si>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</si>
  <si>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</si>
  <si>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</si>
  <si>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</si>
  <si>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</si>
  <si>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</si>
  <si>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</si>
  <si>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</si>
  <si>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</si>
  <si>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</si>
  <si>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</si>
  <si>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</si>
  <si>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</si>
  <si>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</si>
  <si>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</si>
  <si>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</si>
  <si>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</si>
  <si>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</si>
  <si>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</si>
  <si>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</si>
  <si>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</si>
  <si>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</si>
  <si>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</si>
  <si>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</si>
  <si>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</si>
  <si>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</si>
  <si>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</si>
  <si>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</si>
  <si>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</si>
  <si>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</si>
  <si>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</si>
  <si>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</si>
  <si>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</si>
  <si>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</si>
  <si>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</si>
  <si>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</si>
  <si>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</si>
  <si>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</si>
  <si>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</si>
  <si>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</si>
  <si>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</si>
  <si>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</si>
  <si>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</si>
  <si>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</si>
  <si>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</si>
  <si>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</si>
  <si>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</si>
  <si>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</si>
  <si>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</si>
  <si>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</si>
  <si>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</si>
  <si>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</si>
  <si>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</si>
  <si>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</si>
  <si>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</si>
  <si>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</si>
  <si>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</si>
  <si>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</si>
  <si>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</si>
  <si>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</si>
  <si>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</si>
  <si>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</si>
  <si>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</si>
  <si>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</si>
  <si>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</si>
  <si>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</si>
  <si>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</si>
  <si>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</si>
  <si>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</si>
  <si>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</si>
  <si>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</si>
  <si>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</si>
  <si>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</si>
  <si>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</si>
  <si>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</si>
  <si>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</si>
  <si>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</si>
  <si>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</si>
  <si>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</si>
  <si>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</si>
  <si>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</si>
  <si>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</si>
  <si>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</si>
  <si>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</si>
  <si>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</si>
  <si>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</si>
  <si>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</si>
  <si>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</si>
  <si>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</si>
  <si>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</si>
  <si>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</si>
  <si>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</si>
  <si>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</si>
  <si>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</si>
  <si>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</si>
  <si>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</si>
  <si>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</si>
  <si>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</si>
  <si>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</si>
  <si>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</si>
  <si>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</si>
  <si>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</si>
  <si>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</si>
  <si>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</si>
  <si>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</si>
  <si>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</si>
  <si>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</si>
  <si>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</si>
  <si>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</si>
  <si>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</si>
  <si>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</si>
  <si>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</si>
  <si>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</si>
  <si>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</si>
  <si>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</si>
  <si>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</si>
  <si>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</si>
  <si>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</si>
  <si>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</si>
  <si>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</si>
  <si>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</si>
  <si>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</si>
  <si>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</si>
  <si>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</si>
  <si>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</si>
  <si>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</si>
  <si>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</si>
  <si>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</si>
  <si>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</si>
  <si>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</si>
  <si>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</si>
  <si>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</si>
  <si>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</si>
  <si>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</si>
  <si>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</si>
  <si>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</si>
  <si>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</si>
  <si>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</si>
  <si>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</si>
  <si>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</si>
  <si>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</si>
  <si>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</si>
  <si>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</si>
  <si>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</si>
  <si>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</si>
  <si>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</si>
  <si>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</si>
  <si>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</si>
  <si>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</si>
  <si>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</si>
  <si>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</si>
  <si>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</si>
  <si>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</si>
  <si>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</si>
  <si>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</si>
  <si>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</si>
  <si>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</si>
  <si>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</si>
  <si>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</si>
  <si>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</si>
  <si>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</si>
  <si>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</si>
  <si>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</si>
  <si>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</si>
  <si>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</si>
  <si>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</si>
  <si>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</si>
  <si>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</si>
  <si>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</si>
  <si>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</si>
  <si>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</si>
  <si>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</si>
  <si>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</si>
  <si>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</si>
  <si>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</si>
  <si>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</si>
  <si>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</si>
  <si>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</si>
  <si>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</si>
  <si>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</si>
  <si>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</si>
  <si>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</si>
  <si>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</si>
  <si>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</si>
  <si>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</si>
  <si>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</si>
  <si>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</si>
  <si>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</si>
  <si>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</si>
  <si>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</si>
  <si>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</si>
  <si>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</si>
  <si>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</si>
  <si>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</si>
  <si>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</si>
  <si>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</si>
  <si>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</si>
  <si>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</si>
  <si>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</si>
  <si>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</si>
  <si>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</si>
  <si>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</si>
  <si>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</si>
  <si>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</si>
  <si>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</si>
  <si>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</si>
  <si>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</si>
  <si>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</si>
  <si>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</si>
  <si>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</si>
  <si>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</si>
  <si>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</si>
  <si>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</si>
  <si>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</si>
  <si>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</si>
  <si>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</si>
  <si>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</si>
  <si>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</si>
  <si>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</si>
  <si>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</si>
  <si>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</si>
  <si>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</si>
  <si>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</si>
  <si>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</si>
  <si>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</si>
  <si>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</si>
  <si>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</si>
  <si>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</si>
  <si>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</si>
  <si>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</si>
  <si>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</si>
  <si>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</si>
  <si>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</si>
  <si>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</si>
  <si>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</si>
  <si>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</si>
  <si>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</si>
  <si>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</si>
  <si>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</si>
  <si>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</si>
  <si>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</si>
  <si>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</si>
  <si>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</si>
  <si>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</si>
  <si>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</si>
  <si>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</si>
  <si>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</si>
  <si>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</si>
  <si>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</si>
  <si>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</si>
  <si>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</si>
  <si>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</si>
  <si>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</si>
  <si>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</si>
  <si>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</si>
  <si>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</si>
  <si>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</si>
  <si>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</si>
  <si>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</si>
  <si>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</si>
  <si>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</si>
  <si>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</si>
  <si>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</si>
  <si>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</si>
  <si>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</si>
  <si>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</si>
  <si>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</si>
  <si>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</si>
  <si>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</si>
  <si>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</si>
  <si>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</si>
  <si>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</si>
  <si>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</si>
  <si>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</si>
  <si>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</si>
  <si>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</si>
  <si>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</si>
  <si>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</si>
  <si>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</si>
  <si>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</si>
  <si>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</si>
  <si>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</si>
  <si>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</si>
  <si>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</si>
  <si>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</si>
  <si>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</si>
  <si>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</si>
  <si>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</si>
  <si>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</si>
  <si>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</si>
  <si>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</si>
  <si>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</si>
  <si>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</si>
  <si>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</si>
  <si>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</si>
  <si>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</si>
  <si>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</si>
  <si>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</si>
  <si>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</si>
  <si>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</si>
  <si>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</si>
  <si>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</si>
  <si>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</si>
  <si>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</si>
  <si>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</si>
  <si>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</si>
  <si>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</si>
  <si>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</si>
  <si>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</si>
  <si>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</si>
  <si>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</si>
  <si>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</si>
  <si>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</si>
  <si>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</si>
  <si>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</si>
  <si>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</si>
  <si>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</si>
  <si>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</si>
  <si>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</si>
  <si>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</si>
  <si>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</si>
  <si>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</si>
  <si>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</si>
  <si>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</si>
  <si>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</si>
  <si>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</si>
  <si>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</si>
  <si>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</si>
  <si>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</si>
  <si>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</si>
  <si>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</si>
  <si>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</si>
  <si>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</si>
  <si>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</si>
  <si>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</si>
  <si>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</si>
  <si>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</si>
  <si>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</si>
  <si>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</si>
  <si>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</si>
  <si>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</si>
  <si>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</si>
  <si>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</si>
  <si>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</si>
  <si>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</si>
  <si>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</si>
  <si>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</si>
  <si>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</si>
  <si>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</si>
  <si>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</si>
  <si>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</si>
  <si>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</si>
  <si>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</si>
  <si>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</si>
  <si>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</si>
  <si>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</si>
  <si>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</si>
  <si>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</si>
  <si>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</si>
  <si>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</si>
  <si>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</si>
  <si>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</si>
  <si>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</si>
  <si>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</si>
  <si>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</si>
  <si>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</si>
  <si>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</si>
  <si>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</si>
  <si>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</si>
  <si>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</si>
  <si>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</si>
  <si>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</si>
  <si>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</si>
  <si>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</si>
  <si>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</si>
  <si>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</si>
  <si>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</si>
  <si>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</si>
  <si>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</si>
  <si>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</si>
  <si>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</si>
  <si>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</si>
  <si>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</si>
  <si>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</si>
  <si>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</si>
  <si>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</si>
  <si>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</si>
  <si>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</si>
  <si>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</si>
  <si>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</si>
  <si>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</si>
  <si>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</si>
  <si>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</si>
  <si>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</si>
  <si>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</si>
  <si>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</si>
  <si>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</si>
  <si>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</si>
  <si>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</si>
  <si>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</si>
  <si>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</si>
  <si>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</si>
  <si>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</si>
  <si>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</si>
  <si>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</si>
  <si>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</si>
  <si>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</si>
  <si>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</si>
  <si>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</si>
  <si>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</si>
  <si>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</si>
  <si>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</si>
  <si>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</si>
  <si>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</si>
  <si>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</si>
  <si>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</si>
  <si>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</si>
  <si>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</si>
  <si>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</si>
  <si>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</si>
  <si>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</si>
  <si>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</si>
  <si>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</si>
  <si>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</si>
  <si>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</si>
  <si>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</si>
  <si>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</si>
  <si>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</si>
  <si>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</si>
  <si>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</si>
  <si>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</si>
  <si>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</si>
  <si>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</si>
  <si>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</si>
  <si>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</si>
  <si>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</si>
  <si>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</si>
  <si>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</si>
  <si>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</si>
  <si>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</si>
  <si>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</si>
  <si>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</si>
  <si>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</si>
  <si>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</si>
  <si>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</si>
  <si>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</si>
  <si>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</si>
  <si>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</si>
  <si>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</si>
  <si>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</si>
  <si>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</si>
  <si>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</si>
  <si>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</si>
  <si>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</si>
  <si>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</si>
  <si>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</si>
  <si>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</si>
  <si>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</si>
  <si>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</si>
  <si>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</si>
  <si>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</si>
  <si>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</si>
  <si>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</si>
  <si>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</si>
  <si>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</si>
  <si>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</si>
  <si>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</si>
  <si>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</si>
  <si>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</si>
  <si>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</si>
  <si>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</si>
  <si>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</si>
  <si>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</si>
  <si>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</si>
  <si>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</si>
  <si>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</si>
  <si>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</si>
  <si>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</si>
  <si>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</si>
  <si>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</si>
  <si>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</si>
  <si>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</si>
  <si>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</si>
  <si>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</si>
  <si>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</si>
  <si>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</si>
  <si>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</si>
  <si>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</si>
  <si>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</si>
  <si>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</si>
  <si>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</si>
  <si>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</si>
  <si>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</si>
  <si>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</si>
  <si>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</si>
  <si>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</si>
  <si>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</si>
  <si>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</si>
  <si>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</si>
  <si>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</si>
  <si>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</si>
  <si>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</si>
  <si>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</si>
  <si>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</si>
  <si>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</si>
  <si>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</si>
  <si>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</si>
  <si>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</si>
  <si>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</si>
  <si>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</si>
  <si>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</si>
  <si>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</si>
  <si>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</si>
  <si>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</si>
  <si>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</si>
  <si>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</si>
  <si>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</si>
  <si>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</si>
  <si>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</si>
  <si>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</si>
  <si>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</si>
  <si>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</si>
  <si>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</si>
  <si>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</si>
  <si>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</si>
  <si>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</si>
  <si>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</si>
  <si>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</si>
  <si>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</si>
  <si>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</si>
  <si>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</si>
  <si>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</si>
  <si>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</si>
  <si>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</si>
  <si>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</si>
  <si>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</si>
  <si>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</si>
  <si>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</si>
  <si>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</si>
  <si>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</si>
  <si>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</si>
  <si>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</si>
  <si>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</si>
  <si>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</si>
  <si>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</si>
  <si>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</si>
  <si>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</si>
  <si>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</si>
  <si>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</si>
  <si>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</si>
  <si>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</si>
  <si>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</si>
  <si>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</si>
  <si>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</si>
  <si>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</si>
  <si>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</si>
  <si>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</si>
  <si>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</si>
  <si>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</si>
  <si>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</si>
  <si>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</si>
  <si>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</si>
  <si>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</si>
  <si>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</si>
  <si>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</si>
  <si>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</si>
  <si>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</si>
  <si>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</si>
  <si>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</si>
  <si>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</si>
  <si>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</si>
  <si>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</si>
  <si>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</si>
  <si>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</si>
  <si>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</si>
  <si>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</si>
  <si>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</si>
  <si>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</si>
  <si>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</si>
  <si>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</si>
  <si>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</si>
  <si>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</si>
  <si>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</si>
  <si>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</si>
  <si>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</si>
  <si>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</si>
  <si>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</si>
  <si>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</si>
  <si>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</si>
  <si>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</si>
  <si>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</si>
  <si>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</si>
  <si>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</si>
  <si>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</si>
  <si>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</si>
  <si>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</si>
  <si>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</si>
  <si>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</si>
  <si>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</si>
  <si>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</si>
  <si>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</si>
  <si>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</si>
  <si>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</si>
  <si>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</si>
  <si>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</si>
  <si>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</si>
  <si>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</si>
  <si>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</si>
  <si>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</si>
  <si>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</si>
  <si>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</si>
  <si>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</si>
  <si>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</si>
  <si>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</si>
  <si>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</si>
  <si>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</si>
  <si>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</si>
  <si>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</si>
  <si>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</si>
  <si>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</si>
  <si>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</si>
  <si>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</si>
  <si>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</si>
  <si>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</si>
  <si>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</si>
  <si>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</si>
  <si>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</si>
  <si>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</si>
  <si>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</si>
  <si>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</si>
  <si>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</si>
  <si>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</si>
  <si>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</si>
  <si>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</si>
  <si>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</si>
  <si>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</si>
  <si>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</si>
  <si>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</si>
  <si>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</si>
  <si>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</si>
  <si>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</si>
  <si>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</si>
  <si>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</si>
  <si>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</si>
  <si>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</si>
  <si>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</si>
  <si>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</si>
  <si>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</si>
  <si>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</si>
  <si>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</si>
  <si>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</si>
  <si>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</si>
  <si>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</si>
  <si>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</si>
  <si>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</si>
  <si>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</si>
  <si>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</si>
  <si>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</si>
  <si>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</si>
  <si>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</si>
  <si>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</si>
  <si>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</si>
  <si>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</si>
  <si>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</si>
  <si>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</si>
  <si>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</si>
  <si>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</si>
  <si>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</si>
  <si>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</si>
  <si>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</si>
  <si>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</si>
  <si>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</si>
  <si>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</si>
  <si>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</si>
  <si>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</si>
  <si>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</si>
  <si>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</si>
  <si>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</si>
  <si>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</si>
  <si>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</si>
  <si>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</si>
  <si>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</si>
  <si>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</si>
  <si>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</si>
  <si>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</si>
  <si>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</si>
  <si>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</si>
  <si>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</si>
  <si>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</si>
  <si>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</si>
  <si>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</si>
  <si>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</si>
  <si>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</si>
  <si>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</si>
  <si>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</si>
  <si>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</si>
  <si>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</si>
  <si>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</si>
  <si>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</si>
  <si>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</si>
  <si>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</si>
  <si>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</si>
  <si>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</si>
  <si>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</si>
  <si>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</si>
  <si>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</si>
  <si>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</si>
  <si>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</si>
  <si>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</si>
  <si>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</si>
  <si>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</si>
  <si>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</si>
  <si>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</si>
  <si>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</si>
  <si>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</si>
  <si>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</si>
  <si>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</si>
  <si>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</si>
  <si>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</si>
  <si>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</si>
  <si>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</si>
  <si>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</si>
  <si>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</si>
  <si>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</si>
  <si>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</si>
  <si>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</si>
  <si>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</si>
  <si>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</si>
  <si>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</si>
  <si>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</si>
  <si>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</si>
  <si>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</si>
  <si>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</si>
  <si>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</si>
  <si>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</si>
  <si>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</si>
  <si>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</si>
  <si>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</si>
  <si>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</si>
  <si>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</si>
  <si>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</si>
  <si>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</si>
  <si>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</si>
  <si>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</si>
  <si>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</si>
  <si>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</si>
  <si>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</si>
  <si>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</si>
  <si>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</si>
  <si>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</si>
  <si>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</si>
  <si>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</si>
  <si>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</si>
  <si>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</si>
  <si>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</si>
  <si>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</si>
  <si>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</si>
  <si>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</si>
  <si>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</si>
  <si>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</si>
  <si>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</si>
  <si>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</si>
  <si>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</si>
  <si>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</si>
  <si>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</si>
  <si>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</si>
  <si>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</si>
  <si>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</si>
  <si>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</si>
  <si>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</si>
  <si>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</si>
  <si>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</si>
  <si>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</si>
  <si>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</si>
  <si>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</si>
  <si>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</si>
  <si>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</si>
  <si>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</si>
  <si>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</si>
  <si>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</si>
  <si>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</si>
  <si>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</si>
  <si>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</si>
  <si>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</si>
  <si>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</si>
  <si>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</si>
  <si>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</si>
  <si>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</si>
  <si>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</si>
  <si>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</si>
  <si>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</si>
  <si>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</si>
  <si>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</si>
  <si>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</si>
  <si>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</si>
  <si>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</si>
  <si>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</si>
  <si>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</si>
  <si>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</si>
  <si>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</si>
  <si>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</si>
  <si>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</si>
  <si>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</si>
  <si>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</si>
  <si>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</si>
  <si>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</si>
  <si>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</si>
  <si>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</si>
  <si>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</si>
  <si>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</si>
  <si>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</si>
  <si>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</si>
  <si>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</si>
  <si>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</si>
  <si>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</si>
  <si>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</si>
  <si>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</si>
  <si>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</si>
  <si>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</si>
  <si>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</si>
  <si>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</si>
  <si>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</si>
  <si>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</si>
  <si>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</si>
  <si>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</si>
  <si>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</si>
  <si>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</si>
  <si>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</si>
  <si>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</si>
  <si>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</si>
  <si>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</si>
  <si>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</si>
  <si>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</si>
  <si>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</si>
  <si>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</si>
  <si>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</si>
  <si>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</si>
  <si>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</si>
  <si>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</si>
  <si>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</si>
  <si>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</si>
  <si>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</si>
  <si>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</si>
  <si>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</si>
  <si>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</si>
  <si>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</si>
  <si>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</si>
  <si>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</si>
  <si>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LL-108</t>
  </si>
  <si>
    <t>LL-108 - Llavero de metal y bambu redondo giratorio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</si>
  <si>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</si>
  <si>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</si>
  <si>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</si>
  <si>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</si>
  <si>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</si>
  <si>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</si>
  <si>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</si>
  <si>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00572-1 - Bolsa mochila botinero 100% poliéster 210D 14 litros</t>
  </si>
  <si>
    <t>00575 - Bolsa mochila botinero Friselina 80 gramos</t>
  </si>
  <si>
    <t>ESTAMPADO TRANSFER FULL COLOR UN LADO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</si>
  <si>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</si>
  <si>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</si>
  <si>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</si>
  <si>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</si>
  <si>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</si>
  <si>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</si>
  <si>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LISTA DE PRECIOS Nº 12 / 2024 (En Pesos) - NO INCLUYE I.V.A. - DICIEMBRE 1 - 2024</t>
  </si>
  <si>
    <t>02150 - Estuche tubo plástico para un bolígrafo</t>
  </si>
  <si>
    <t>CON LOGO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</si>
</sst>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4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indexed="3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2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0" fillId="5" borderId="0" xfId="0" applyFont="1" applyFill="1" applyAlignment="1"/>
    <xf numFmtId="0" fontId="68" fillId="2" borderId="0" xfId="0" applyFont="1" applyFill="1" applyBorder="1"/>
    <xf numFmtId="2" fontId="73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3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6" fillId="10" borderId="0" xfId="0" applyFont="1" applyFill="1"/>
    <xf numFmtId="0" fontId="76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7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7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2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/>
    </xf>
    <xf numFmtId="0" fontId="84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8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5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3" xfId="0" applyNumberFormat="1" applyFont="1" applyFill="1" applyBorder="1" applyAlignment="1">
      <alignment horizontal="center" vertical="center"/>
    </xf>
    <xf numFmtId="1" fontId="73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4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09" fillId="5" borderId="3" xfId="0" applyNumberFormat="1" applyFont="1" applyFill="1" applyBorder="1" applyAlignment="1">
      <alignment horizontal="center" vertical="center"/>
    </xf>
    <xf numFmtId="1" fontId="109" fillId="8" borderId="3" xfId="0" applyNumberFormat="1" applyFont="1" applyFill="1" applyBorder="1" applyAlignment="1">
      <alignment horizontal="center" vertical="center"/>
    </xf>
    <xf numFmtId="1" fontId="109" fillId="8" borderId="4" xfId="0" applyNumberFormat="1" applyFont="1" applyFill="1" applyBorder="1" applyAlignment="1">
      <alignment horizontal="center" vertical="center"/>
    </xf>
    <xf numFmtId="1" fontId="109" fillId="5" borderId="4" xfId="0" applyNumberFormat="1" applyFont="1" applyFill="1" applyBorder="1" applyAlignment="1">
      <alignment horizontal="center" vertical="center"/>
    </xf>
    <xf numFmtId="1" fontId="109" fillId="8" borderId="5" xfId="0" applyNumberFormat="1" applyFont="1" applyFill="1" applyBorder="1" applyAlignment="1">
      <alignment horizontal="center" vertical="center"/>
    </xf>
    <xf numFmtId="1" fontId="109" fillId="5" borderId="5" xfId="0" applyNumberFormat="1" applyFont="1" applyFill="1" applyBorder="1" applyAlignment="1">
      <alignment horizontal="center" vertical="center"/>
    </xf>
    <xf numFmtId="1" fontId="109" fillId="8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5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8" borderId="3" xfId="0" applyNumberFormat="1" applyFont="1" applyFill="1" applyBorder="1" applyAlignment="1">
      <alignment horizontal="center" vertical="center"/>
    </xf>
    <xf numFmtId="2" fontId="73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5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19" borderId="3" xfId="0" applyNumberFormat="1" applyFont="1" applyFill="1" applyBorder="1" applyAlignment="1">
      <alignment horizontal="center" vertical="center"/>
    </xf>
    <xf numFmtId="2" fontId="62" fillId="19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19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2" fillId="2" borderId="3" xfId="2" applyNumberFormat="1" applyFont="1" applyFill="1" applyBorder="1" applyAlignment="1" applyProtection="1">
      <alignment horizontal="center" vertical="center"/>
    </xf>
    <xf numFmtId="166" fontId="82" fillId="2" borderId="5" xfId="2" applyNumberFormat="1" applyFont="1" applyFill="1" applyBorder="1" applyAlignment="1" applyProtection="1">
      <alignment horizontal="center"/>
    </xf>
    <xf numFmtId="166" fontId="112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0" fontId="82" fillId="2" borderId="3" xfId="2" applyFont="1" applyFill="1" applyBorder="1" applyAlignment="1" applyProtection="1">
      <alignment horizontal="center"/>
    </xf>
    <xf numFmtId="166" fontId="82" fillId="2" borderId="19" xfId="2" applyNumberFormat="1" applyFont="1" applyFill="1" applyBorder="1" applyAlignment="1" applyProtection="1">
      <alignment horizontal="center"/>
    </xf>
    <xf numFmtId="0" fontId="82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2" fillId="0" borderId="3" xfId="2" applyFont="1" applyBorder="1" applyAlignment="1" applyProtection="1">
      <alignment horizontal="center"/>
    </xf>
    <xf numFmtId="0" fontId="82" fillId="2" borderId="7" xfId="2" applyFont="1" applyFill="1" applyBorder="1" applyAlignment="1" applyProtection="1">
      <alignment horizontal="center"/>
    </xf>
    <xf numFmtId="166" fontId="82" fillId="2" borderId="4" xfId="2" applyNumberFormat="1" applyFont="1" applyFill="1" applyBorder="1" applyAlignment="1" applyProtection="1">
      <alignment horizontal="center" vertical="center"/>
    </xf>
    <xf numFmtId="166" fontId="82" fillId="2" borderId="4" xfId="2" applyNumberFormat="1" applyFont="1" applyFill="1" applyBorder="1" applyAlignment="1" applyProtection="1">
      <alignment horizontal="center"/>
    </xf>
    <xf numFmtId="166" fontId="82" fillId="0" borderId="3" xfId="2" applyNumberFormat="1" applyFont="1" applyBorder="1" applyAlignment="1" applyProtection="1">
      <alignment horizontal="center"/>
    </xf>
    <xf numFmtId="166" fontId="82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2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2" fillId="2" borderId="3" xfId="2" applyNumberFormat="1" applyFont="1" applyFill="1" applyBorder="1" applyAlignment="1" applyProtection="1">
      <alignment horizontal="center"/>
    </xf>
    <xf numFmtId="49" fontId="82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109" fillId="5" borderId="0" xfId="0" applyNumberFormat="1" applyFont="1" applyFill="1" applyBorder="1" applyAlignment="1">
      <alignment horizontal="center" vertical="center"/>
    </xf>
    <xf numFmtId="49" fontId="82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166" fontId="82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2" fillId="8" borderId="11" xfId="0" applyNumberFormat="1" applyFont="1" applyFill="1" applyBorder="1" applyAlignment="1">
      <alignment horizontal="center" vertical="center"/>
    </xf>
    <xf numFmtId="1" fontId="109" fillId="5" borderId="11" xfId="0" applyNumberFormat="1" applyFont="1" applyFill="1" applyBorder="1" applyAlignment="1">
      <alignment horizontal="center" vertical="center"/>
    </xf>
    <xf numFmtId="1" fontId="109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3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1" fontId="121" fillId="5" borderId="8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81" fillId="14" borderId="12" xfId="0" applyFont="1" applyFill="1" applyBorder="1"/>
    <xf numFmtId="0" fontId="79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79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7" fillId="11" borderId="5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left" vertical="center"/>
    </xf>
    <xf numFmtId="0" fontId="5" fillId="20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79" fillId="14" borderId="12" xfId="0" applyFont="1" applyFill="1" applyBorder="1" applyAlignment="1">
      <alignment horizontal="center" vertical="center"/>
    </xf>
    <xf numFmtId="0" fontId="79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0" fillId="16" borderId="5" xfId="0" applyNumberFormat="1" applyFont="1" applyFill="1" applyBorder="1" applyAlignment="1">
      <alignment horizontal="center" vertical="center"/>
    </xf>
    <xf numFmtId="2" fontId="79" fillId="16" borderId="5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109" fillId="5" borderId="15" xfId="0" applyNumberFormat="1" applyFont="1" applyFill="1" applyBorder="1" applyAlignment="1">
      <alignment horizontal="center" vertical="center"/>
    </xf>
    <xf numFmtId="1" fontId="122" fillId="5" borderId="8" xfId="0" applyNumberFormat="1" applyFont="1" applyFill="1" applyBorder="1" applyAlignment="1">
      <alignment horizontal="center" vertical="center"/>
    </xf>
    <xf numFmtId="1" fontId="73" fillId="8" borderId="15" xfId="0" applyNumberFormat="1" applyFont="1" applyFill="1" applyBorder="1" applyAlignment="1">
      <alignment horizontal="center" vertical="center"/>
    </xf>
    <xf numFmtId="1" fontId="121" fillId="8" borderId="8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5" xfId="0" applyNumberFormat="1" applyFont="1" applyFill="1" applyBorder="1" applyAlignment="1">
      <alignment horizontal="center" vertical="center"/>
    </xf>
    <xf numFmtId="1" fontId="73" fillId="5" borderId="5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66" fontId="113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18" xfId="3" applyNumberFormat="1" applyFont="1" applyFill="1" applyBorder="1" applyAlignment="1">
      <alignment horizontal="center" vertical="center"/>
    </xf>
    <xf numFmtId="1" fontId="109" fillId="5" borderId="18" xfId="0" applyNumberFormat="1" applyFont="1" applyFill="1" applyBorder="1" applyAlignment="1">
      <alignment horizontal="center" vertical="center"/>
    </xf>
    <xf numFmtId="0" fontId="42" fillId="5" borderId="3" xfId="0" applyFont="1" applyFill="1" applyBorder="1"/>
    <xf numFmtId="0" fontId="43" fillId="5" borderId="2" xfId="0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62" fillId="5" borderId="39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1" fontId="62" fillId="8" borderId="35" xfId="0" applyNumberFormat="1" applyFont="1" applyFill="1" applyBorder="1" applyAlignment="1">
      <alignment horizontal="center" vertical="center"/>
    </xf>
    <xf numFmtId="2" fontId="62" fillId="8" borderId="36" xfId="0" applyNumberFormat="1" applyFont="1" applyFill="1" applyBorder="1" applyAlignment="1">
      <alignment horizontal="center" vertical="center"/>
    </xf>
    <xf numFmtId="1" fontId="62" fillId="8" borderId="36" xfId="0" applyNumberFormat="1" applyFont="1" applyFill="1" applyBorder="1" applyAlignment="1">
      <alignment horizontal="center" vertical="center"/>
    </xf>
    <xf numFmtId="1" fontId="43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 vertical="center"/>
    </xf>
    <xf numFmtId="2" fontId="62" fillId="8" borderId="40" xfId="0" applyNumberFormat="1" applyFont="1" applyFill="1" applyBorder="1" applyAlignment="1">
      <alignment horizontal="center" vertical="center"/>
    </xf>
    <xf numFmtId="1" fontId="109" fillId="5" borderId="7" xfId="0" applyNumberFormat="1" applyFont="1" applyFill="1" applyBorder="1" applyAlignment="1">
      <alignment horizontal="center" vertical="center"/>
    </xf>
    <xf numFmtId="1" fontId="73" fillId="8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123" fillId="2" borderId="0" xfId="0" applyFont="1" applyFill="1"/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22" borderId="5" xfId="0" applyNumberFormat="1" applyFont="1" applyFill="1" applyBorder="1" applyAlignment="1">
      <alignment horizontal="center" vertical="center"/>
    </xf>
    <xf numFmtId="1" fontId="62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/>
    <xf numFmtId="2" fontId="62" fillId="22" borderId="3" xfId="0" applyNumberFormat="1" applyFont="1" applyFill="1" applyBorder="1" applyAlignment="1">
      <alignment horizontal="center" vertical="center"/>
    </xf>
    <xf numFmtId="2" fontId="4" fillId="22" borderId="3" xfId="0" applyNumberFormat="1" applyFont="1" applyFill="1" applyBorder="1" applyAlignment="1">
      <alignment horizontal="center" vertical="center"/>
    </xf>
    <xf numFmtId="1" fontId="1" fillId="22" borderId="3" xfId="0" applyNumberFormat="1" applyFont="1" applyFill="1" applyBorder="1"/>
    <xf numFmtId="1" fontId="109" fillId="22" borderId="3" xfId="0" applyNumberFormat="1" applyFont="1" applyFill="1" applyBorder="1" applyAlignment="1">
      <alignment horizontal="center" vertical="center"/>
    </xf>
    <xf numFmtId="1" fontId="62" fillId="22" borderId="17" xfId="0" applyNumberFormat="1" applyFont="1" applyFill="1" applyBorder="1" applyAlignment="1">
      <alignment horizontal="center" vertical="center"/>
    </xf>
    <xf numFmtId="0" fontId="1" fillId="22" borderId="7" xfId="0" applyFont="1" applyFill="1" applyBorder="1"/>
    <xf numFmtId="1" fontId="62" fillId="22" borderId="14" xfId="0" applyNumberFormat="1" applyFont="1" applyFill="1" applyBorder="1" applyAlignment="1">
      <alignment horizontal="center" vertical="center"/>
    </xf>
    <xf numFmtId="0" fontId="0" fillId="22" borderId="3" xfId="0" applyFill="1" applyBorder="1"/>
    <xf numFmtId="2" fontId="62" fillId="22" borderId="5" xfId="3" applyNumberFormat="1" applyFont="1" applyFill="1" applyBorder="1" applyAlignment="1">
      <alignment horizontal="center" vertical="center"/>
    </xf>
    <xf numFmtId="1" fontId="62" fillId="22" borderId="8" xfId="0" applyNumberFormat="1" applyFont="1" applyFill="1" applyBorder="1" applyAlignment="1">
      <alignment horizontal="center" vertical="center"/>
    </xf>
    <xf numFmtId="2" fontId="62" fillId="22" borderId="5" xfId="0" applyNumberFormat="1" applyFont="1" applyFill="1" applyBorder="1" applyAlignment="1">
      <alignment horizontal="center" vertical="center"/>
    </xf>
    <xf numFmtId="2" fontId="4" fillId="22" borderId="5" xfId="0" applyNumberFormat="1" applyFont="1" applyFill="1" applyBorder="1" applyAlignment="1">
      <alignment horizontal="center" vertical="center"/>
    </xf>
    <xf numFmtId="2" fontId="5" fillId="22" borderId="5" xfId="0" applyNumberFormat="1" applyFont="1" applyFill="1" applyBorder="1" applyAlignment="1">
      <alignment horizontal="center" vertical="center"/>
    </xf>
    <xf numFmtId="1" fontId="73" fillId="22" borderId="3" xfId="0" applyNumberFormat="1" applyFont="1" applyFill="1" applyBorder="1" applyAlignment="1">
      <alignment horizontal="center" vertical="center"/>
    </xf>
    <xf numFmtId="1" fontId="109" fillId="22" borderId="5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8" borderId="18" xfId="3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22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/>
    <xf numFmtId="2" fontId="62" fillId="8" borderId="3" xfId="0" applyNumberFormat="1" applyFont="1" applyFill="1" applyBorder="1" applyAlignment="1">
      <alignment horizontal="center"/>
    </xf>
    <xf numFmtId="1" fontId="62" fillId="8" borderId="3" xfId="0" applyNumberFormat="1" applyFont="1" applyFill="1" applyBorder="1" applyAlignment="1">
      <alignment horizontal="center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22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22" borderId="7" xfId="0" applyNumberFormat="1" applyFont="1" applyFill="1" applyBorder="1" applyAlignment="1">
      <alignment horizontal="center" vertical="center"/>
    </xf>
    <xf numFmtId="0" fontId="1" fillId="22" borderId="0" xfId="0" applyFont="1" applyFill="1"/>
    <xf numFmtId="1" fontId="1" fillId="22" borderId="7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2" fontId="107" fillId="14" borderId="25" xfId="0" applyNumberFormat="1" applyFont="1" applyFill="1" applyBorder="1" applyAlignment="1">
      <alignment horizontal="center" vertical="center" wrapText="1"/>
    </xf>
    <xf numFmtId="0" fontId="81" fillId="14" borderId="25" xfId="0" applyFont="1" applyFill="1" applyBorder="1" applyAlignment="1">
      <alignment horizontal="center" vertical="center" wrapText="1"/>
    </xf>
    <xf numFmtId="0" fontId="81" fillId="14" borderId="19" xfId="0" applyFont="1" applyFill="1" applyBorder="1" applyAlignment="1">
      <alignment horizontal="center" vertical="center" wrapText="1"/>
    </xf>
    <xf numFmtId="0" fontId="4" fillId="20" borderId="16" xfId="2" applyFont="1" applyFill="1" applyBorder="1" applyAlignment="1" applyProtection="1">
      <alignment horizontal="center" vertical="center" wrapText="1"/>
    </xf>
    <xf numFmtId="0" fontId="4" fillId="20" borderId="25" xfId="2" applyFont="1" applyFill="1" applyBorder="1" applyAlignment="1" applyProtection="1">
      <alignment horizontal="center" vertical="center" wrapText="1"/>
    </xf>
    <xf numFmtId="0" fontId="4" fillId="20" borderId="19" xfId="2" applyFont="1" applyFill="1" applyBorder="1" applyAlignment="1" applyProtection="1">
      <alignment horizontal="center" vertical="center" wrapText="1"/>
    </xf>
    <xf numFmtId="0" fontId="4" fillId="20" borderId="18" xfId="2" applyFont="1" applyFill="1" applyBorder="1" applyAlignment="1" applyProtection="1">
      <alignment horizontal="center" vertical="center" wrapText="1"/>
    </xf>
    <xf numFmtId="0" fontId="4" fillId="20" borderId="12" xfId="2" applyFont="1" applyFill="1" applyBorder="1" applyAlignment="1" applyProtection="1">
      <alignment horizontal="center" vertical="center" wrapText="1"/>
    </xf>
    <xf numFmtId="0" fontId="4" fillId="20" borderId="9" xfId="2" applyFont="1" applyFill="1" applyBorder="1" applyAlignment="1" applyProtection="1">
      <alignment horizontal="center" vertical="center" wrapText="1"/>
    </xf>
    <xf numFmtId="0" fontId="64" fillId="20" borderId="7" xfId="0" applyFont="1" applyFill="1" applyBorder="1" applyAlignment="1">
      <alignment horizontal="center" vertical="center" wrapText="1"/>
    </xf>
    <xf numFmtId="0" fontId="64" fillId="20" borderId="5" xfId="0" applyFont="1" applyFill="1" applyBorder="1" applyAlignment="1">
      <alignment horizontal="center" vertical="center" wrapText="1"/>
    </xf>
    <xf numFmtId="0" fontId="91" fillId="16" borderId="0" xfId="0" applyFont="1" applyFill="1" applyBorder="1" applyAlignment="1">
      <alignment horizontal="center" vertical="center" wrapText="1"/>
    </xf>
    <xf numFmtId="0" fontId="83" fillId="16" borderId="0" xfId="0" applyFont="1" applyFill="1" applyBorder="1" applyAlignment="1">
      <alignment horizontal="center" vertical="center" wrapText="1"/>
    </xf>
    <xf numFmtId="0" fontId="81" fillId="16" borderId="0" xfId="0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2" fontId="107" fillId="14" borderId="3" xfId="0" applyNumberFormat="1" applyFont="1" applyFill="1" applyBorder="1" applyAlignment="1">
      <alignment horizontal="center" vertical="center" wrapText="1"/>
    </xf>
    <xf numFmtId="0" fontId="81" fillId="14" borderId="3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5" fillId="7" borderId="3" xfId="0" applyFont="1" applyFill="1" applyBorder="1" applyAlignment="1"/>
    <xf numFmtId="0" fontId="5" fillId="5" borderId="3" xfId="0" applyFont="1" applyFill="1" applyBorder="1" applyAlignment="1"/>
    <xf numFmtId="2" fontId="5" fillId="8" borderId="11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69" fillId="10" borderId="0" xfId="0" applyFont="1" applyFill="1" applyBorder="1" applyAlignment="1">
      <alignment vertical="center"/>
    </xf>
    <xf numFmtId="0" fontId="76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5" borderId="3" xfId="0" applyFill="1" applyBorder="1" applyAlignment="1"/>
    <xf numFmtId="0" fontId="0" fillId="8" borderId="5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62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18" fillId="7" borderId="3" xfId="0" applyFont="1" applyFill="1" applyBorder="1" applyAlignment="1"/>
    <xf numFmtId="0" fontId="2" fillId="10" borderId="1" xfId="0" applyFont="1" applyFill="1" applyBorder="1" applyAlignment="1"/>
    <xf numFmtId="0" fontId="18" fillId="8" borderId="3" xfId="0" applyFont="1" applyFill="1" applyBorder="1" applyAlignment="1"/>
    <xf numFmtId="0" fontId="76" fillId="10" borderId="1" xfId="0" applyFont="1" applyFill="1" applyBorder="1" applyAlignment="1">
      <alignment vertical="center"/>
    </xf>
    <xf numFmtId="0" fontId="78" fillId="10" borderId="0" xfId="0" applyFont="1" applyFill="1" applyBorder="1" applyAlignment="1">
      <alignment vertical="center"/>
    </xf>
    <xf numFmtId="0" fontId="78" fillId="10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111" fillId="13" borderId="16" xfId="0" applyFont="1" applyFill="1" applyBorder="1" applyAlignment="1">
      <alignment horizontal="center" vertical="center" wrapText="1"/>
    </xf>
    <xf numFmtId="0" fontId="111" fillId="13" borderId="25" xfId="0" applyFont="1" applyFill="1" applyBorder="1" applyAlignment="1">
      <alignment horizontal="center" vertical="center" wrapText="1"/>
    </xf>
    <xf numFmtId="0" fontId="111" fillId="13" borderId="18" xfId="0" applyFont="1" applyFill="1" applyBorder="1" applyAlignment="1">
      <alignment horizontal="center" vertical="center" wrapText="1"/>
    </xf>
    <xf numFmtId="0" fontId="111" fillId="13" borderId="1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6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0" fontId="14" fillId="0" borderId="0" xfId="0" applyFont="1" applyAlignment="1"/>
    <xf numFmtId="0" fontId="14" fillId="0" borderId="22" xfId="0" applyFont="1" applyBorder="1" applyAlignment="1"/>
    <xf numFmtId="0" fontId="5" fillId="8" borderId="3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8" borderId="11" xfId="0" applyFill="1" applyBorder="1" applyAlignment="1"/>
    <xf numFmtId="0" fontId="0" fillId="5" borderId="11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1" fillId="7" borderId="3" xfId="0" applyFont="1" applyFill="1" applyBorder="1" applyAlignment="1"/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97" fillId="10" borderId="0" xfId="0" applyFont="1" applyFill="1" applyBorder="1" applyAlignment="1"/>
    <xf numFmtId="0" fontId="68" fillId="10" borderId="0" xfId="0" applyFont="1" applyFill="1" applyBorder="1" applyAlignment="1"/>
    <xf numFmtId="0" fontId="29" fillId="5" borderId="3" xfId="0" applyFont="1" applyFill="1" applyBorder="1" applyAlignment="1">
      <alignment horizontal="center" vertical="center" wrapText="1"/>
    </xf>
    <xf numFmtId="0" fontId="2" fillId="10" borderId="0" xfId="0" applyFont="1" applyFill="1" applyAlignment="1"/>
    <xf numFmtId="0" fontId="69" fillId="10" borderId="0" xfId="0" applyFont="1" applyFill="1" applyBorder="1" applyAlignment="1"/>
    <xf numFmtId="0" fontId="76" fillId="10" borderId="0" xfId="0" applyFont="1" applyFill="1" applyBorder="1" applyAlignment="1"/>
    <xf numFmtId="0" fontId="76" fillId="10" borderId="22" xfId="0" applyFont="1" applyFill="1" applyBorder="1" applyAlignment="1"/>
    <xf numFmtId="0" fontId="55" fillId="5" borderId="0" xfId="2" applyFont="1" applyFill="1" applyAlignment="1" applyProtection="1"/>
    <xf numFmtId="0" fontId="55" fillId="2" borderId="0" xfId="2" applyFont="1" applyFill="1" applyAlignment="1" applyProtection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5" fillId="0" borderId="0" xfId="2" applyFont="1" applyAlignment="1" applyProtection="1"/>
    <xf numFmtId="2" fontId="5" fillId="22" borderId="5" xfId="0" applyNumberFormat="1" applyFont="1" applyFill="1" applyBorder="1" applyAlignment="1"/>
    <xf numFmtId="0" fontId="0" fillId="22" borderId="5" xfId="0" applyFill="1" applyBorder="1" applyAlignment="1"/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0" borderId="16" xfId="0" applyFont="1" applyFill="1" applyBorder="1" applyAlignment="1">
      <alignment horizontal="left" vertical="center" wrapText="1"/>
    </xf>
    <xf numFmtId="0" fontId="18" fillId="20" borderId="25" xfId="0" applyFont="1" applyFill="1" applyBorder="1" applyAlignment="1">
      <alignment horizontal="left" vertical="center" wrapText="1"/>
    </xf>
    <xf numFmtId="0" fontId="18" fillId="20" borderId="19" xfId="0" applyFont="1" applyFill="1" applyBorder="1" applyAlignment="1">
      <alignment horizontal="left" vertical="center" wrapText="1"/>
    </xf>
    <xf numFmtId="0" fontId="8" fillId="20" borderId="16" xfId="0" applyFont="1" applyFill="1" applyBorder="1" applyAlignment="1">
      <alignment horizontal="center" vertical="center" wrapText="1"/>
    </xf>
    <xf numFmtId="0" fontId="47" fillId="20" borderId="25" xfId="0" applyFont="1" applyFill="1" applyBorder="1" applyAlignment="1">
      <alignment horizontal="center" vertical="center" wrapText="1"/>
    </xf>
    <xf numFmtId="0" fontId="47" fillId="20" borderId="19" xfId="0" applyFont="1" applyFill="1" applyBorder="1" applyAlignment="1">
      <alignment horizontal="center" vertical="center" wrapText="1"/>
    </xf>
    <xf numFmtId="0" fontId="90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0" borderId="18" xfId="2" applyFill="1" applyBorder="1" applyAlignment="1" applyProtection="1">
      <alignment horizontal="left" vertical="center"/>
    </xf>
    <xf numFmtId="0" fontId="12" fillId="20" borderId="12" xfId="2" applyFill="1" applyBorder="1" applyAlignment="1" applyProtection="1">
      <alignment horizontal="left" vertical="center"/>
    </xf>
    <xf numFmtId="0" fontId="93" fillId="21" borderId="11" xfId="0" applyFont="1" applyFill="1" applyBorder="1" applyAlignment="1">
      <alignment horizontal="center" vertical="center"/>
    </xf>
    <xf numFmtId="0" fontId="94" fillId="21" borderId="2" xfId="0" applyFont="1" applyFill="1" applyBorder="1" applyAlignment="1">
      <alignment horizontal="center" vertical="center"/>
    </xf>
    <xf numFmtId="0" fontId="94" fillId="21" borderId="4" xfId="0" applyFont="1" applyFill="1" applyBorder="1" applyAlignment="1">
      <alignment horizontal="center" vertical="center"/>
    </xf>
    <xf numFmtId="0" fontId="118" fillId="20" borderId="16" xfId="0" applyFont="1" applyFill="1" applyBorder="1" applyAlignment="1">
      <alignment horizontal="center" vertical="center" wrapText="1"/>
    </xf>
    <xf numFmtId="0" fontId="14" fillId="20" borderId="18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0" borderId="9" xfId="0" applyFont="1" applyFill="1" applyBorder="1" applyAlignment="1">
      <alignment horizontal="center" vertical="center" wrapText="1"/>
    </xf>
    <xf numFmtId="0" fontId="119" fillId="20" borderId="16" xfId="2" applyFont="1" applyFill="1" applyBorder="1" applyAlignment="1" applyProtection="1">
      <alignment horizontal="center" vertical="center" wrapText="1"/>
    </xf>
    <xf numFmtId="0" fontId="119" fillId="20" borderId="25" xfId="2" applyFont="1" applyFill="1" applyBorder="1" applyAlignment="1" applyProtection="1">
      <alignment horizontal="center" vertical="center" wrapText="1"/>
    </xf>
    <xf numFmtId="0" fontId="119" fillId="20" borderId="19" xfId="2" applyFont="1" applyFill="1" applyBorder="1" applyAlignment="1" applyProtection="1">
      <alignment horizontal="center" vertical="center" wrapText="1"/>
    </xf>
    <xf numFmtId="0" fontId="119" fillId="20" borderId="18" xfId="2" applyFont="1" applyFill="1" applyBorder="1" applyAlignment="1" applyProtection="1">
      <alignment horizontal="center" vertical="center" wrapText="1"/>
    </xf>
    <xf numFmtId="0" fontId="119" fillId="20" borderId="12" xfId="2" applyFont="1" applyFill="1" applyBorder="1" applyAlignment="1" applyProtection="1">
      <alignment horizontal="center" vertical="center" wrapText="1"/>
    </xf>
    <xf numFmtId="0" fontId="119" fillId="20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6" fillId="9" borderId="11" xfId="0" applyFont="1" applyFill="1" applyBorder="1" applyAlignment="1">
      <alignment horizontal="center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117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96" fillId="5" borderId="11" xfId="0" applyFont="1" applyFill="1" applyBorder="1" applyAlignment="1">
      <alignment horizontal="center" vertical="center"/>
    </xf>
    <xf numFmtId="0" fontId="94" fillId="5" borderId="2" xfId="0" applyFont="1" applyFill="1" applyBorder="1" applyAlignment="1">
      <alignment horizontal="center" vertical="center"/>
    </xf>
    <xf numFmtId="0" fontId="94" fillId="5" borderId="2" xfId="0" applyFont="1" applyFill="1" applyBorder="1" applyAlignment="1"/>
    <xf numFmtId="0" fontId="94" fillId="5" borderId="4" xfId="0" applyFont="1" applyFill="1" applyBorder="1" applyAlignment="1"/>
    <xf numFmtId="0" fontId="114" fillId="20" borderId="11" xfId="0" applyFont="1" applyFill="1" applyBorder="1" applyAlignment="1">
      <alignment horizontal="center" vertical="center" wrapText="1"/>
    </xf>
    <xf numFmtId="0" fontId="115" fillId="20" borderId="2" xfId="0" applyFont="1" applyFill="1" applyBorder="1" applyAlignment="1">
      <alignment horizontal="center" vertical="center" wrapText="1"/>
    </xf>
    <xf numFmtId="0" fontId="115" fillId="20" borderId="4" xfId="0" applyFont="1" applyFill="1" applyBorder="1" applyAlignment="1">
      <alignment horizontal="center" vertical="center" wrapText="1"/>
    </xf>
    <xf numFmtId="0" fontId="91" fillId="14" borderId="11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/>
    </xf>
    <xf numFmtId="0" fontId="81" fillId="14" borderId="4" xfId="0" applyFont="1" applyFill="1" applyBorder="1" applyAlignment="1">
      <alignment horizontal="center"/>
    </xf>
    <xf numFmtId="0" fontId="120" fillId="20" borderId="11" xfId="2" applyFont="1" applyFill="1" applyBorder="1" applyAlignment="1" applyProtection="1">
      <alignment horizontal="center" vertical="center" wrapText="1"/>
    </xf>
    <xf numFmtId="0" fontId="120" fillId="20" borderId="2" xfId="2" applyFont="1" applyFill="1" applyBorder="1" applyAlignment="1" applyProtection="1">
      <alignment horizontal="center" vertical="center" wrapText="1"/>
    </xf>
    <xf numFmtId="0" fontId="120" fillId="20" borderId="4" xfId="2" applyFont="1" applyFill="1" applyBorder="1" applyAlignment="1" applyProtection="1">
      <alignment horizontal="center" vertical="center" wrapText="1"/>
    </xf>
    <xf numFmtId="0" fontId="92" fillId="5" borderId="0" xfId="2" applyFont="1" applyFill="1" applyBorder="1" applyAlignment="1" applyProtection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22" borderId="5" xfId="0" applyFont="1" applyFill="1" applyBorder="1" applyAlignment="1"/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5" fillId="8" borderId="5" xfId="0" applyFont="1" applyFill="1" applyBorder="1" applyAlignment="1"/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5" fillId="13" borderId="25" xfId="0" applyFont="1" applyFill="1" applyBorder="1" applyAlignment="1">
      <alignment horizontal="center" vertical="center" wrapText="1"/>
    </xf>
    <xf numFmtId="0" fontId="75" fillId="13" borderId="19" xfId="0" applyFont="1" applyFill="1" applyBorder="1" applyAlignment="1">
      <alignment horizontal="center" vertical="center" wrapText="1"/>
    </xf>
    <xf numFmtId="0" fontId="75" fillId="13" borderId="1" xfId="0" applyFont="1" applyFill="1" applyBorder="1" applyAlignment="1">
      <alignment horizontal="center" vertical="center" wrapText="1"/>
    </xf>
    <xf numFmtId="0" fontId="75" fillId="13" borderId="0" xfId="0" applyFont="1" applyFill="1" applyBorder="1" applyAlignment="1">
      <alignment horizontal="center" vertical="center" wrapText="1"/>
    </xf>
    <xf numFmtId="0" fontId="75" fillId="13" borderId="12" xfId="0" applyFont="1" applyFill="1" applyBorder="1" applyAlignment="1">
      <alignment horizontal="center" vertical="center" wrapText="1"/>
    </xf>
    <xf numFmtId="0" fontId="75" fillId="13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1" fillId="8" borderId="3" xfId="0" applyFont="1" applyFill="1" applyBorder="1" applyAlignment="1"/>
    <xf numFmtId="2" fontId="4" fillId="22" borderId="18" xfId="0" applyNumberFormat="1" applyFont="1" applyFill="1" applyBorder="1" applyAlignment="1">
      <alignment horizontal="center" vertical="center"/>
    </xf>
    <xf numFmtId="2" fontId="4" fillId="22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5" borderId="5" xfId="0" applyNumberFormat="1" applyFont="1" applyFill="1" applyBorder="1" applyAlignment="1"/>
    <xf numFmtId="0" fontId="0" fillId="5" borderId="18" xfId="0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2" fontId="5" fillId="22" borderId="3" xfId="0" applyNumberFormat="1" applyFont="1" applyFill="1" applyBorder="1" applyAlignment="1"/>
    <xf numFmtId="0" fontId="0" fillId="22" borderId="3" xfId="0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0" fontId="1" fillId="8" borderId="3" xfId="0" applyFont="1" applyFill="1" applyBorder="1" applyAlignment="1">
      <alignment wrapText="1"/>
    </xf>
    <xf numFmtId="2" fontId="4" fillId="22" borderId="2" xfId="0" applyNumberFormat="1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22" borderId="5" xfId="0" applyNumberFormat="1" applyFont="1" applyFill="1" applyBorder="1" applyAlignment="1"/>
    <xf numFmtId="0" fontId="18" fillId="5" borderId="5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5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68" fillId="0" borderId="0" xfId="0" applyFont="1" applyAlignment="1"/>
    <xf numFmtId="0" fontId="68" fillId="0" borderId="22" xfId="0" applyFont="1" applyBorder="1" applyAlignment="1"/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" fillId="22" borderId="3" xfId="0" applyFont="1" applyFill="1" applyBorder="1" applyAlignment="1"/>
    <xf numFmtId="0" fontId="5" fillId="5" borderId="18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16" borderId="1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  <xf numFmtId="2" fontId="0" fillId="8" borderId="3" xfId="0" applyNumberFormat="1" applyFill="1" applyBorder="1" applyAlignment="1"/>
    <xf numFmtId="2" fontId="17" fillId="5" borderId="11" xfId="0" applyNumberFormat="1" applyFont="1" applyFill="1" applyBorder="1" applyAlignment="1"/>
    <xf numFmtId="0" fontId="87" fillId="5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75" fillId="5" borderId="0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2" fontId="5" fillId="22" borderId="11" xfId="0" applyNumberFormat="1" applyFont="1" applyFill="1" applyBorder="1" applyAlignment="1"/>
    <xf numFmtId="0" fontId="0" fillId="22" borderId="2" xfId="0" applyFill="1" applyBorder="1" applyAlignment="1"/>
    <xf numFmtId="0" fontId="0" fillId="22" borderId="4" xfId="0" applyFill="1" applyBorder="1" applyAlignment="1"/>
    <xf numFmtId="2" fontId="75" fillId="22" borderId="3" xfId="0" applyNumberFormat="1" applyFont="1" applyFill="1" applyBorder="1" applyAlignment="1"/>
    <xf numFmtId="0" fontId="68" fillId="22" borderId="3" xfId="0" applyFont="1" applyFill="1" applyBorder="1" applyAlignment="1"/>
    <xf numFmtId="0" fontId="108" fillId="13" borderId="16" xfId="0" applyFont="1" applyFill="1" applyBorder="1" applyAlignment="1">
      <alignment horizontal="center" vertical="center" wrapText="1"/>
    </xf>
    <xf numFmtId="0" fontId="108" fillId="13" borderId="25" xfId="0" applyFont="1" applyFill="1" applyBorder="1" applyAlignment="1">
      <alignment horizontal="center" vertical="center" wrapText="1"/>
    </xf>
    <xf numFmtId="0" fontId="108" fillId="13" borderId="19" xfId="0" applyFont="1" applyFill="1" applyBorder="1" applyAlignment="1">
      <alignment horizontal="center" vertical="center" wrapText="1"/>
    </xf>
    <xf numFmtId="0" fontId="108" fillId="13" borderId="1" xfId="0" applyFont="1" applyFill="1" applyBorder="1" applyAlignment="1">
      <alignment horizontal="center" vertical="center" wrapText="1"/>
    </xf>
    <xf numFmtId="0" fontId="108" fillId="13" borderId="0" xfId="0" applyFont="1" applyFill="1" applyBorder="1" applyAlignment="1">
      <alignment horizontal="center" vertical="center" wrapText="1"/>
    </xf>
    <xf numFmtId="0" fontId="108" fillId="13" borderId="22" xfId="0" applyFont="1" applyFill="1" applyBorder="1" applyAlignment="1">
      <alignment horizontal="center" vertical="center" wrapText="1"/>
    </xf>
    <xf numFmtId="0" fontId="108" fillId="13" borderId="18" xfId="0" applyFont="1" applyFill="1" applyBorder="1" applyAlignment="1">
      <alignment horizontal="center" vertical="center" wrapText="1"/>
    </xf>
    <xf numFmtId="0" fontId="108" fillId="13" borderId="12" xfId="0" applyFont="1" applyFill="1" applyBorder="1" applyAlignment="1">
      <alignment horizontal="center" vertical="center" wrapText="1"/>
    </xf>
    <xf numFmtId="0" fontId="108" fillId="13" borderId="9" xfId="0" applyFont="1" applyFill="1" applyBorder="1" applyAlignment="1">
      <alignment horizontal="center" vertical="center" wrapText="1"/>
    </xf>
    <xf numFmtId="0" fontId="103" fillId="14" borderId="11" xfId="2" applyFont="1" applyFill="1" applyBorder="1" applyAlignment="1" applyProtection="1">
      <alignment horizontal="center" vertical="center" wrapText="1"/>
    </xf>
    <xf numFmtId="0" fontId="103" fillId="14" borderId="2" xfId="2" applyFont="1" applyFill="1" applyBorder="1" applyAlignment="1" applyProtection="1">
      <alignment horizontal="center" vertical="center" wrapText="1"/>
    </xf>
    <xf numFmtId="0" fontId="103" fillId="14" borderId="4" xfId="2" applyFont="1" applyFill="1" applyBorder="1" applyAlignment="1" applyProtection="1">
      <alignment horizontal="center" vertical="center" wrapText="1"/>
    </xf>
    <xf numFmtId="0" fontId="88" fillId="14" borderId="34" xfId="0" applyFont="1" applyFill="1" applyBorder="1" applyAlignment="1">
      <alignment horizontal="center" vertical="center" wrapText="1"/>
    </xf>
    <xf numFmtId="0" fontId="89" fillId="14" borderId="26" xfId="0" applyFont="1" applyFill="1" applyBorder="1" applyAlignment="1">
      <alignment horizontal="center" vertical="center" wrapText="1"/>
    </xf>
    <xf numFmtId="0" fontId="81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16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wrapText="1"/>
    </xf>
    <xf numFmtId="0" fontId="9" fillId="20" borderId="19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wrapText="1"/>
    </xf>
    <xf numFmtId="0" fontId="9" fillId="20" borderId="22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wrapText="1"/>
    </xf>
    <xf numFmtId="0" fontId="9" fillId="20" borderId="0" xfId="0" applyFont="1" applyFill="1" applyBorder="1" applyAlignment="1">
      <alignment horizontal="left" wrapText="1"/>
    </xf>
    <xf numFmtId="0" fontId="0" fillId="20" borderId="1" xfId="0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22" xfId="0" applyFill="1" applyBorder="1" applyAlignment="1">
      <alignment wrapText="1"/>
    </xf>
    <xf numFmtId="0" fontId="0" fillId="20" borderId="18" xfId="0" applyFill="1" applyBorder="1" applyAlignment="1">
      <alignment wrapText="1"/>
    </xf>
    <xf numFmtId="0" fontId="0" fillId="20" borderId="12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88" fillId="14" borderId="1" xfId="0" applyFont="1" applyFill="1" applyBorder="1" applyAlignment="1">
      <alignment horizontal="center" vertical="center" wrapText="1"/>
    </xf>
    <xf numFmtId="0" fontId="89" fillId="14" borderId="0" xfId="0" applyFont="1" applyFill="1" applyBorder="1" applyAlignment="1">
      <alignment horizontal="center" vertical="center" wrapText="1"/>
    </xf>
    <xf numFmtId="0" fontId="81" fillId="14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2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wrapText="1"/>
    </xf>
    <xf numFmtId="0" fontId="1" fillId="20" borderId="0" xfId="0" applyFont="1" applyFill="1" applyBorder="1" applyAlignment="1">
      <alignment wrapText="1"/>
    </xf>
    <xf numFmtId="0" fontId="1" fillId="20" borderId="22" xfId="0" applyFont="1" applyFill="1" applyBorder="1" applyAlignment="1">
      <alignment wrapText="1"/>
    </xf>
    <xf numFmtId="0" fontId="5" fillId="20" borderId="1" xfId="0" applyFont="1" applyFill="1" applyBorder="1" applyAlignment="1">
      <alignment wrapText="1"/>
    </xf>
    <xf numFmtId="0" fontId="5" fillId="20" borderId="18" xfId="0" applyFont="1" applyFill="1" applyBorder="1" applyAlignment="1">
      <alignment wrapText="1"/>
    </xf>
    <xf numFmtId="0" fontId="5" fillId="20" borderId="12" xfId="0" applyFont="1" applyFill="1" applyBorder="1" applyAlignment="1">
      <alignment wrapText="1"/>
    </xf>
    <xf numFmtId="0" fontId="1" fillId="20" borderId="12" xfId="0" applyFont="1" applyFill="1" applyBorder="1" applyAlignment="1">
      <alignment wrapText="1"/>
    </xf>
    <xf numFmtId="0" fontId="1" fillId="20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5" fillId="14" borderId="41" xfId="0" applyFont="1" applyFill="1" applyBorder="1" applyAlignment="1">
      <alignment horizontal="center" vertical="center" wrapText="1"/>
    </xf>
    <xf numFmtId="0" fontId="81" fillId="14" borderId="30" xfId="0" applyFont="1" applyFill="1" applyBorder="1" applyAlignment="1">
      <alignment horizontal="center" vertical="center" wrapText="1"/>
    </xf>
    <xf numFmtId="0" fontId="81" fillId="14" borderId="31" xfId="0" applyFont="1" applyFill="1" applyBorder="1" applyAlignment="1">
      <alignment horizontal="center" vertical="center" wrapText="1"/>
    </xf>
    <xf numFmtId="2" fontId="79" fillId="16" borderId="15" xfId="0" applyNumberFormat="1" applyFont="1" applyFill="1" applyBorder="1" applyAlignment="1">
      <alignment horizontal="center" vertical="center" wrapText="1"/>
    </xf>
    <xf numFmtId="0" fontId="107" fillId="16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0" fillId="16" borderId="15" xfId="0" applyNumberFormat="1" applyFont="1" applyFill="1" applyBorder="1" applyAlignment="1">
      <alignment horizontal="center" vertical="center" wrapText="1"/>
    </xf>
    <xf numFmtId="0" fontId="81" fillId="16" borderId="15" xfId="0" applyFont="1" applyFill="1" applyBorder="1" applyAlignment="1">
      <alignment horizontal="center" vertical="center" wrapText="1"/>
    </xf>
    <xf numFmtId="0" fontId="100" fillId="14" borderId="11" xfId="0" applyFont="1" applyFill="1" applyBorder="1" applyAlignment="1">
      <alignment horizontal="center" vertical="center" wrapText="1"/>
    </xf>
    <xf numFmtId="0" fontId="100" fillId="14" borderId="2" xfId="0" applyFont="1" applyFill="1" applyBorder="1" applyAlignment="1">
      <alignment horizontal="center" vertical="center" wrapText="1"/>
    </xf>
    <xf numFmtId="0" fontId="101" fillId="14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107" fillId="16" borderId="5" xfId="0" applyFont="1" applyFill="1" applyBorder="1" applyAlignment="1">
      <alignment horizontal="center" vertical="center" wrapText="1"/>
    </xf>
    <xf numFmtId="2" fontId="87" fillId="5" borderId="3" xfId="0" applyNumberFormat="1" applyFont="1" applyFill="1" applyBorder="1" applyAlignment="1"/>
    <xf numFmtId="0" fontId="86" fillId="5" borderId="3" xfId="0" applyFont="1" applyFill="1" applyBorder="1" applyAlignment="1"/>
    <xf numFmtId="0" fontId="0" fillId="5" borderId="7" xfId="0" applyFill="1" applyBorder="1" applyAlignment="1"/>
    <xf numFmtId="0" fontId="36" fillId="10" borderId="0" xfId="0" applyFont="1" applyFill="1" applyAlignment="1"/>
    <xf numFmtId="0" fontId="76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0" fillId="5" borderId="3" xfId="0" applyNumberFormat="1" applyFill="1" applyBorder="1" applyAlignment="1"/>
    <xf numFmtId="0" fontId="18" fillId="22" borderId="3" xfId="0" applyFont="1" applyFill="1" applyBorder="1" applyAlignment="1"/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87" fillId="8" borderId="3" xfId="0" applyFont="1" applyFill="1" applyBorder="1" applyAlignment="1">
      <alignment horizontal="left" wrapText="1"/>
    </xf>
    <xf numFmtId="0" fontId="88" fillId="14" borderId="16" xfId="0" applyFont="1" applyFill="1" applyBorder="1" applyAlignment="1">
      <alignment horizontal="center" vertical="center" wrapText="1"/>
    </xf>
    <xf numFmtId="0" fontId="89" fillId="14" borderId="25" xfId="0" applyFont="1" applyFill="1" applyBorder="1" applyAlignment="1">
      <alignment horizontal="center" vertical="center" wrapText="1"/>
    </xf>
    <xf numFmtId="0" fontId="89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9" fillId="14" borderId="11" xfId="0" applyNumberFormat="1" applyFont="1" applyFill="1" applyBorder="1" applyAlignment="1">
      <alignment horizontal="center" vertical="center"/>
    </xf>
    <xf numFmtId="0" fontId="79" fillId="14" borderId="2" xfId="0" applyFont="1" applyFill="1" applyBorder="1" applyAlignment="1">
      <alignment horizontal="center" vertical="center"/>
    </xf>
    <xf numFmtId="0" fontId="81" fillId="14" borderId="4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0" fontId="0" fillId="20" borderId="0" xfId="0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8" fillId="14" borderId="3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20" borderId="1" xfId="0" applyNumberFormat="1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center" vertical="center" wrapText="1"/>
    </xf>
    <xf numFmtId="0" fontId="80" fillId="14" borderId="23" xfId="0" applyFont="1" applyFill="1" applyBorder="1" applyAlignment="1">
      <alignment horizontal="center" vertical="center" wrapText="1"/>
    </xf>
    <xf numFmtId="0" fontId="80" fillId="14" borderId="26" xfId="0" applyFont="1" applyFill="1" applyBorder="1" applyAlignment="1">
      <alignment horizontal="center" vertical="center" wrapText="1"/>
    </xf>
    <xf numFmtId="0" fontId="80" fillId="14" borderId="27" xfId="0" applyFont="1" applyFill="1" applyBorder="1" applyAlignment="1">
      <alignment horizontal="center" vertical="center" wrapText="1"/>
    </xf>
    <xf numFmtId="0" fontId="80" fillId="14" borderId="6" xfId="0" applyFont="1" applyFill="1" applyBorder="1" applyAlignment="1">
      <alignment horizontal="center" vertical="center" wrapText="1"/>
    </xf>
    <xf numFmtId="0" fontId="80" fillId="14" borderId="0" xfId="0" applyFont="1" applyFill="1" applyBorder="1" applyAlignment="1">
      <alignment horizontal="center" vertical="center" wrapText="1"/>
    </xf>
    <xf numFmtId="0" fontId="80" fillId="14" borderId="13" xfId="0" applyFont="1" applyFill="1" applyBorder="1" applyAlignment="1">
      <alignment horizontal="center" vertical="center" wrapText="1"/>
    </xf>
    <xf numFmtId="0" fontId="80" fillId="14" borderId="24" xfId="0" applyFont="1" applyFill="1" applyBorder="1" applyAlignment="1">
      <alignment horizontal="center" vertical="center" wrapText="1"/>
    </xf>
    <xf numFmtId="0" fontId="80" fillId="14" borderId="20" xfId="0" applyFont="1" applyFill="1" applyBorder="1" applyAlignment="1">
      <alignment horizontal="center" vertical="center" wrapText="1"/>
    </xf>
    <xf numFmtId="0" fontId="80" fillId="14" borderId="28" xfId="0" applyFont="1" applyFill="1" applyBorder="1" applyAlignment="1">
      <alignment horizontal="center" vertical="center" wrapText="1"/>
    </xf>
    <xf numFmtId="0" fontId="79" fillId="18" borderId="5" xfId="0" applyFont="1" applyFill="1" applyBorder="1" applyAlignment="1"/>
    <xf numFmtId="0" fontId="107" fillId="18" borderId="5" xfId="0" applyFont="1" applyFill="1" applyBorder="1" applyAlignment="1"/>
    <xf numFmtId="0" fontId="80" fillId="17" borderId="5" xfId="0" applyFont="1" applyFill="1" applyBorder="1" applyAlignment="1"/>
    <xf numFmtId="0" fontId="81" fillId="17" borderId="5" xfId="0" applyFont="1" applyFill="1" applyBorder="1" applyAlignment="1"/>
    <xf numFmtId="0" fontId="80" fillId="14" borderId="5" xfId="0" applyFont="1" applyFill="1" applyBorder="1" applyAlignment="1"/>
    <xf numFmtId="0" fontId="81" fillId="14" borderId="5" xfId="0" applyFont="1" applyFill="1" applyBorder="1" applyAlignment="1"/>
    <xf numFmtId="0" fontId="69" fillId="13" borderId="16" xfId="0" applyFont="1" applyFill="1" applyBorder="1" applyAlignment="1">
      <alignment horizontal="center" vertical="center" wrapText="1"/>
    </xf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5" fillId="22" borderId="11" xfId="0" applyNumberFormat="1" applyFont="1" applyFill="1" applyBorder="1" applyAlignment="1">
      <alignment wrapText="1"/>
    </xf>
    <xf numFmtId="0" fontId="0" fillId="22" borderId="2" xfId="0" applyFill="1" applyBorder="1" applyAlignment="1">
      <alignment wrapText="1"/>
    </xf>
    <xf numFmtId="0" fontId="0" fillId="22" borderId="4" xfId="0" applyFill="1" applyBorder="1" applyAlignment="1">
      <alignment wrapText="1"/>
    </xf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4" fillId="22" borderId="11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2" fontId="5" fillId="8" borderId="18" xfId="0" applyNumberFormat="1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2" fontId="87" fillId="5" borderId="3" xfId="0" applyNumberFormat="1" applyFont="1" applyFill="1" applyBorder="1" applyAlignment="1">
      <alignment wrapText="1"/>
    </xf>
    <xf numFmtId="0" fontId="86" fillId="5" borderId="3" xfId="0" applyFont="1" applyFill="1" applyBorder="1" applyAlignment="1">
      <alignment wrapText="1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2" fontId="87" fillId="5" borderId="11" xfId="0" applyNumberFormat="1" applyFont="1" applyFill="1" applyBorder="1" applyAlignment="1"/>
    <xf numFmtId="2" fontId="17" fillId="8" borderId="11" xfId="0" applyNumberFormat="1" applyFont="1" applyFill="1" applyBorder="1" applyAlignment="1"/>
    <xf numFmtId="0" fontId="11" fillId="8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702</xdr:row>
      <xdr:rowOff>28575</xdr:rowOff>
    </xdr:from>
    <xdr:to>
      <xdr:col>1</xdr:col>
      <xdr:colOff>295275</xdr:colOff>
      <xdr:row>702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700</xdr:row>
      <xdr:rowOff>19050</xdr:rowOff>
    </xdr:from>
    <xdr:to>
      <xdr:col>1</xdr:col>
      <xdr:colOff>180975</xdr:colOff>
      <xdr:row>700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690</xdr:row>
      <xdr:rowOff>76200</xdr:rowOff>
    </xdr:from>
    <xdr:to>
      <xdr:col>8</xdr:col>
      <xdr:colOff>353861</xdr:colOff>
      <xdr:row>696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704</xdr:row>
      <xdr:rowOff>38100</xdr:rowOff>
    </xdr:from>
    <xdr:to>
      <xdr:col>1</xdr:col>
      <xdr:colOff>295275</xdr:colOff>
      <xdr:row>704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703</xdr:row>
      <xdr:rowOff>38100</xdr:rowOff>
    </xdr:from>
    <xdr:to>
      <xdr:col>1</xdr:col>
      <xdr:colOff>295275</xdr:colOff>
      <xdr:row>703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19050</xdr:rowOff>
    </xdr:from>
    <xdr:to>
      <xdr:col>1</xdr:col>
      <xdr:colOff>0</xdr:colOff>
      <xdr:row>616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19050</xdr:rowOff>
    </xdr:from>
    <xdr:to>
      <xdr:col>1</xdr:col>
      <xdr:colOff>0</xdr:colOff>
      <xdr:row>617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19050</xdr:rowOff>
    </xdr:from>
    <xdr:to>
      <xdr:col>1</xdr:col>
      <xdr:colOff>0</xdr:colOff>
      <xdr:row>618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723</xdr:row>
      <xdr:rowOff>36168</xdr:rowOff>
    </xdr:from>
    <xdr:to>
      <xdr:col>22</xdr:col>
      <xdr:colOff>273705</xdr:colOff>
      <xdr:row>723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28575</xdr:rowOff>
    </xdr:from>
    <xdr:to>
      <xdr:col>1</xdr:col>
      <xdr:colOff>0</xdr:colOff>
      <xdr:row>339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28575</xdr:rowOff>
    </xdr:from>
    <xdr:to>
      <xdr:col>1</xdr:col>
      <xdr:colOff>0</xdr:colOff>
      <xdr:row>428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451</xdr:row>
      <xdr:rowOff>19050</xdr:rowOff>
    </xdr:from>
    <xdr:to>
      <xdr:col>24</xdr:col>
      <xdr:colOff>47625</xdr:colOff>
      <xdr:row>451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20292</xdr:rowOff>
    </xdr:from>
    <xdr:to>
      <xdr:col>24</xdr:col>
      <xdr:colOff>47625</xdr:colOff>
      <xdr:row>592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20292</xdr:rowOff>
    </xdr:from>
    <xdr:to>
      <xdr:col>24</xdr:col>
      <xdr:colOff>47625</xdr:colOff>
      <xdr:row>593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47625</xdr:colOff>
      <xdr:row>594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47625</xdr:colOff>
      <xdr:row>597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47625</xdr:colOff>
      <xdr:row>596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47625</xdr:colOff>
      <xdr:row>598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47625</xdr:colOff>
      <xdr:row>599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9525</xdr:rowOff>
    </xdr:from>
    <xdr:to>
      <xdr:col>24</xdr:col>
      <xdr:colOff>47625</xdr:colOff>
      <xdr:row>604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633</xdr:row>
      <xdr:rowOff>19050</xdr:rowOff>
    </xdr:from>
    <xdr:to>
      <xdr:col>24</xdr:col>
      <xdr:colOff>47625</xdr:colOff>
      <xdr:row>633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47625</xdr:colOff>
      <xdr:row>620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177</xdr:row>
      <xdr:rowOff>19050</xdr:rowOff>
    </xdr:from>
    <xdr:to>
      <xdr:col>26</xdr:col>
      <xdr:colOff>9524</xdr:colOff>
      <xdr:row>177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588</xdr:row>
      <xdr:rowOff>19050</xdr:rowOff>
    </xdr:from>
    <xdr:to>
      <xdr:col>24</xdr:col>
      <xdr:colOff>47625</xdr:colOff>
      <xdr:row>588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303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589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28575</xdr:rowOff>
    </xdr:from>
    <xdr:to>
      <xdr:col>1</xdr:col>
      <xdr:colOff>0</xdr:colOff>
      <xdr:row>343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591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649</xdr:row>
      <xdr:rowOff>19050</xdr:rowOff>
    </xdr:from>
    <xdr:to>
      <xdr:col>10</xdr:col>
      <xdr:colOff>1</xdr:colOff>
      <xdr:row>649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205</xdr:row>
      <xdr:rowOff>19050</xdr:rowOff>
    </xdr:from>
    <xdr:to>
      <xdr:col>10</xdr:col>
      <xdr:colOff>1</xdr:colOff>
      <xdr:row>205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47624</xdr:colOff>
      <xdr:row>212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643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47624</xdr:colOff>
      <xdr:row>250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262</xdr:row>
      <xdr:rowOff>19050</xdr:rowOff>
    </xdr:from>
    <xdr:to>
      <xdr:col>26</xdr:col>
      <xdr:colOff>9524</xdr:colOff>
      <xdr:row>262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328</xdr:row>
      <xdr:rowOff>19050</xdr:rowOff>
    </xdr:from>
    <xdr:to>
      <xdr:col>26</xdr:col>
      <xdr:colOff>9524</xdr:colOff>
      <xdr:row>328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267</xdr:row>
      <xdr:rowOff>19050</xdr:rowOff>
    </xdr:from>
    <xdr:to>
      <xdr:col>26</xdr:col>
      <xdr:colOff>9524</xdr:colOff>
      <xdr:row>267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586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628</xdr:row>
      <xdr:rowOff>19050</xdr:rowOff>
    </xdr:from>
    <xdr:to>
      <xdr:col>10</xdr:col>
      <xdr:colOff>1</xdr:colOff>
      <xdr:row>628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629</xdr:row>
      <xdr:rowOff>19050</xdr:rowOff>
    </xdr:from>
    <xdr:to>
      <xdr:col>10</xdr:col>
      <xdr:colOff>1</xdr:colOff>
      <xdr:row>629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630</xdr:row>
      <xdr:rowOff>19050</xdr:rowOff>
    </xdr:from>
    <xdr:to>
      <xdr:col>10</xdr:col>
      <xdr:colOff>1</xdr:colOff>
      <xdr:row>630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632</xdr:row>
      <xdr:rowOff>19050</xdr:rowOff>
    </xdr:from>
    <xdr:to>
      <xdr:col>10</xdr:col>
      <xdr:colOff>1</xdr:colOff>
      <xdr:row>632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633</xdr:row>
      <xdr:rowOff>19050</xdr:rowOff>
    </xdr:from>
    <xdr:to>
      <xdr:col>10</xdr:col>
      <xdr:colOff>1</xdr:colOff>
      <xdr:row>633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301</xdr:row>
      <xdr:rowOff>19050</xdr:rowOff>
    </xdr:from>
    <xdr:to>
      <xdr:col>25</xdr:col>
      <xdr:colOff>74294</xdr:colOff>
      <xdr:row>301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528</xdr:row>
      <xdr:rowOff>19050</xdr:rowOff>
    </xdr:from>
    <xdr:to>
      <xdr:col>24</xdr:col>
      <xdr:colOff>75821</xdr:colOff>
      <xdr:row>528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556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464</xdr:row>
      <xdr:rowOff>19050</xdr:rowOff>
    </xdr:from>
    <xdr:to>
      <xdr:col>24</xdr:col>
      <xdr:colOff>75821</xdr:colOff>
      <xdr:row>464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242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183</xdr:row>
      <xdr:rowOff>19050</xdr:rowOff>
    </xdr:from>
    <xdr:to>
      <xdr:col>26</xdr:col>
      <xdr:colOff>9524</xdr:colOff>
      <xdr:row>183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264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243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458</xdr:row>
      <xdr:rowOff>19050</xdr:rowOff>
    </xdr:from>
    <xdr:to>
      <xdr:col>11</xdr:col>
      <xdr:colOff>0</xdr:colOff>
      <xdr:row>458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460</xdr:row>
      <xdr:rowOff>19050</xdr:rowOff>
    </xdr:from>
    <xdr:to>
      <xdr:col>11</xdr:col>
      <xdr:colOff>0</xdr:colOff>
      <xdr:row>460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461</xdr:row>
      <xdr:rowOff>19050</xdr:rowOff>
    </xdr:from>
    <xdr:to>
      <xdr:col>11</xdr:col>
      <xdr:colOff>0</xdr:colOff>
      <xdr:row>461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104775</xdr:rowOff>
    </xdr:from>
    <xdr:to>
      <xdr:col>14</xdr:col>
      <xdr:colOff>172693</xdr:colOff>
      <xdr:row>495</xdr:row>
      <xdr:rowOff>38100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380</xdr:row>
      <xdr:rowOff>16566</xdr:rowOff>
    </xdr:from>
    <xdr:to>
      <xdr:col>24</xdr:col>
      <xdr:colOff>46383</xdr:colOff>
      <xdr:row>380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354</xdr:row>
      <xdr:rowOff>16566</xdr:rowOff>
    </xdr:from>
    <xdr:to>
      <xdr:col>24</xdr:col>
      <xdr:colOff>46383</xdr:colOff>
      <xdr:row>354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276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276</xdr:row>
      <xdr:rowOff>16566</xdr:rowOff>
    </xdr:from>
    <xdr:to>
      <xdr:col>25</xdr:col>
      <xdr:colOff>82577</xdr:colOff>
      <xdr:row>276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679</xdr:row>
      <xdr:rowOff>19050</xdr:rowOff>
    </xdr:from>
    <xdr:to>
      <xdr:col>13</xdr:col>
      <xdr:colOff>1</xdr:colOff>
      <xdr:row>679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680</xdr:row>
      <xdr:rowOff>19050</xdr:rowOff>
    </xdr:from>
    <xdr:to>
      <xdr:col>13</xdr:col>
      <xdr:colOff>1</xdr:colOff>
      <xdr:row>680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681</xdr:row>
      <xdr:rowOff>19050</xdr:rowOff>
    </xdr:from>
    <xdr:to>
      <xdr:col>13</xdr:col>
      <xdr:colOff>1</xdr:colOff>
      <xdr:row>681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387</xdr:row>
      <xdr:rowOff>28575</xdr:rowOff>
    </xdr:from>
    <xdr:to>
      <xdr:col>1</xdr:col>
      <xdr:colOff>0</xdr:colOff>
      <xdr:row>387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296</xdr:row>
      <xdr:rowOff>19050</xdr:rowOff>
    </xdr:from>
    <xdr:to>
      <xdr:col>24</xdr:col>
      <xdr:colOff>47624</xdr:colOff>
      <xdr:row>296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282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475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617</xdr:row>
      <xdr:rowOff>19050</xdr:rowOff>
    </xdr:from>
    <xdr:to>
      <xdr:col>24</xdr:col>
      <xdr:colOff>49180</xdr:colOff>
      <xdr:row>617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49180</xdr:colOff>
      <xdr:row>616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647</xdr:row>
      <xdr:rowOff>19050</xdr:rowOff>
    </xdr:from>
    <xdr:to>
      <xdr:col>24</xdr:col>
      <xdr:colOff>47625</xdr:colOff>
      <xdr:row>647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649</xdr:row>
      <xdr:rowOff>19050</xdr:rowOff>
    </xdr:from>
    <xdr:to>
      <xdr:col>24</xdr:col>
      <xdr:colOff>49180</xdr:colOff>
      <xdr:row>649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654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645</xdr:row>
      <xdr:rowOff>19050</xdr:rowOff>
    </xdr:from>
    <xdr:to>
      <xdr:col>24</xdr:col>
      <xdr:colOff>49180</xdr:colOff>
      <xdr:row>645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646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634</xdr:row>
      <xdr:rowOff>19050</xdr:rowOff>
    </xdr:from>
    <xdr:to>
      <xdr:col>24</xdr:col>
      <xdr:colOff>47625</xdr:colOff>
      <xdr:row>634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636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609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273</xdr:row>
      <xdr:rowOff>19050</xdr:rowOff>
    </xdr:from>
    <xdr:to>
      <xdr:col>18</xdr:col>
      <xdr:colOff>9526</xdr:colOff>
      <xdr:row>273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287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213</xdr:row>
      <xdr:rowOff>19050</xdr:rowOff>
    </xdr:from>
    <xdr:to>
      <xdr:col>24</xdr:col>
      <xdr:colOff>75821</xdr:colOff>
      <xdr:row>213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128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621</xdr:row>
      <xdr:rowOff>19050</xdr:rowOff>
    </xdr:from>
    <xdr:to>
      <xdr:col>10</xdr:col>
      <xdr:colOff>1</xdr:colOff>
      <xdr:row>621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622</xdr:row>
      <xdr:rowOff>19050</xdr:rowOff>
    </xdr:from>
    <xdr:to>
      <xdr:col>10</xdr:col>
      <xdr:colOff>1</xdr:colOff>
      <xdr:row>622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627</xdr:row>
      <xdr:rowOff>19050</xdr:rowOff>
    </xdr:from>
    <xdr:to>
      <xdr:col>10</xdr:col>
      <xdr:colOff>1</xdr:colOff>
      <xdr:row>627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302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352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349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47624</xdr:colOff>
      <xdr:row>443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47624</xdr:colOff>
      <xdr:row>442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47624</xdr:colOff>
      <xdr:row>367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47624</xdr:colOff>
      <xdr:row>327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568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277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28575</xdr:rowOff>
    </xdr:from>
    <xdr:to>
      <xdr:col>1</xdr:col>
      <xdr:colOff>0</xdr:colOff>
      <xdr:row>299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28575</xdr:rowOff>
    </xdr:from>
    <xdr:to>
      <xdr:col>1</xdr:col>
      <xdr:colOff>0</xdr:colOff>
      <xdr:row>362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650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651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615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245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275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9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95250</xdr:colOff>
      <xdr:row>613</xdr:row>
      <xdr:rowOff>19050</xdr:rowOff>
    </xdr:from>
    <xdr:to>
      <xdr:col>26</xdr:col>
      <xdr:colOff>38100</xdr:colOff>
      <xdr:row>613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91687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376</xdr:row>
      <xdr:rowOff>28575</xdr:rowOff>
    </xdr:from>
    <xdr:ext cx="342900" cy="104775"/>
    <xdr:pic>
      <xdr:nvPicPr>
        <xdr:cNvPr id="102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375</xdr:row>
      <xdr:rowOff>28575</xdr:rowOff>
    </xdr:from>
    <xdr:ext cx="342900" cy="104775"/>
    <xdr:pic>
      <xdr:nvPicPr>
        <xdr:cNvPr id="103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520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521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530</xdr:row>
      <xdr:rowOff>28575</xdr:rowOff>
    </xdr:from>
    <xdr:ext cx="342900" cy="104775"/>
    <xdr:pic>
      <xdr:nvPicPr>
        <xdr:cNvPr id="106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0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295</xdr:row>
      <xdr:rowOff>28575</xdr:rowOff>
    </xdr:from>
    <xdr:to>
      <xdr:col>25</xdr:col>
      <xdr:colOff>83819</xdr:colOff>
      <xdr:row>295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295</xdr:row>
      <xdr:rowOff>19050</xdr:rowOff>
    </xdr:from>
    <xdr:to>
      <xdr:col>24</xdr:col>
      <xdr:colOff>47625</xdr:colOff>
      <xdr:row>295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28575</xdr:rowOff>
    </xdr:from>
    <xdr:to>
      <xdr:col>1</xdr:col>
      <xdr:colOff>0</xdr:colOff>
      <xdr:row>223</xdr:row>
      <xdr:rowOff>133350</xdr:rowOff>
    </xdr:to>
    <xdr:pic>
      <xdr:nvPicPr>
        <xdr:cNvPr id="111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93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28575</xdr:rowOff>
    </xdr:from>
    <xdr:ext cx="342900" cy="104775"/>
    <xdr:pic>
      <xdr:nvPicPr>
        <xdr:cNvPr id="102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4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531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47624</xdr:colOff>
      <xdr:row>648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350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350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241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241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47624</xdr:colOff>
      <xdr:row>438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19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18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28575</xdr:rowOff>
    </xdr:from>
    <xdr:ext cx="342900" cy="104775"/>
    <xdr:pic>
      <xdr:nvPicPr>
        <xdr:cNvPr id="121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431</xdr:row>
      <xdr:rowOff>28575</xdr:rowOff>
    </xdr:from>
    <xdr:ext cx="342900" cy="104775"/>
    <xdr:pic>
      <xdr:nvPicPr>
        <xdr:cNvPr id="12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399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399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524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393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274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00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221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220</xdr:row>
      <xdr:rowOff>28575</xdr:rowOff>
    </xdr:from>
    <xdr:to>
      <xdr:col>1</xdr:col>
      <xdr:colOff>0</xdr:colOff>
      <xdr:row>220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306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80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6" TargetMode="External"/><Relationship Id="rId531" Type="http://schemas.openxmlformats.org/officeDocument/2006/relationships/hyperlink" Target="https://www.jivi.com.ar/ficha.php?id=1299" TargetMode="External"/><Relationship Id="rId170" Type="http://schemas.openxmlformats.org/officeDocument/2006/relationships/hyperlink" Target="https://www.jivi.com.ar/ficha.php?id=1116" TargetMode="External"/><Relationship Id="rId268" Type="http://schemas.openxmlformats.org/officeDocument/2006/relationships/hyperlink" Target="https://www.jivi.com.ar/ficha.php?id=1084" TargetMode="External"/><Relationship Id="rId475" Type="http://schemas.openxmlformats.org/officeDocument/2006/relationships/hyperlink" Target="https://www.jivi.com.ar/ficha.php?id=1722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2" TargetMode="External"/><Relationship Id="rId335" Type="http://schemas.openxmlformats.org/officeDocument/2006/relationships/hyperlink" Target="https://www.jivi.com.ar/ficha.php?id=1509" TargetMode="External"/><Relationship Id="rId542" Type="http://schemas.openxmlformats.org/officeDocument/2006/relationships/hyperlink" Target="https://www.jivi.com.ar/ficha.php?id=1491" TargetMode="External"/><Relationship Id="rId181" Type="http://schemas.openxmlformats.org/officeDocument/2006/relationships/hyperlink" Target="https://www.jivi.com.ar/ficha.php?id=1172" TargetMode="External"/><Relationship Id="rId402" Type="http://schemas.openxmlformats.org/officeDocument/2006/relationships/hyperlink" Target="https://www.jivi.com.ar/ficha.php?id=1591" TargetMode="External"/><Relationship Id="rId279" Type="http://schemas.openxmlformats.org/officeDocument/2006/relationships/hyperlink" Target="https://www.jivi.com.ar/ficha.php?id=1429" TargetMode="External"/><Relationship Id="rId486" Type="http://schemas.openxmlformats.org/officeDocument/2006/relationships/hyperlink" Target="https://www.jivi.com.ar/ficha.php?id=1740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55" TargetMode="External"/><Relationship Id="rId346" Type="http://schemas.openxmlformats.org/officeDocument/2006/relationships/hyperlink" Target="https://www.jivi.com.ar/ficha.php?id=1536" TargetMode="External"/><Relationship Id="rId553" Type="http://schemas.openxmlformats.org/officeDocument/2006/relationships/hyperlink" Target="https://www.jivi.com.ar/ficha.php?id=1443" TargetMode="External"/><Relationship Id="rId192" Type="http://schemas.openxmlformats.org/officeDocument/2006/relationships/hyperlink" Target="https://www.jivi.com.ar/ficha.php?id=1209" TargetMode="External"/><Relationship Id="rId206" Type="http://schemas.openxmlformats.org/officeDocument/2006/relationships/hyperlink" Target="https://www.jivi.com.ar/ficha.php?id=920" TargetMode="External"/><Relationship Id="rId413" Type="http://schemas.openxmlformats.org/officeDocument/2006/relationships/hyperlink" Target="https://www.jivi.com.ar/ficha.php?id=1606" TargetMode="External"/><Relationship Id="rId497" Type="http://schemas.openxmlformats.org/officeDocument/2006/relationships/hyperlink" Target="https://www.jivi.com.ar/ficha.php?id=1750" TargetMode="External"/><Relationship Id="rId357" Type="http://schemas.openxmlformats.org/officeDocument/2006/relationships/hyperlink" Target="https://www.jivi.com.ar/ficha.php?id=1552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607" TargetMode="External"/><Relationship Id="rId564" Type="http://schemas.openxmlformats.org/officeDocument/2006/relationships/hyperlink" Target="https://www.jivi.com.ar/ficha.php?id=1138" TargetMode="External"/><Relationship Id="rId424" Type="http://schemas.openxmlformats.org/officeDocument/2006/relationships/hyperlink" Target="https://www.jivi.com.ar/ficha.php?id=1452" TargetMode="External"/><Relationship Id="rId270" Type="http://schemas.openxmlformats.org/officeDocument/2006/relationships/hyperlink" Target="https://www.jivi.com.ar/ficha.php?id=1419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03" TargetMode="External"/><Relationship Id="rId368" Type="http://schemas.openxmlformats.org/officeDocument/2006/relationships/hyperlink" Target="https://www.jivi.com.ar/ficha.php?id=1562" TargetMode="External"/><Relationship Id="rId575" Type="http://schemas.openxmlformats.org/officeDocument/2006/relationships/hyperlink" Target="https://www.jivi.com.ar/ficha.php?id=1601" TargetMode="External"/><Relationship Id="rId228" Type="http://schemas.openxmlformats.org/officeDocument/2006/relationships/hyperlink" Target="https://www.jivi.com.ar/ficha.php?id=1333" TargetMode="External"/><Relationship Id="rId435" Type="http://schemas.openxmlformats.org/officeDocument/2006/relationships/hyperlink" Target="https://www.jivi.com.ar/ficha.php?id=968" TargetMode="External"/><Relationship Id="rId281" Type="http://schemas.openxmlformats.org/officeDocument/2006/relationships/hyperlink" Target="https://www.jivi.com.ar/ficha.php?id=1432" TargetMode="External"/><Relationship Id="rId502" Type="http://schemas.openxmlformats.org/officeDocument/2006/relationships/hyperlink" Target="https://www.jivi.com.ar/ficha.php?id=1304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7" TargetMode="External"/><Relationship Id="rId379" Type="http://schemas.openxmlformats.org/officeDocument/2006/relationships/hyperlink" Target="https://www.jivi.com.ar/ficha.php?id=1569" TargetMode="External"/><Relationship Id="rId586" Type="http://schemas.openxmlformats.org/officeDocument/2006/relationships/hyperlink" Target="https://www.jivi.com.ar/ficha.php?id=2011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78" TargetMode="External"/><Relationship Id="rId446" Type="http://schemas.openxmlformats.org/officeDocument/2006/relationships/hyperlink" Target="https://www.jivi.com.ar/ficha.php?id=1660" TargetMode="External"/><Relationship Id="rId292" Type="http://schemas.openxmlformats.org/officeDocument/2006/relationships/hyperlink" Target="https://www.jivi.com.ar/ficha.php?id=1446" TargetMode="External"/><Relationship Id="rId306" Type="http://schemas.openxmlformats.org/officeDocument/2006/relationships/hyperlink" Target="https://www.jivi.com.ar/ficha.php?id=1470" TargetMode="External"/><Relationship Id="rId87" Type="http://schemas.openxmlformats.org/officeDocument/2006/relationships/hyperlink" Target="https://www.jivi.com.ar/ficha.php?id=245" TargetMode="External"/><Relationship Id="rId513" Type="http://schemas.openxmlformats.org/officeDocument/2006/relationships/hyperlink" Target="https://www.jivi.com.ar/ficha.php?id=1293" TargetMode="External"/><Relationship Id="rId597" Type="http://schemas.openxmlformats.org/officeDocument/2006/relationships/vmlDrawing" Target="../drawings/vmlDrawing1.vml"/><Relationship Id="rId152" Type="http://schemas.openxmlformats.org/officeDocument/2006/relationships/hyperlink" Target="https://www.jivi.com.ar/ficha.php?id=1059" TargetMode="External"/><Relationship Id="rId457" Type="http://schemas.openxmlformats.org/officeDocument/2006/relationships/hyperlink" Target="https://www.jivi.com.ar/ficha.php?id=1691" TargetMode="External"/><Relationship Id="rId261" Type="http://schemas.openxmlformats.org/officeDocument/2006/relationships/hyperlink" Target="https://www.jivi.com.ar/ficha.php?id=376" TargetMode="External"/><Relationship Id="rId499" Type="http://schemas.openxmlformats.org/officeDocument/2006/relationships/hyperlink" Target="https://www.jivi.com.ar/ficha.php?id=1461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83" TargetMode="External"/><Relationship Id="rId359" Type="http://schemas.openxmlformats.org/officeDocument/2006/relationships/hyperlink" Target="https://www.jivi.com.ar/ficha.php?id=1553" TargetMode="External"/><Relationship Id="rId524" Type="http://schemas.openxmlformats.org/officeDocument/2006/relationships/hyperlink" Target="https://www.jivi.com.ar/ficha.php?id=1128" TargetMode="External"/><Relationship Id="rId566" Type="http://schemas.openxmlformats.org/officeDocument/2006/relationships/hyperlink" Target="https://www.jivi.com.ar/ficha.php?id=1916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9" TargetMode="External"/><Relationship Id="rId163" Type="http://schemas.openxmlformats.org/officeDocument/2006/relationships/hyperlink" Target="https://www.jivi.com.ar/ficha.php?id=1094" TargetMode="External"/><Relationship Id="rId219" Type="http://schemas.openxmlformats.org/officeDocument/2006/relationships/hyperlink" Target="https://www.jivi.com.ar/ficha.php?id=1303" TargetMode="External"/><Relationship Id="rId370" Type="http://schemas.openxmlformats.org/officeDocument/2006/relationships/hyperlink" Target="https://www.jivi.com.ar/ficha.php?id=1414" TargetMode="External"/><Relationship Id="rId426" Type="http://schemas.openxmlformats.org/officeDocument/2006/relationships/hyperlink" Target="https://www.jivi.com.ar/ficha.php?id=1615" TargetMode="External"/><Relationship Id="rId230" Type="http://schemas.openxmlformats.org/officeDocument/2006/relationships/hyperlink" Target="https://www.jivi.com.ar/ficha.php?id=1347" TargetMode="External"/><Relationship Id="rId468" Type="http://schemas.openxmlformats.org/officeDocument/2006/relationships/hyperlink" Target="https://www.jivi.com.ar/ficha.php?id=1704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281" TargetMode="External"/><Relationship Id="rId328" Type="http://schemas.openxmlformats.org/officeDocument/2006/relationships/hyperlink" Target="https://www.jivi.com.ar/ficha.php?id=1500" TargetMode="External"/><Relationship Id="rId535" Type="http://schemas.openxmlformats.org/officeDocument/2006/relationships/hyperlink" Target="https://www.jivi.com.ar/ficha.php?id=1774" TargetMode="External"/><Relationship Id="rId577" Type="http://schemas.openxmlformats.org/officeDocument/2006/relationships/hyperlink" Target="https://www.jivi.com.ar/ficha.php?id=1245" TargetMode="External"/><Relationship Id="rId132" Type="http://schemas.openxmlformats.org/officeDocument/2006/relationships/hyperlink" Target="https://www.jivi.com.ar/ficha.php?id=916" TargetMode="External"/><Relationship Id="rId174" Type="http://schemas.openxmlformats.org/officeDocument/2006/relationships/hyperlink" Target="https://www.jivi.com.ar/ficha.php?id=1157" TargetMode="External"/><Relationship Id="rId381" Type="http://schemas.openxmlformats.org/officeDocument/2006/relationships/hyperlink" Target="https://www.jivi.com.ar/ficha.php?id=1571" TargetMode="External"/><Relationship Id="rId241" Type="http://schemas.openxmlformats.org/officeDocument/2006/relationships/hyperlink" Target="https://www.jivi.com.ar/ficha.php?id=1383" TargetMode="External"/><Relationship Id="rId437" Type="http://schemas.openxmlformats.org/officeDocument/2006/relationships/hyperlink" Target="https://www.jivi.com.ar/ficha.php?id=1642" TargetMode="External"/><Relationship Id="rId479" Type="http://schemas.openxmlformats.org/officeDocument/2006/relationships/hyperlink" Target="https://www.jivi.com.ar/ficha.php?id=1728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37" TargetMode="External"/><Relationship Id="rId339" Type="http://schemas.openxmlformats.org/officeDocument/2006/relationships/hyperlink" Target="https://www.jivi.com.ar/ficha.php?id=1517" TargetMode="External"/><Relationship Id="rId490" Type="http://schemas.openxmlformats.org/officeDocument/2006/relationships/hyperlink" Target="https://www.jivi.com.ar/ficha.php?id=1744" TargetMode="External"/><Relationship Id="rId504" Type="http://schemas.openxmlformats.org/officeDocument/2006/relationships/hyperlink" Target="https://www.jivi.com.ar/ficha.php?id=1777" TargetMode="External"/><Relationship Id="rId546" Type="http://schemas.openxmlformats.org/officeDocument/2006/relationships/hyperlink" Target="https://www.jivi.com.ar/ficha.php?id=1152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73" TargetMode="External"/><Relationship Id="rId185" Type="http://schemas.openxmlformats.org/officeDocument/2006/relationships/hyperlink" Target="https://www.jivi.com.ar/ficha.php?id=915" TargetMode="External"/><Relationship Id="rId350" Type="http://schemas.openxmlformats.org/officeDocument/2006/relationships/hyperlink" Target="https://www.jivi.com.ar/ficha.php?id=1542" TargetMode="External"/><Relationship Id="rId406" Type="http://schemas.openxmlformats.org/officeDocument/2006/relationships/hyperlink" Target="https://www.jivi.com.ar/ficha.php?id=1596" TargetMode="External"/><Relationship Id="rId588" Type="http://schemas.openxmlformats.org/officeDocument/2006/relationships/hyperlink" Target="https://www.jivi.com.ar/ficha.php?id=2014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124" TargetMode="External"/><Relationship Id="rId392" Type="http://schemas.openxmlformats.org/officeDocument/2006/relationships/hyperlink" Target="https://www.jivi.com.ar/ficha.php?id=1580" TargetMode="External"/><Relationship Id="rId448" Type="http://schemas.openxmlformats.org/officeDocument/2006/relationships/hyperlink" Target="https://www.jivi.com.ar/ficha.php?id=440" TargetMode="External"/><Relationship Id="rId252" Type="http://schemas.openxmlformats.org/officeDocument/2006/relationships/hyperlink" Target="https://www.jivi.com.ar/ficha.php?id=1399" TargetMode="External"/><Relationship Id="rId294" Type="http://schemas.openxmlformats.org/officeDocument/2006/relationships/hyperlink" Target="https://www.jivi.com.ar/ficha.php?id=1448" TargetMode="External"/><Relationship Id="rId308" Type="http://schemas.openxmlformats.org/officeDocument/2006/relationships/hyperlink" Target="https://www.jivi.com.ar/ficha.php?id=1472" TargetMode="External"/><Relationship Id="rId515" Type="http://schemas.openxmlformats.org/officeDocument/2006/relationships/hyperlink" Target="https://www.jivi.com.ar/ficha.php?id=1265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34" TargetMode="External"/><Relationship Id="rId154" Type="http://schemas.openxmlformats.org/officeDocument/2006/relationships/hyperlink" Target="https://www.jivi.com.ar/ficha.php?id=1062" TargetMode="External"/><Relationship Id="rId361" Type="http://schemas.openxmlformats.org/officeDocument/2006/relationships/hyperlink" Target="https://www.jivi.com.ar/ficha.php?id=1555" TargetMode="External"/><Relationship Id="rId557" Type="http://schemas.openxmlformats.org/officeDocument/2006/relationships/hyperlink" Target="https://www.jivi.com.ar/ficha.php?id=1530" TargetMode="External"/><Relationship Id="rId196" Type="http://schemas.openxmlformats.org/officeDocument/2006/relationships/hyperlink" Target="https://www.jivi.com.ar/ficha.php?id=1222" TargetMode="External"/><Relationship Id="rId417" Type="http://schemas.openxmlformats.org/officeDocument/2006/relationships/hyperlink" Target="https://www.jivi.com.ar/ficha.php?id=1608" TargetMode="External"/><Relationship Id="rId459" Type="http://schemas.openxmlformats.org/officeDocument/2006/relationships/hyperlink" Target="https://www.jivi.com.ar/ficha.php?id=1695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06" TargetMode="External"/><Relationship Id="rId263" Type="http://schemas.openxmlformats.org/officeDocument/2006/relationships/hyperlink" Target="https://www.jivi.com.ar/ficha.php?id=1393" TargetMode="External"/><Relationship Id="rId319" Type="http://schemas.openxmlformats.org/officeDocument/2006/relationships/hyperlink" Target="https://www.jivi.com.ar/ficha.php?id=1488" TargetMode="External"/><Relationship Id="rId470" Type="http://schemas.openxmlformats.org/officeDocument/2006/relationships/hyperlink" Target="https://www.jivi.com.ar/ficha.php?id=1457" TargetMode="External"/><Relationship Id="rId526" Type="http://schemas.openxmlformats.org/officeDocument/2006/relationships/hyperlink" Target="https://www.jivi.com.ar/ficha.php?id=1804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46" TargetMode="External"/><Relationship Id="rId330" Type="http://schemas.openxmlformats.org/officeDocument/2006/relationships/hyperlink" Target="https://www.jivi.com.ar/ficha.php?id=1504" TargetMode="External"/><Relationship Id="rId568" Type="http://schemas.openxmlformats.org/officeDocument/2006/relationships/hyperlink" Target="https://www.jivi.com.ar/ficha.php?id=1386" TargetMode="External"/><Relationship Id="rId165" Type="http://schemas.openxmlformats.org/officeDocument/2006/relationships/hyperlink" Target="https://www.jivi.com.ar/ficha.php?id=1097" TargetMode="External"/><Relationship Id="rId372" Type="http://schemas.openxmlformats.org/officeDocument/2006/relationships/hyperlink" Target="https://www.jivi.com.ar/ficha.php?id=1407" TargetMode="External"/><Relationship Id="rId428" Type="http://schemas.openxmlformats.org/officeDocument/2006/relationships/hyperlink" Target="https://www.jivi.com.ar/ficha.php?id=1618" TargetMode="External"/><Relationship Id="rId232" Type="http://schemas.openxmlformats.org/officeDocument/2006/relationships/hyperlink" Target="https://www.jivi.com.ar/ficha.php?id=1359" TargetMode="External"/><Relationship Id="rId274" Type="http://schemas.openxmlformats.org/officeDocument/2006/relationships/hyperlink" Target="https://www.jivi.com.ar/ficha.php?id=1421" TargetMode="External"/><Relationship Id="rId481" Type="http://schemas.openxmlformats.org/officeDocument/2006/relationships/hyperlink" Target="https://www.jivi.com.ar/ficha.php?id=1730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26" TargetMode="External"/><Relationship Id="rId537" Type="http://schemas.openxmlformats.org/officeDocument/2006/relationships/hyperlink" Target="https://www.jivi.com.ar/ficha.php?id=1544" TargetMode="External"/><Relationship Id="rId579" Type="http://schemas.openxmlformats.org/officeDocument/2006/relationships/hyperlink" Target="https://www.jivi.com.ar/ficha.php?id=2007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41" TargetMode="External"/><Relationship Id="rId341" Type="http://schemas.openxmlformats.org/officeDocument/2006/relationships/hyperlink" Target="https://www.jivi.com.ar/ficha.php?id=1559" TargetMode="External"/><Relationship Id="rId383" Type="http://schemas.openxmlformats.org/officeDocument/2006/relationships/hyperlink" Target="https://www.jivi.com.ar/ficha.php?id=1572" TargetMode="External"/><Relationship Id="rId439" Type="http://schemas.openxmlformats.org/officeDocument/2006/relationships/hyperlink" Target="https://www.jivi.com.ar/ficha.php?id=1641" TargetMode="External"/><Relationship Id="rId590" Type="http://schemas.openxmlformats.org/officeDocument/2006/relationships/hyperlink" Target="https://www.jivi.com.ar/ficha.php?id=2018" TargetMode="External"/><Relationship Id="rId201" Type="http://schemas.openxmlformats.org/officeDocument/2006/relationships/hyperlink" Target="https://www.jivi.com.ar/ficha.php?id=1226" TargetMode="External"/><Relationship Id="rId243" Type="http://schemas.openxmlformats.org/officeDocument/2006/relationships/hyperlink" Target="https://www.jivi.com.ar/ficha.php?id=1428" TargetMode="External"/><Relationship Id="rId285" Type="http://schemas.openxmlformats.org/officeDocument/2006/relationships/hyperlink" Target="https://www.jivi.com.ar/ficha.php?id=1439" TargetMode="External"/><Relationship Id="rId450" Type="http://schemas.openxmlformats.org/officeDocument/2006/relationships/hyperlink" Target="https://www.jivi.com.ar/ficha.php?id=1666" TargetMode="External"/><Relationship Id="rId506" Type="http://schemas.openxmlformats.org/officeDocument/2006/relationships/hyperlink" Target="https://www.jivi.com.ar/ficha.php?id=1709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995" TargetMode="External"/><Relationship Id="rId492" Type="http://schemas.openxmlformats.org/officeDocument/2006/relationships/hyperlink" Target="https://www.jivi.com.ar/ficha.php?id=1746" TargetMode="External"/><Relationship Id="rId548" Type="http://schemas.openxmlformats.org/officeDocument/2006/relationships/hyperlink" Target="https://www.jivi.com.ar/ficha.php?id=1077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1006" TargetMode="External"/><Relationship Id="rId187" Type="http://schemas.openxmlformats.org/officeDocument/2006/relationships/hyperlink" Target="https://www.jivi.com.ar/ficha.php?id=1183" TargetMode="External"/><Relationship Id="rId352" Type="http://schemas.openxmlformats.org/officeDocument/2006/relationships/hyperlink" Target="https://www.jivi.com.ar/ficha.php?id=1547" TargetMode="External"/><Relationship Id="rId394" Type="http://schemas.openxmlformats.org/officeDocument/2006/relationships/hyperlink" Target="https://www.jivi.com.ar/ficha.php?id=1583" TargetMode="External"/><Relationship Id="rId408" Type="http://schemas.openxmlformats.org/officeDocument/2006/relationships/hyperlink" Target="https://www.jivi.com.ar/ficha.php?id=1599" TargetMode="External"/><Relationship Id="rId212" Type="http://schemas.openxmlformats.org/officeDocument/2006/relationships/hyperlink" Target="https://www.jivi.com.ar/ficha.php?id=1267" TargetMode="External"/><Relationship Id="rId254" Type="http://schemas.openxmlformats.org/officeDocument/2006/relationships/hyperlink" Target="https://www.jivi.com.ar/ficha.php?id=1400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5" TargetMode="External"/><Relationship Id="rId296" Type="http://schemas.openxmlformats.org/officeDocument/2006/relationships/hyperlink" Target="https://www.jivi.com.ar/ficha.php?id=1560" TargetMode="External"/><Relationship Id="rId461" Type="http://schemas.openxmlformats.org/officeDocument/2006/relationships/hyperlink" Target="https://www.jivi.com.ar/ficha.php?id=1697" TargetMode="External"/><Relationship Id="rId517" Type="http://schemas.openxmlformats.org/officeDocument/2006/relationships/hyperlink" Target="https://www.jivi.com.ar/ficha.php?id=1308" TargetMode="External"/><Relationship Id="rId559" Type="http://schemas.openxmlformats.org/officeDocument/2006/relationships/hyperlink" Target="https://www.jivi.com.ar/ficha.php?id=1380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80" TargetMode="External"/><Relationship Id="rId198" Type="http://schemas.openxmlformats.org/officeDocument/2006/relationships/hyperlink" Target="https://www.jivi.com.ar/ficha.php?id=904" TargetMode="External"/><Relationship Id="rId321" Type="http://schemas.openxmlformats.org/officeDocument/2006/relationships/hyperlink" Target="https://www.jivi.com.ar/ficha.php?id=1493" TargetMode="External"/><Relationship Id="rId363" Type="http://schemas.openxmlformats.org/officeDocument/2006/relationships/hyperlink" Target="https://www.jivi.com.ar/ficha.php?id=1558" TargetMode="External"/><Relationship Id="rId419" Type="http://schemas.openxmlformats.org/officeDocument/2006/relationships/hyperlink" Target="https://www.jivi.com.ar/ficha.php?id=1274" TargetMode="External"/><Relationship Id="rId570" Type="http://schemas.openxmlformats.org/officeDocument/2006/relationships/hyperlink" Target="https://www.jivi.com.ar/ficha.php?id=1566" TargetMode="External"/><Relationship Id="rId223" Type="http://schemas.openxmlformats.org/officeDocument/2006/relationships/hyperlink" Target="https://www.jivi.com.ar/ficha.php?id=1290" TargetMode="External"/><Relationship Id="rId430" Type="http://schemas.openxmlformats.org/officeDocument/2006/relationships/hyperlink" Target="https://www.jivi.com.ar/ficha.php?id=1620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13" TargetMode="External"/><Relationship Id="rId472" Type="http://schemas.openxmlformats.org/officeDocument/2006/relationships/hyperlink" Target="https://www.jivi.com.ar/ficha.php?id=1707" TargetMode="External"/><Relationship Id="rId528" Type="http://schemas.openxmlformats.org/officeDocument/2006/relationships/hyperlink" Target="https://www.jivi.com.ar/ficha.php?id=1342" TargetMode="External"/><Relationship Id="rId125" Type="http://schemas.openxmlformats.org/officeDocument/2006/relationships/hyperlink" Target="https://www.jivi.com.ar/ficha.php?id=854" TargetMode="External"/><Relationship Id="rId167" Type="http://schemas.openxmlformats.org/officeDocument/2006/relationships/hyperlink" Target="https://www.jivi.com.ar/ficha.php?id=885" TargetMode="External"/><Relationship Id="rId332" Type="http://schemas.openxmlformats.org/officeDocument/2006/relationships/hyperlink" Target="https://www.jivi.com.ar/ficha.php?id=1506" TargetMode="External"/><Relationship Id="rId374" Type="http://schemas.openxmlformats.org/officeDocument/2006/relationships/hyperlink" Target="https://www.jivi.com.ar/ficha.php?id=1408" TargetMode="External"/><Relationship Id="rId581" Type="http://schemas.openxmlformats.org/officeDocument/2006/relationships/hyperlink" Target="https://www.jivi.com.ar/ficha.php?id=2008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65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3" TargetMode="External"/><Relationship Id="rId441" Type="http://schemas.openxmlformats.org/officeDocument/2006/relationships/hyperlink" Target="https://www.jivi.com.ar/ficha.php?id=1637" TargetMode="External"/><Relationship Id="rId483" Type="http://schemas.openxmlformats.org/officeDocument/2006/relationships/hyperlink" Target="https://www.jivi.com.ar/ficha.php?id=1732" TargetMode="External"/><Relationship Id="rId539" Type="http://schemas.openxmlformats.org/officeDocument/2006/relationships/hyperlink" Target="https://www.jivi.com.ar/ficha.php?id=1556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247" TargetMode="External"/><Relationship Id="rId178" Type="http://schemas.openxmlformats.org/officeDocument/2006/relationships/hyperlink" Target="https://www.jivi.com.ar/ficha.php?id=1156" TargetMode="External"/><Relationship Id="rId301" Type="http://schemas.openxmlformats.org/officeDocument/2006/relationships/hyperlink" Target="https://www.jivi.com.ar/ficha.php?id=1463" TargetMode="External"/><Relationship Id="rId343" Type="http://schemas.openxmlformats.org/officeDocument/2006/relationships/hyperlink" Target="https://www.jivi.com.ar/ficha.php?id=1532" TargetMode="External"/><Relationship Id="rId550" Type="http://schemas.openxmlformats.org/officeDocument/2006/relationships/hyperlink" Target="https://www.jivi.com.ar/ficha.php?id=1616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060" TargetMode="External"/><Relationship Id="rId385" Type="http://schemas.openxmlformats.org/officeDocument/2006/relationships/hyperlink" Target="https://www.jivi.com.ar/ficha.php?id=1294" TargetMode="External"/><Relationship Id="rId592" Type="http://schemas.openxmlformats.org/officeDocument/2006/relationships/hyperlink" Target="https://www.jivi.com.ar/ficha.php?id=2026" TargetMode="External"/><Relationship Id="rId245" Type="http://schemas.openxmlformats.org/officeDocument/2006/relationships/hyperlink" Target="https://www.jivi.com.ar/ficha.php?id=1387" TargetMode="External"/><Relationship Id="rId287" Type="http://schemas.openxmlformats.org/officeDocument/2006/relationships/hyperlink" Target="https://www.jivi.com.ar/ficha.php?id=1427" TargetMode="External"/><Relationship Id="rId410" Type="http://schemas.openxmlformats.org/officeDocument/2006/relationships/hyperlink" Target="https://www.jivi.com.ar/ficha.php?id=1603" TargetMode="External"/><Relationship Id="rId452" Type="http://schemas.openxmlformats.org/officeDocument/2006/relationships/hyperlink" Target="https://www.jivi.com.ar/ficha.php?id=1684" TargetMode="External"/><Relationship Id="rId494" Type="http://schemas.openxmlformats.org/officeDocument/2006/relationships/hyperlink" Target="https://www.jivi.com.ar/ficha.php?id=1748" TargetMode="External"/><Relationship Id="rId508" Type="http://schemas.openxmlformats.org/officeDocument/2006/relationships/hyperlink" Target="https://www.jivi.com.ar/ficha.php?id=1736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251" TargetMode="External"/><Relationship Id="rId312" Type="http://schemas.openxmlformats.org/officeDocument/2006/relationships/hyperlink" Target="https://www.jivi.com.ar/ficha.php?id=835" TargetMode="External"/><Relationship Id="rId354" Type="http://schemas.openxmlformats.org/officeDocument/2006/relationships/hyperlink" Target="https://www.jivi.com.ar/ficha.php?id=1548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349" TargetMode="External"/><Relationship Id="rId396" Type="http://schemas.openxmlformats.org/officeDocument/2006/relationships/hyperlink" Target="https://www.jivi.com.ar/ficha.php?id=1586" TargetMode="External"/><Relationship Id="rId561" Type="http://schemas.openxmlformats.org/officeDocument/2006/relationships/hyperlink" Target="https://www.jivi.com.ar/ficha.php?id=1371" TargetMode="External"/><Relationship Id="rId214" Type="http://schemas.openxmlformats.org/officeDocument/2006/relationships/hyperlink" Target="https://www.jivi.com.ar/ficha.php?id=1277" TargetMode="External"/><Relationship Id="rId256" Type="http://schemas.openxmlformats.org/officeDocument/2006/relationships/hyperlink" Target="https://www.jivi.com.ar/ficha.php?id=1392" TargetMode="External"/><Relationship Id="rId298" Type="http://schemas.openxmlformats.org/officeDocument/2006/relationships/hyperlink" Target="https://www.jivi.com.ar/ficha.php?id=1063" TargetMode="External"/><Relationship Id="rId421" Type="http://schemas.openxmlformats.org/officeDocument/2006/relationships/hyperlink" Target="https://www.jivi.com.ar/ficha.php?id=1611" TargetMode="External"/><Relationship Id="rId463" Type="http://schemas.openxmlformats.org/officeDocument/2006/relationships/hyperlink" Target="https://www.jivi.com.ar/ficha.php?id=1699" TargetMode="External"/><Relationship Id="rId519" Type="http://schemas.openxmlformats.org/officeDocument/2006/relationships/hyperlink" Target="https://www.jivi.com.ar/ficha.php?id=1790" TargetMode="External"/><Relationship Id="rId116" Type="http://schemas.openxmlformats.org/officeDocument/2006/relationships/hyperlink" Target="https://www.jivi.com.ar/ficha.php?id=51" TargetMode="External"/><Relationship Id="rId158" Type="http://schemas.openxmlformats.org/officeDocument/2006/relationships/hyperlink" Target="https://www.jivi.com.ar/ficha.php?id=1088" TargetMode="External"/><Relationship Id="rId323" Type="http://schemas.openxmlformats.org/officeDocument/2006/relationships/hyperlink" Target="https://www.jivi.com.ar/ficha.php?id=1495" TargetMode="External"/><Relationship Id="rId530" Type="http://schemas.openxmlformats.org/officeDocument/2006/relationships/hyperlink" Target="https://www.jivi.com.ar/ficha.php?id=1377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61" TargetMode="External"/><Relationship Id="rId572" Type="http://schemas.openxmlformats.org/officeDocument/2006/relationships/hyperlink" Target="https://www.jivi.com.ar/ficha.php?id=1411" TargetMode="External"/><Relationship Id="rId225" Type="http://schemas.openxmlformats.org/officeDocument/2006/relationships/hyperlink" Target="https://www.jivi.com.ar/ficha.php?id=1314" TargetMode="External"/><Relationship Id="rId267" Type="http://schemas.openxmlformats.org/officeDocument/2006/relationships/hyperlink" Target="https://www.jivi.com.ar/ficha.php?id=1356" TargetMode="External"/><Relationship Id="rId432" Type="http://schemas.openxmlformats.org/officeDocument/2006/relationships/hyperlink" Target="https://www.jivi.com.ar/ficha.php?id=1621" TargetMode="External"/><Relationship Id="rId474" Type="http://schemas.openxmlformats.org/officeDocument/2006/relationships/hyperlink" Target="https://www.jivi.com.ar/ficha.php?id=1721" TargetMode="External"/><Relationship Id="rId127" Type="http://schemas.openxmlformats.org/officeDocument/2006/relationships/hyperlink" Target="https://www.jivi.com.ar/ficha.php?id=888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108" TargetMode="External"/><Relationship Id="rId334" Type="http://schemas.openxmlformats.org/officeDocument/2006/relationships/hyperlink" Target="https://www.jivi.com.ar/ficha.php?id=1508" TargetMode="External"/><Relationship Id="rId376" Type="http://schemas.openxmlformats.org/officeDocument/2006/relationships/hyperlink" Target="https://www.jivi.com.ar/ficha.php?id=1434" TargetMode="External"/><Relationship Id="rId541" Type="http://schemas.openxmlformats.org/officeDocument/2006/relationships/hyperlink" Target="https://www.jivi.com.ar/ficha.php?id=1491" TargetMode="External"/><Relationship Id="rId583" Type="http://schemas.openxmlformats.org/officeDocument/2006/relationships/hyperlink" Target="https://www.jivi.com.ar/ficha.php?id=1658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68" TargetMode="External"/><Relationship Id="rId236" Type="http://schemas.openxmlformats.org/officeDocument/2006/relationships/hyperlink" Target="https://www.jivi.com.ar/registro.php" TargetMode="External"/><Relationship Id="rId278" Type="http://schemas.openxmlformats.org/officeDocument/2006/relationships/hyperlink" Target="https://www.jivi.com.ar/ficha.php?id=1426" TargetMode="External"/><Relationship Id="rId401" Type="http://schemas.openxmlformats.org/officeDocument/2006/relationships/hyperlink" Target="https://www.jivi.com.ar/ficha.php?id=1590" TargetMode="External"/><Relationship Id="rId443" Type="http://schemas.openxmlformats.org/officeDocument/2006/relationships/hyperlink" Target="https://www.jivi.com.ar/ficha.php?id=1655" TargetMode="External"/><Relationship Id="rId303" Type="http://schemas.openxmlformats.org/officeDocument/2006/relationships/hyperlink" Target="https://www.jivi.com.ar/ficha.php?id=1466" TargetMode="External"/><Relationship Id="rId485" Type="http://schemas.openxmlformats.org/officeDocument/2006/relationships/hyperlink" Target="https://www.jivi.com.ar/ficha.php?id=1738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54" TargetMode="External"/><Relationship Id="rId345" Type="http://schemas.openxmlformats.org/officeDocument/2006/relationships/hyperlink" Target="https://www.jivi.com.ar/ficha.php?id=1535" TargetMode="External"/><Relationship Id="rId387" Type="http://schemas.openxmlformats.org/officeDocument/2006/relationships/hyperlink" Target="https://www.jivi.com.ar/ficha.php?id=1296" TargetMode="External"/><Relationship Id="rId510" Type="http://schemas.openxmlformats.org/officeDocument/2006/relationships/hyperlink" Target="https://www.jivi.com.ar/ficha.php?id=1779" TargetMode="External"/><Relationship Id="rId552" Type="http://schemas.openxmlformats.org/officeDocument/2006/relationships/hyperlink" Target="https://www.jivi.com.ar/ficha.php?id=1864" TargetMode="External"/><Relationship Id="rId594" Type="http://schemas.openxmlformats.org/officeDocument/2006/relationships/hyperlink" Target="https://www.jivi.com.ar/ficha.php?id=444" TargetMode="External"/><Relationship Id="rId191" Type="http://schemas.openxmlformats.org/officeDocument/2006/relationships/hyperlink" Target="https://www.jivi.com.ar/ficha.php?id=1181" TargetMode="External"/><Relationship Id="rId205" Type="http://schemas.openxmlformats.org/officeDocument/2006/relationships/hyperlink" Target="https://www.jivi.com.ar/ficha.php?id=883" TargetMode="External"/><Relationship Id="rId247" Type="http://schemas.openxmlformats.org/officeDocument/2006/relationships/hyperlink" Target="https://www.jivi.com.ar/ficha.php?id=363" TargetMode="External"/><Relationship Id="rId412" Type="http://schemas.openxmlformats.org/officeDocument/2006/relationships/hyperlink" Target="https://www.jivi.com.ar/ficha.php?id=1604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056" TargetMode="External"/><Relationship Id="rId454" Type="http://schemas.openxmlformats.org/officeDocument/2006/relationships/hyperlink" Target="https://www.jivi.com.ar/ficha.php?id=1687" TargetMode="External"/><Relationship Id="rId496" Type="http://schemas.openxmlformats.org/officeDocument/2006/relationships/hyperlink" Target="https://www.jivi.com.ar/ficha.php?id=1787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25" TargetMode="External"/><Relationship Id="rId314" Type="http://schemas.openxmlformats.org/officeDocument/2006/relationships/hyperlink" Target="https://www.jivi.com.ar/ficha.php?id=1479" TargetMode="External"/><Relationship Id="rId356" Type="http://schemas.openxmlformats.org/officeDocument/2006/relationships/hyperlink" Target="https://www.jivi.com.ar/ficha.php?id=1551" TargetMode="External"/><Relationship Id="rId398" Type="http://schemas.openxmlformats.org/officeDocument/2006/relationships/hyperlink" Target="https://www.jivi.com.ar/ficha.php?id=1221" TargetMode="External"/><Relationship Id="rId521" Type="http://schemas.openxmlformats.org/officeDocument/2006/relationships/hyperlink" Target="https://www.jivi.com.ar/ficha.php?id=1791" TargetMode="External"/><Relationship Id="rId563" Type="http://schemas.openxmlformats.org/officeDocument/2006/relationships/hyperlink" Target="https://www.jivi.com.ar/ficha.php?id=1579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90" TargetMode="External"/><Relationship Id="rId216" Type="http://schemas.openxmlformats.org/officeDocument/2006/relationships/hyperlink" Target="https://www.jivi.com.ar/ficha.php?id=378" TargetMode="External"/><Relationship Id="rId423" Type="http://schemas.openxmlformats.org/officeDocument/2006/relationships/hyperlink" Target="https://www.jivi.com.ar/ficha.php?id=1614" TargetMode="External"/><Relationship Id="rId258" Type="http://schemas.openxmlformats.org/officeDocument/2006/relationships/hyperlink" Target="https://www.jivi.com.ar/ficha.php?id=1110" TargetMode="External"/><Relationship Id="rId465" Type="http://schemas.openxmlformats.org/officeDocument/2006/relationships/hyperlink" Target="https://www.jivi.com.ar/ficha.php?id=1462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809" TargetMode="External"/><Relationship Id="rId325" Type="http://schemas.openxmlformats.org/officeDocument/2006/relationships/hyperlink" Target="https://www.jivi.com.ar/ficha.php?id=1497" TargetMode="External"/><Relationship Id="rId367" Type="http://schemas.openxmlformats.org/officeDocument/2006/relationships/hyperlink" Target="https://www.jivi.com.ar/ficha.php?id=1066" TargetMode="External"/><Relationship Id="rId532" Type="http://schemas.openxmlformats.org/officeDocument/2006/relationships/hyperlink" Target="https://www.jivi.com.ar/ficha.php?id=1453" TargetMode="External"/><Relationship Id="rId574" Type="http://schemas.openxmlformats.org/officeDocument/2006/relationships/hyperlink" Target="https://www.jivi.com.ar/ficha.php?id=2002" TargetMode="External"/><Relationship Id="rId171" Type="http://schemas.openxmlformats.org/officeDocument/2006/relationships/hyperlink" Target="https://www.jivi.com.ar/ficha.php?id=1119" TargetMode="External"/><Relationship Id="rId227" Type="http://schemas.openxmlformats.org/officeDocument/2006/relationships/hyperlink" Target="https://www.jivi.com.ar/ficha.php?id=1344" TargetMode="External"/><Relationship Id="rId269" Type="http://schemas.openxmlformats.org/officeDocument/2006/relationships/hyperlink" Target="https://www.jivi.com.ar/ficha.php?id=1353" TargetMode="External"/><Relationship Id="rId434" Type="http://schemas.openxmlformats.org/officeDocument/2006/relationships/hyperlink" Target="https://www.jivi.com.ar/ficha.php?id=1635" TargetMode="External"/><Relationship Id="rId476" Type="http://schemas.openxmlformats.org/officeDocument/2006/relationships/hyperlink" Target="https://www.jivi.com.ar/ficha.php?id=1723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1" TargetMode="External"/><Relationship Id="rId280" Type="http://schemas.openxmlformats.org/officeDocument/2006/relationships/hyperlink" Target="https://www.jivi.com.ar/ficha.php?id=1431" TargetMode="External"/><Relationship Id="rId336" Type="http://schemas.openxmlformats.org/officeDocument/2006/relationships/hyperlink" Target="https://www.jivi.com.ar/ficha.php?id=1511" TargetMode="External"/><Relationship Id="rId501" Type="http://schemas.openxmlformats.org/officeDocument/2006/relationships/hyperlink" Target="https://www.jivi.com.ar/ficha.php?id=1310" TargetMode="External"/><Relationship Id="rId543" Type="http://schemas.openxmlformats.org/officeDocument/2006/relationships/hyperlink" Target="https://www.jivi.com.ar/ficha.php?id=1594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6" TargetMode="External"/><Relationship Id="rId182" Type="http://schemas.openxmlformats.org/officeDocument/2006/relationships/hyperlink" Target="https://www.jivi.com.ar/ficha.php?id=975" TargetMode="External"/><Relationship Id="rId378" Type="http://schemas.openxmlformats.org/officeDocument/2006/relationships/hyperlink" Target="https://www.jivi.com.ar/ficha.php?id=1568" TargetMode="External"/><Relationship Id="rId403" Type="http://schemas.openxmlformats.org/officeDocument/2006/relationships/hyperlink" Target="https://www.jivi.com.ar/ficha.php?id=1592" TargetMode="External"/><Relationship Id="rId585" Type="http://schemas.openxmlformats.org/officeDocument/2006/relationships/hyperlink" Target="https://www.jivi.com.ar/ficha.php?id=201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72" TargetMode="External"/><Relationship Id="rId445" Type="http://schemas.openxmlformats.org/officeDocument/2006/relationships/hyperlink" Target="https://www.jivi.com.ar/ficha.php?id=1657" TargetMode="External"/><Relationship Id="rId487" Type="http://schemas.openxmlformats.org/officeDocument/2006/relationships/hyperlink" Target="https://www.jivi.com.ar/ficha.php?id=1742" TargetMode="External"/><Relationship Id="rId291" Type="http://schemas.openxmlformats.org/officeDocument/2006/relationships/hyperlink" Target="https://www.jivi.com.ar/ficha.php?id=1335" TargetMode="External"/><Relationship Id="rId305" Type="http://schemas.openxmlformats.org/officeDocument/2006/relationships/hyperlink" Target="https://www.jivi.com.ar/ficha.php?id=1468" TargetMode="External"/><Relationship Id="rId347" Type="http://schemas.openxmlformats.org/officeDocument/2006/relationships/hyperlink" Target="https://www.jivi.com.ar/ficha.php?id=1539" TargetMode="External"/><Relationship Id="rId512" Type="http://schemas.openxmlformats.org/officeDocument/2006/relationships/hyperlink" Target="https://www.jivi.com.ar/ficha.php?id=1781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49" TargetMode="External"/><Relationship Id="rId389" Type="http://schemas.openxmlformats.org/officeDocument/2006/relationships/hyperlink" Target="https://www.jivi.com.ar/ficha.php?id=1249" TargetMode="External"/><Relationship Id="rId554" Type="http://schemas.openxmlformats.org/officeDocument/2006/relationships/hyperlink" Target="https://www.jivi.com.ar/ficha.php?id=1055" TargetMode="External"/><Relationship Id="rId596" Type="http://schemas.openxmlformats.org/officeDocument/2006/relationships/drawing" Target="../drawings/drawing1.xml"/><Relationship Id="rId193" Type="http://schemas.openxmlformats.org/officeDocument/2006/relationships/hyperlink" Target="https://www.jivi.com.ar/ficha.php?id=1218" TargetMode="External"/><Relationship Id="rId207" Type="http://schemas.openxmlformats.org/officeDocument/2006/relationships/hyperlink" Target="https://jivi.com.ar/ficha.php?id=89" TargetMode="External"/><Relationship Id="rId249" Type="http://schemas.openxmlformats.org/officeDocument/2006/relationships/hyperlink" Target="https://www.jivi.com.ar/ficha.php?id=1343" TargetMode="External"/><Relationship Id="rId414" Type="http://schemas.openxmlformats.org/officeDocument/2006/relationships/hyperlink" Target="https://www.jivi.com.ar/ficha.php?id=1424" TargetMode="External"/><Relationship Id="rId456" Type="http://schemas.openxmlformats.org/officeDocument/2006/relationships/hyperlink" Target="https://www.jivi.com.ar/ficha.php?id=1690" TargetMode="External"/><Relationship Id="rId498" Type="http://schemas.openxmlformats.org/officeDocument/2006/relationships/hyperlink" Target="https://www.jivi.com.ar/ficha.php?id=1751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477" TargetMode="External"/><Relationship Id="rId316" Type="http://schemas.openxmlformats.org/officeDocument/2006/relationships/hyperlink" Target="https://www.jivi.com.ar/ficha.php?id=1481" TargetMode="External"/><Relationship Id="rId523" Type="http://schemas.openxmlformats.org/officeDocument/2006/relationships/hyperlink" Target="https://www.jivi.com.ar/ficha.php?id=108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708" TargetMode="External"/><Relationship Id="rId358" Type="http://schemas.openxmlformats.org/officeDocument/2006/relationships/hyperlink" Target="https://www.jivi.com.ar/ficha.php?id=1311" TargetMode="External"/><Relationship Id="rId565" Type="http://schemas.openxmlformats.org/officeDocument/2006/relationships/hyperlink" Target="https://www.jivi.com.ar/ficha.php?id=1911" TargetMode="External"/><Relationship Id="rId162" Type="http://schemas.openxmlformats.org/officeDocument/2006/relationships/hyperlink" Target="https://www.jivi.com.ar/ficha.php?id=1095" TargetMode="External"/><Relationship Id="rId218" Type="http://schemas.openxmlformats.org/officeDocument/2006/relationships/hyperlink" Target="https://www.jivi.com.ar/ficha.php?id=1302" TargetMode="External"/><Relationship Id="rId425" Type="http://schemas.openxmlformats.org/officeDocument/2006/relationships/hyperlink" Target="https://www.jivi.com.ar/ficha.php?id=608" TargetMode="External"/><Relationship Id="rId467" Type="http://schemas.openxmlformats.org/officeDocument/2006/relationships/hyperlink" Target="https://www.jivi.com.ar/ficha.php?id=1528" TargetMode="External"/><Relationship Id="rId271" Type="http://schemas.openxmlformats.org/officeDocument/2006/relationships/hyperlink" Target="https://www.jivi.com.ar/ficha.php?id=1418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6" TargetMode="External"/><Relationship Id="rId327" Type="http://schemas.openxmlformats.org/officeDocument/2006/relationships/hyperlink" Target="https://www.jivi.com.ar/ficha.php?id=1499" TargetMode="External"/><Relationship Id="rId369" Type="http://schemas.openxmlformats.org/officeDocument/2006/relationships/hyperlink" Target="https://www.jivi.com.ar/ficha.php?id=1563" TargetMode="External"/><Relationship Id="rId534" Type="http://schemas.openxmlformats.org/officeDocument/2006/relationships/hyperlink" Target="https://www.jivi.com.ar/ficha.php?id=1131" TargetMode="External"/><Relationship Id="rId576" Type="http://schemas.openxmlformats.org/officeDocument/2006/relationships/hyperlink" Target="https://www.jivi.com.ar/ficha.php?id=1577" TargetMode="External"/><Relationship Id="rId173" Type="http://schemas.openxmlformats.org/officeDocument/2006/relationships/hyperlink" Target="https://www.jivi.com.ar/ficha.php?id=1154" TargetMode="External"/><Relationship Id="rId229" Type="http://schemas.openxmlformats.org/officeDocument/2006/relationships/hyperlink" Target="https://www.jivi.com.ar/ficha.php?id=1346" TargetMode="External"/><Relationship Id="rId380" Type="http://schemas.openxmlformats.org/officeDocument/2006/relationships/hyperlink" Target="https://www.jivi.com.ar/ficha.php?id=1570" TargetMode="External"/><Relationship Id="rId436" Type="http://schemas.openxmlformats.org/officeDocument/2006/relationships/hyperlink" Target="https://www.jivi.com.ar/ficha.php?id=1643" TargetMode="External"/><Relationship Id="rId240" Type="http://schemas.openxmlformats.org/officeDocument/2006/relationships/hyperlink" Target="https://www.jivi.com.ar/ficha.php?id=1382" TargetMode="External"/><Relationship Id="rId478" Type="http://schemas.openxmlformats.org/officeDocument/2006/relationships/hyperlink" Target="https://www.jivi.com.ar/ficha.php?id=1727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36" TargetMode="External"/><Relationship Id="rId338" Type="http://schemas.openxmlformats.org/officeDocument/2006/relationships/hyperlink" Target="https://www.jivi.com.ar/ficha.php?id=1516" TargetMode="External"/><Relationship Id="rId503" Type="http://schemas.openxmlformats.org/officeDocument/2006/relationships/hyperlink" Target="https://www.jivi.com.ar/ficha.php?id=76" TargetMode="External"/><Relationship Id="rId545" Type="http://schemas.openxmlformats.org/officeDocument/2006/relationships/hyperlink" Target="https://www.jivi.com.ar/ficha.php?id=1799" TargetMode="External"/><Relationship Id="rId587" Type="http://schemas.openxmlformats.org/officeDocument/2006/relationships/hyperlink" Target="https://www.jivi.com.ar/ficha.php?id=2012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67" TargetMode="External"/><Relationship Id="rId184" Type="http://schemas.openxmlformats.org/officeDocument/2006/relationships/hyperlink" Target="https://www.jivi.com.ar/ficha.php?id=1175" TargetMode="External"/><Relationship Id="rId391" Type="http://schemas.openxmlformats.org/officeDocument/2006/relationships/hyperlink" Target="https://www.jivi.com.ar/ficha.php?id=1576" TargetMode="External"/><Relationship Id="rId405" Type="http://schemas.openxmlformats.org/officeDocument/2006/relationships/hyperlink" Target="https://www.jivi.com.ar/ficha.php?id=1595" TargetMode="External"/><Relationship Id="rId447" Type="http://schemas.openxmlformats.org/officeDocument/2006/relationships/hyperlink" Target="https://www.jivi.com.ar/ficha.php?id=1663" TargetMode="External"/><Relationship Id="rId251" Type="http://schemas.openxmlformats.org/officeDocument/2006/relationships/hyperlink" Target="https://www.jivi.com.ar/ficha.php?id=872" TargetMode="External"/><Relationship Id="rId489" Type="http://schemas.openxmlformats.org/officeDocument/2006/relationships/hyperlink" Target="https://www.jivi.com.ar/ficha.php?id=1743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354" TargetMode="External"/><Relationship Id="rId307" Type="http://schemas.openxmlformats.org/officeDocument/2006/relationships/hyperlink" Target="https://www.jivi.com.ar/ficha.php?id=1471" TargetMode="External"/><Relationship Id="rId349" Type="http://schemas.openxmlformats.org/officeDocument/2006/relationships/hyperlink" Target="https://www.jivi.com.ar/ficha.php?id=1541" TargetMode="External"/><Relationship Id="rId514" Type="http://schemas.openxmlformats.org/officeDocument/2006/relationships/hyperlink" Target="https://www.jivi.com.ar/ficha.php?id=1340" TargetMode="External"/><Relationship Id="rId556" Type="http://schemas.openxmlformats.org/officeDocument/2006/relationships/hyperlink" Target="https://www.jivi.com.ar/ficha.php?id=1739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6" TargetMode="External"/><Relationship Id="rId153" Type="http://schemas.openxmlformats.org/officeDocument/2006/relationships/hyperlink" Target="https://www.jivi.com.ar/ficha.php?id=1061" TargetMode="External"/><Relationship Id="rId195" Type="http://schemas.openxmlformats.org/officeDocument/2006/relationships/hyperlink" Target="https://www.jivi.com.ar/ficha.php?id=1220" TargetMode="External"/><Relationship Id="rId209" Type="http://schemas.openxmlformats.org/officeDocument/2006/relationships/hyperlink" Target="https://www.jivi.com.ar/ficha.php?id=1253" TargetMode="External"/><Relationship Id="rId360" Type="http://schemas.openxmlformats.org/officeDocument/2006/relationships/hyperlink" Target="https://www.jivi.com.ar/ficha.php?id=1554" TargetMode="External"/><Relationship Id="rId416" Type="http://schemas.openxmlformats.org/officeDocument/2006/relationships/hyperlink" Target="https://www.jivi.com.ar/ficha.php?id=1459" TargetMode="External"/><Relationship Id="rId598" Type="http://schemas.openxmlformats.org/officeDocument/2006/relationships/comments" Target="../comments1.xml"/><Relationship Id="rId220" Type="http://schemas.openxmlformats.org/officeDocument/2006/relationships/hyperlink" Target="https://www.jivi.com.ar/ficha.php?id=1305" TargetMode="External"/><Relationship Id="rId458" Type="http://schemas.openxmlformats.org/officeDocument/2006/relationships/hyperlink" Target="https://www.jivi.com.ar/ficha.php?id=1438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02" TargetMode="External"/><Relationship Id="rId318" Type="http://schemas.openxmlformats.org/officeDocument/2006/relationships/hyperlink" Target="https://www.jivi.com.ar/ficha.php?id=1486" TargetMode="External"/><Relationship Id="rId525" Type="http://schemas.openxmlformats.org/officeDocument/2006/relationships/hyperlink" Target="https://www.jivi.com.ar/ficha.php?id=1451" TargetMode="External"/><Relationship Id="rId567" Type="http://schemas.openxmlformats.org/officeDocument/2006/relationships/hyperlink" Target="https://www.jivi.com.ar/ficha.php?id=1912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840" TargetMode="External"/><Relationship Id="rId164" Type="http://schemas.openxmlformats.org/officeDocument/2006/relationships/hyperlink" Target="https://www.jivi.com.ar/ficha.php?id=297" TargetMode="External"/><Relationship Id="rId371" Type="http://schemas.openxmlformats.org/officeDocument/2006/relationships/hyperlink" Target="https://www.jivi.com.ar/ficha.php?id=790" TargetMode="External"/><Relationship Id="rId427" Type="http://schemas.openxmlformats.org/officeDocument/2006/relationships/hyperlink" Target="https://www.jivi.com.ar/ficha.php?id=1617" TargetMode="External"/><Relationship Id="rId469" Type="http://schemas.openxmlformats.org/officeDocument/2006/relationships/hyperlink" Target="https://www.jivi.com.ar/ficha.php?id=977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48" TargetMode="External"/><Relationship Id="rId273" Type="http://schemas.openxmlformats.org/officeDocument/2006/relationships/hyperlink" Target="https://www.jivi.com.ar/ficha.php?id=1420" TargetMode="External"/><Relationship Id="rId329" Type="http://schemas.openxmlformats.org/officeDocument/2006/relationships/hyperlink" Target="https://www.jivi.com.ar/ficha.php?id=1502" TargetMode="External"/><Relationship Id="rId480" Type="http://schemas.openxmlformats.org/officeDocument/2006/relationships/hyperlink" Target="https://www.jivi.com.ar/ficha.php?id=1729" TargetMode="External"/><Relationship Id="rId536" Type="http://schemas.openxmlformats.org/officeDocument/2006/relationships/hyperlink" Target="https://www.jivi.com.ar/ficha.php?id=1820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918" TargetMode="External"/><Relationship Id="rId175" Type="http://schemas.openxmlformats.org/officeDocument/2006/relationships/hyperlink" Target="https://www.jivi.com.ar/ficha.php?id=1158" TargetMode="External"/><Relationship Id="rId340" Type="http://schemas.openxmlformats.org/officeDocument/2006/relationships/hyperlink" Target="https://www.jivi.com.ar/ficha.php?id=1523" TargetMode="External"/><Relationship Id="rId578" Type="http://schemas.openxmlformats.org/officeDocument/2006/relationships/hyperlink" Target="https://www.jivi.com.ar/ficha.php?id=2003" TargetMode="External"/><Relationship Id="rId200" Type="http://schemas.openxmlformats.org/officeDocument/2006/relationships/hyperlink" Target="https://www.jivi.com.ar/ficha.php?id=1225" TargetMode="External"/><Relationship Id="rId382" Type="http://schemas.openxmlformats.org/officeDocument/2006/relationships/hyperlink" Target="https://www.jivi.com.ar/ficha.php?id=1518" TargetMode="External"/><Relationship Id="rId438" Type="http://schemas.openxmlformats.org/officeDocument/2006/relationships/hyperlink" Target="https://www.jivi.com.ar/ficha.php?id=1644" TargetMode="External"/><Relationship Id="rId242" Type="http://schemas.openxmlformats.org/officeDocument/2006/relationships/hyperlink" Target="https://www.jivi.com.ar/ficha.php?id=1384" TargetMode="External"/><Relationship Id="rId284" Type="http://schemas.openxmlformats.org/officeDocument/2006/relationships/hyperlink" Target="https://www.jivi.com.ar/ficha.php?id=1702" TargetMode="External"/><Relationship Id="rId491" Type="http://schemas.openxmlformats.org/officeDocument/2006/relationships/hyperlink" Target="https://www.jivi.com.ar/ficha.php?id=1745" TargetMode="External"/><Relationship Id="rId505" Type="http://schemas.openxmlformats.org/officeDocument/2006/relationships/hyperlink" Target="https://www.jivi.com.ar/ficha.php?id=1778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850" TargetMode="External"/><Relationship Id="rId547" Type="http://schemas.openxmlformats.org/officeDocument/2006/relationships/hyperlink" Target="https://www.jivi.com.ar/ficha.php?id=666" TargetMode="External"/><Relationship Id="rId589" Type="http://schemas.openxmlformats.org/officeDocument/2006/relationships/hyperlink" Target="https://www.jivi.com.ar/ficha.php?id=2017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1182" TargetMode="External"/><Relationship Id="rId351" Type="http://schemas.openxmlformats.org/officeDocument/2006/relationships/hyperlink" Target="https://www.jivi.com.ar/ficha.php?id=1545" TargetMode="External"/><Relationship Id="rId393" Type="http://schemas.openxmlformats.org/officeDocument/2006/relationships/hyperlink" Target="https://www.jivi.com.ar/ficha.php?id=1581" TargetMode="External"/><Relationship Id="rId407" Type="http://schemas.openxmlformats.org/officeDocument/2006/relationships/hyperlink" Target="https://www.jivi.com.ar/ficha.php?id=1598" TargetMode="External"/><Relationship Id="rId449" Type="http://schemas.openxmlformats.org/officeDocument/2006/relationships/hyperlink" Target="https://www.jivi.com.ar/ficha.php?id=1664" TargetMode="External"/><Relationship Id="rId211" Type="http://schemas.openxmlformats.org/officeDocument/2006/relationships/hyperlink" Target="https://www.jivi.com.ar/ficha.php?id=1261" TargetMode="External"/><Relationship Id="rId253" Type="http://schemas.openxmlformats.org/officeDocument/2006/relationships/hyperlink" Target="https://www.jivi.com.ar/ficha.php?id=1262" TargetMode="External"/><Relationship Id="rId295" Type="http://schemas.openxmlformats.org/officeDocument/2006/relationships/hyperlink" Target="https://www.jivi.com.ar/ficha.php?id=1450" TargetMode="External"/><Relationship Id="rId309" Type="http://schemas.openxmlformats.org/officeDocument/2006/relationships/hyperlink" Target="htthttps://www.jivi.com.ar/ficha.php?id=1476" TargetMode="External"/><Relationship Id="rId460" Type="http://schemas.openxmlformats.org/officeDocument/2006/relationships/hyperlink" Target="https://www.jivi.com.ar/ficha.php?id=36" TargetMode="External"/><Relationship Id="rId516" Type="http://schemas.openxmlformats.org/officeDocument/2006/relationships/hyperlink" Target="https://www.jivi.com.ar/ficha.php?id=1487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14" TargetMode="External"/><Relationship Id="rId320" Type="http://schemas.openxmlformats.org/officeDocument/2006/relationships/hyperlink" Target="https://www.jivi.com.ar/ficha.php?id=1492" TargetMode="External"/><Relationship Id="rId558" Type="http://schemas.openxmlformats.org/officeDocument/2006/relationships/hyperlink" Target="https://www.jivi.com.ar/ficha.php?id=1379" TargetMode="External"/><Relationship Id="rId155" Type="http://schemas.openxmlformats.org/officeDocument/2006/relationships/hyperlink" Target="https://www.jivi.com.ar/ficha.php?id=364" TargetMode="External"/><Relationship Id="rId197" Type="http://schemas.openxmlformats.org/officeDocument/2006/relationships/hyperlink" Target="https://www.jivi.com.ar/ficha.php?id=1223" TargetMode="External"/><Relationship Id="rId362" Type="http://schemas.openxmlformats.org/officeDocument/2006/relationships/hyperlink" Target="https://www.jivi.com.ar/ficha.php?id=1557" TargetMode="External"/><Relationship Id="rId418" Type="http://schemas.openxmlformats.org/officeDocument/2006/relationships/hyperlink" Target="https://www.jivi.com.ar/ficha.php?id=1609" TargetMode="External"/><Relationship Id="rId222" Type="http://schemas.openxmlformats.org/officeDocument/2006/relationships/hyperlink" Target="https://www.jivi.com.ar/ficha.php?id=1287" TargetMode="External"/><Relationship Id="rId264" Type="http://schemas.openxmlformats.org/officeDocument/2006/relationships/hyperlink" Target="https://www.jivi.com.ar/ficha.php?id=1405" TargetMode="External"/><Relationship Id="rId471" Type="http://schemas.openxmlformats.org/officeDocument/2006/relationships/hyperlink" Target="https://www.jivi.com.ar/ficha.php?id=1456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8" TargetMode="External"/><Relationship Id="rId527" Type="http://schemas.openxmlformats.org/officeDocument/2006/relationships/hyperlink" Target="https://www.jivi.com.ar/ficha.php?id=1805" TargetMode="External"/><Relationship Id="rId569" Type="http://schemas.openxmlformats.org/officeDocument/2006/relationships/hyperlink" Target="https://www.jivi.com.ar/ficha.php?id=1880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8" TargetMode="External"/><Relationship Id="rId331" Type="http://schemas.openxmlformats.org/officeDocument/2006/relationships/hyperlink" Target="https://www.jivi.com.ar/ficha.php?id=1505" TargetMode="External"/><Relationship Id="rId373" Type="http://schemas.openxmlformats.org/officeDocument/2006/relationships/hyperlink" Target="https://www.jivi.com.ar/ficha.php?id=1409" TargetMode="External"/><Relationship Id="rId429" Type="http://schemas.openxmlformats.org/officeDocument/2006/relationships/hyperlink" Target="https://www.jivi.com.ar/ficha.php?id=1619" TargetMode="External"/><Relationship Id="rId580" Type="http://schemas.openxmlformats.org/officeDocument/2006/relationships/hyperlink" Target="https://www.jivi.com.ar/ficha.php?id=1258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60" TargetMode="External"/><Relationship Id="rId440" Type="http://schemas.openxmlformats.org/officeDocument/2006/relationships/hyperlink" Target="https://www.jivi.com.ar/ficha.php?id=1639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22" TargetMode="External"/><Relationship Id="rId300" Type="http://schemas.openxmlformats.org/officeDocument/2006/relationships/hyperlink" Target="https://www.jivi.com.ar/ficha.php?id=969" TargetMode="External"/><Relationship Id="rId482" Type="http://schemas.openxmlformats.org/officeDocument/2006/relationships/hyperlink" Target="https://www.jivi.com.ar/ficha.php?id=1731" TargetMode="External"/><Relationship Id="rId538" Type="http://schemas.openxmlformats.org/officeDocument/2006/relationships/hyperlink" Target="https://www.jivi.com.ar/ficha.php?id=1533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38" TargetMode="External"/><Relationship Id="rId177" Type="http://schemas.openxmlformats.org/officeDocument/2006/relationships/hyperlink" Target="hhttps://www.jivi.com.ar/ficha.php?id=1155" TargetMode="External"/><Relationship Id="rId342" Type="http://schemas.openxmlformats.org/officeDocument/2006/relationships/hyperlink" Target="https://www.jivi.com.ar/ficha.php?id=1527" TargetMode="External"/><Relationship Id="rId384" Type="http://schemas.openxmlformats.org/officeDocument/2006/relationships/hyperlink" Target="https://www.jivi.com.ar/ficha.php?id=1573" TargetMode="External"/><Relationship Id="rId591" Type="http://schemas.openxmlformats.org/officeDocument/2006/relationships/hyperlink" Target="https://www.jivi.com.ar/ficha.php?id=1339" TargetMode="External"/><Relationship Id="rId202" Type="http://schemas.openxmlformats.org/officeDocument/2006/relationships/hyperlink" Target="https://www.jivi.com.ar/ficha.php?id=919" TargetMode="External"/><Relationship Id="rId244" Type="http://schemas.openxmlformats.org/officeDocument/2006/relationships/hyperlink" Target="https://www.jivi.com.ar/ficha.php?id=1385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42" TargetMode="External"/><Relationship Id="rId451" Type="http://schemas.openxmlformats.org/officeDocument/2006/relationships/hyperlink" Target="https://www.jivi.com.ar/ficha.php?id=1667" TargetMode="External"/><Relationship Id="rId493" Type="http://schemas.openxmlformats.org/officeDocument/2006/relationships/hyperlink" Target="https://www.jivi.com.ar/ficha.php?id=1747" TargetMode="External"/><Relationship Id="rId507" Type="http://schemas.openxmlformats.org/officeDocument/2006/relationships/hyperlink" Target="https://www.jivi.com.ar/ficha.php?id=1710" TargetMode="External"/><Relationship Id="rId549" Type="http://schemas.openxmlformats.org/officeDocument/2006/relationships/hyperlink" Target="https://www.jivi.com.ar/ficha.php?id=1847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250" TargetMode="External"/><Relationship Id="rId188" Type="http://schemas.openxmlformats.org/officeDocument/2006/relationships/hyperlink" Target="https://www.jivi.com.ar/ficha.php?id=1185" TargetMode="External"/><Relationship Id="rId311" Type="http://schemas.openxmlformats.org/officeDocument/2006/relationships/hyperlink" Target="https://www.jivi.com.ar/ficha.php?id=996" TargetMode="External"/><Relationship Id="rId353" Type="http://schemas.openxmlformats.org/officeDocument/2006/relationships/hyperlink" Target="https://www.jivi.com.ar/ficha.php?id=981" TargetMode="External"/><Relationship Id="rId395" Type="http://schemas.openxmlformats.org/officeDocument/2006/relationships/hyperlink" Target="https://www.jivi.com.ar/ficha.php?id=1584" TargetMode="External"/><Relationship Id="rId409" Type="http://schemas.openxmlformats.org/officeDocument/2006/relationships/hyperlink" Target="https://www.jivi.com.ar/ficha.php?id=1602" TargetMode="External"/><Relationship Id="rId560" Type="http://schemas.openxmlformats.org/officeDocument/2006/relationships/hyperlink" Target="https://www.jivi.com.ar/ficha.php?id=1840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68" TargetMode="External"/><Relationship Id="rId420" Type="http://schemas.openxmlformats.org/officeDocument/2006/relationships/hyperlink" Target="https://www.jivi.com.ar/ficha.php?id=1610" TargetMode="External"/><Relationship Id="rId255" Type="http://schemas.openxmlformats.org/officeDocument/2006/relationships/hyperlink" Target="https://www.jivi.com.ar/ficha.php?id=1401" TargetMode="External"/><Relationship Id="rId297" Type="http://schemas.openxmlformats.org/officeDocument/2006/relationships/hyperlink" Target="https://www.jivi.com.ar/ficha.php?id=1064" TargetMode="External"/><Relationship Id="rId462" Type="http://schemas.openxmlformats.org/officeDocument/2006/relationships/hyperlink" Target="https://www.jivi.com.ar/ficha.php?id=1698" TargetMode="External"/><Relationship Id="rId518" Type="http://schemas.openxmlformats.org/officeDocument/2006/relationships/hyperlink" Target="https://www.jivi.com.ar/ficha.php?id=1186" TargetMode="External"/><Relationship Id="rId115" Type="http://schemas.openxmlformats.org/officeDocument/2006/relationships/hyperlink" Target="https://www.jivi.com.ar/ficha.php?id=234" TargetMode="External"/><Relationship Id="rId157" Type="http://schemas.openxmlformats.org/officeDocument/2006/relationships/hyperlink" Target="https://www.jivi.com.ar/ficha.php?id=1079" TargetMode="External"/><Relationship Id="rId322" Type="http://schemas.openxmlformats.org/officeDocument/2006/relationships/hyperlink" Target="https://www.jivi.com.ar/ficha.php?id=1494" TargetMode="External"/><Relationship Id="rId364" Type="http://schemas.openxmlformats.org/officeDocument/2006/relationships/hyperlink" Target="https://www.jivi.com.ar/ficha.php?id=518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24" TargetMode="External"/><Relationship Id="rId571" Type="http://schemas.openxmlformats.org/officeDocument/2006/relationships/hyperlink" Target="https://www.jivi.com.ar/ficha.php?id=1998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16" TargetMode="External"/><Relationship Id="rId266" Type="http://schemas.openxmlformats.org/officeDocument/2006/relationships/hyperlink" Target="https://www.jivi.com.ar/ficha.php?id=1415" TargetMode="External"/><Relationship Id="rId431" Type="http://schemas.openxmlformats.org/officeDocument/2006/relationships/hyperlink" Target="https://www.jivi.com.ar/ficha.php?id=1204" TargetMode="External"/><Relationship Id="rId473" Type="http://schemas.openxmlformats.org/officeDocument/2006/relationships/hyperlink" Target="https://www.jivi.com.ar/ficha.php?id=1708" TargetMode="External"/><Relationship Id="rId529" Type="http://schemas.openxmlformats.org/officeDocument/2006/relationships/hyperlink" Target="https://www.jivi.com.ar/ficha.php?id=1070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62" TargetMode="External"/><Relationship Id="rId168" Type="http://schemas.openxmlformats.org/officeDocument/2006/relationships/hyperlink" Target="https://www.jivi.com.ar/ficha.php?id=1104" TargetMode="External"/><Relationship Id="rId333" Type="http://schemas.openxmlformats.org/officeDocument/2006/relationships/hyperlink" Target="https://www.jivi.com.ar/ficha.php?id=1507" TargetMode="External"/><Relationship Id="rId540" Type="http://schemas.openxmlformats.org/officeDocument/2006/relationships/hyperlink" Target="https://www.jivi.com.ar/ficha.php?id=1825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64" TargetMode="External"/><Relationship Id="rId582" Type="http://schemas.openxmlformats.org/officeDocument/2006/relationships/hyperlink" Target="https://www.jivi.com.ar/ficha.php?id=1656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66" TargetMode="External"/><Relationship Id="rId277" Type="http://schemas.openxmlformats.org/officeDocument/2006/relationships/hyperlink" Target="https://www.jivi.com.ar/ficha.php?id=1425" TargetMode="External"/><Relationship Id="rId400" Type="http://schemas.openxmlformats.org/officeDocument/2006/relationships/hyperlink" Target="https://www.jivi.com.ar/ficha.php?id=1589" TargetMode="External"/><Relationship Id="rId442" Type="http://schemas.openxmlformats.org/officeDocument/2006/relationships/hyperlink" Target="https://www.jivi.com.ar/ficha.php?id=1652" TargetMode="External"/><Relationship Id="rId484" Type="http://schemas.openxmlformats.org/officeDocument/2006/relationships/hyperlink" Target="https://www.jivi.com.ar/ficha.php?id=1734" TargetMode="External"/><Relationship Id="rId137" Type="http://schemas.openxmlformats.org/officeDocument/2006/relationships/hyperlink" Target="https://www.jivi.com.ar/ficha.php?id=948" TargetMode="External"/><Relationship Id="rId302" Type="http://schemas.openxmlformats.org/officeDocument/2006/relationships/hyperlink" Target="https://www.jivi.com.ar/ficha.php?id=1464" TargetMode="External"/><Relationship Id="rId344" Type="http://schemas.openxmlformats.org/officeDocument/2006/relationships/hyperlink" Target="https://www.jivi.com.ar/ficha.php?id=1534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53" TargetMode="External"/><Relationship Id="rId386" Type="http://schemas.openxmlformats.org/officeDocument/2006/relationships/hyperlink" Target="https://www.jivi.com.ar/ficha.php?id=1271" TargetMode="External"/><Relationship Id="rId551" Type="http://schemas.openxmlformats.org/officeDocument/2006/relationships/hyperlink" Target="https://www.jivi.com.ar/ficha.php?id=1520" TargetMode="External"/><Relationship Id="rId593" Type="http://schemas.openxmlformats.org/officeDocument/2006/relationships/hyperlink" Target="https://www.jivi.com.ar/ficha.php?id=335" TargetMode="External"/><Relationship Id="rId190" Type="http://schemas.openxmlformats.org/officeDocument/2006/relationships/hyperlink" Target="https://www.jivi.com.ar/ficha.php?id=1190" TargetMode="External"/><Relationship Id="rId204" Type="http://schemas.openxmlformats.org/officeDocument/2006/relationships/hyperlink" Target="https://www.jivi.com.ar/ficha.php?id=1232" TargetMode="External"/><Relationship Id="rId246" Type="http://schemas.openxmlformats.org/officeDocument/2006/relationships/hyperlink" Target="https://www.jivi.com.ar/ficha.php?id=1389" TargetMode="External"/><Relationship Id="rId288" Type="http://schemas.openxmlformats.org/officeDocument/2006/relationships/hyperlink" Target="https://www.jivi.com.ar/ficha.php?id=216" TargetMode="External"/><Relationship Id="rId411" Type="http://schemas.openxmlformats.org/officeDocument/2006/relationships/hyperlink" Target="https://www.jivi.com.ar/ficha.php?id=1701" TargetMode="External"/><Relationship Id="rId453" Type="http://schemas.openxmlformats.org/officeDocument/2006/relationships/hyperlink" Target="https://www.jivi.com.ar/ficha.php?id=1272" TargetMode="External"/><Relationship Id="rId509" Type="http://schemas.openxmlformats.org/officeDocument/2006/relationships/hyperlink" Target="https://www.jivi.com.ar/ficha.php?id=1737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78" TargetMode="External"/><Relationship Id="rId495" Type="http://schemas.openxmlformats.org/officeDocument/2006/relationships/hyperlink" Target="https://www.jivi.com.ar/ficha.php?id=1749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1023" TargetMode="External"/><Relationship Id="rId355" Type="http://schemas.openxmlformats.org/officeDocument/2006/relationships/hyperlink" Target="https://www.jivi.com.ar/ficha.php?id=1549" TargetMode="External"/><Relationship Id="rId397" Type="http://schemas.openxmlformats.org/officeDocument/2006/relationships/hyperlink" Target="https://www.jivi.com.ar/ficha.php?id=1587" TargetMode="External"/><Relationship Id="rId520" Type="http://schemas.openxmlformats.org/officeDocument/2006/relationships/hyperlink" Target="https://www.jivi.com.ar/ficha.php?id=1319" TargetMode="External"/><Relationship Id="rId562" Type="http://schemas.openxmlformats.org/officeDocument/2006/relationships/hyperlink" Target="https://www.jivi.com.ar/ficha.php?id=1886" TargetMode="External"/><Relationship Id="rId215" Type="http://schemas.openxmlformats.org/officeDocument/2006/relationships/hyperlink" Target="https://www.jivi.com.ar/ficha.php?id=991" TargetMode="External"/><Relationship Id="rId257" Type="http://schemas.openxmlformats.org/officeDocument/2006/relationships/hyperlink" Target="https://www.jivi.com.ar/ficha.php?id=1230" TargetMode="External"/><Relationship Id="rId422" Type="http://schemas.openxmlformats.org/officeDocument/2006/relationships/hyperlink" Target="https://www.jivi.com.ar/ficha.php?id=1612" TargetMode="External"/><Relationship Id="rId464" Type="http://schemas.openxmlformats.org/officeDocument/2006/relationships/hyperlink" Target="https://www.jivi.com.ar/ficha.php?id=1510" TargetMode="External"/><Relationship Id="rId299" Type="http://schemas.openxmlformats.org/officeDocument/2006/relationships/hyperlink" Target="https://www.jivi.com.ar/ficha.php?id=1454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89" TargetMode="External"/><Relationship Id="rId366" Type="http://schemas.openxmlformats.org/officeDocument/2006/relationships/hyperlink" Target="https://www.jivi.com.ar/ficha.php?id=26" TargetMode="External"/><Relationship Id="rId573" Type="http://schemas.openxmlformats.org/officeDocument/2006/relationships/hyperlink" Target="https://www.jivi.com.ar/ficha.php?id=2000" TargetMode="External"/><Relationship Id="rId226" Type="http://schemas.openxmlformats.org/officeDocument/2006/relationships/hyperlink" Target="https://www.jivi.com.ar/ficha.php?id=1336" TargetMode="External"/><Relationship Id="rId433" Type="http://schemas.openxmlformats.org/officeDocument/2006/relationships/hyperlink" Target="https://www.jivi.com.ar/ficha.php?id=1634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67" TargetMode="External"/><Relationship Id="rId500" Type="http://schemas.openxmlformats.org/officeDocument/2006/relationships/hyperlink" Target="https://www.jivi.com.ar/ficha.php?id=1776" TargetMode="External"/><Relationship Id="rId584" Type="http://schemas.openxmlformats.org/officeDocument/2006/relationships/hyperlink" Target="https://www.jivi.com.ar/ficha.php?id=1720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864" TargetMode="External"/><Relationship Id="rId444" Type="http://schemas.openxmlformats.org/officeDocument/2006/relationships/hyperlink" Target="https://www.jivi.com.ar/ficha.php?id=1640" TargetMode="External"/><Relationship Id="rId290" Type="http://schemas.openxmlformats.org/officeDocument/2006/relationships/hyperlink" Target="https://www.jivi.com.ar/ficha.php?id=1334" TargetMode="External"/><Relationship Id="rId304" Type="http://schemas.openxmlformats.org/officeDocument/2006/relationships/hyperlink" Target="https://www.jivi.com.ar/ficha.php?id=1467" TargetMode="External"/><Relationship Id="rId388" Type="http://schemas.openxmlformats.org/officeDocument/2006/relationships/hyperlink" Target="https://www.jivi.com.ar/ficha.php?id=1139" TargetMode="External"/><Relationship Id="rId511" Type="http://schemas.openxmlformats.org/officeDocument/2006/relationships/hyperlink" Target="https://www.jivi.com.ar/ficha.php?id=1780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647" TargetMode="External"/><Relationship Id="rId595" Type="http://schemas.openxmlformats.org/officeDocument/2006/relationships/printerSettings" Target="../printerSettings/printerSettings1.bin"/><Relationship Id="rId248" Type="http://schemas.openxmlformats.org/officeDocument/2006/relationships/hyperlink" Target="https://www.jivi.com.ar/ficha.php?id=236" TargetMode="External"/><Relationship Id="rId455" Type="http://schemas.openxmlformats.org/officeDocument/2006/relationships/hyperlink" Target="https://www.jivi.com.ar/ficha.php?id=1672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480" TargetMode="External"/><Relationship Id="rId522" Type="http://schemas.openxmlformats.org/officeDocument/2006/relationships/hyperlink" Target="https://www.jivi.com.ar/ficha.php?id=1447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91" TargetMode="External"/><Relationship Id="rId399" Type="http://schemas.openxmlformats.org/officeDocument/2006/relationships/hyperlink" Target="https://www.jivi.com.ar/ficha.php?id=1588" TargetMode="External"/><Relationship Id="rId259" Type="http://schemas.openxmlformats.org/officeDocument/2006/relationships/hyperlink" Target="https://www.jivi.com.ar/ficha.php?id=1111" TargetMode="External"/><Relationship Id="rId466" Type="http://schemas.openxmlformats.org/officeDocument/2006/relationships/hyperlink" Target="https://www.jivi.com.ar/ficha.php?id=1531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7" TargetMode="External"/><Relationship Id="rId326" Type="http://schemas.openxmlformats.org/officeDocument/2006/relationships/hyperlink" Target="httphttps://www.jivi.com.ar/ficha.php?id=1498" TargetMode="External"/><Relationship Id="rId533" Type="http://schemas.openxmlformats.org/officeDocument/2006/relationships/hyperlink" Target="https://www.jivi.com.ar/ficha.php?id=1597" TargetMode="External"/><Relationship Id="rId172" Type="http://schemas.openxmlformats.org/officeDocument/2006/relationships/hyperlink" Target="https://www.jivi.com.ar/ficha.php?id=1120" TargetMode="External"/><Relationship Id="rId477" Type="http://schemas.openxmlformats.org/officeDocument/2006/relationships/hyperlink" Target="https://www.jivi.com.ar/ficha.php?id=1725" TargetMode="External"/><Relationship Id="rId337" Type="http://schemas.openxmlformats.org/officeDocument/2006/relationships/hyperlink" Target="https://www.jivi.com.ar/ficha.php?id=1515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835" TargetMode="External"/><Relationship Id="rId183" Type="http://schemas.openxmlformats.org/officeDocument/2006/relationships/hyperlink" Target="https://www.jivi.com.ar/ficha.php?id=488" TargetMode="External"/><Relationship Id="rId390" Type="http://schemas.openxmlformats.org/officeDocument/2006/relationships/hyperlink" Target="https://www.jivi.com.ar/ficha.php?id=1574" TargetMode="External"/><Relationship Id="rId404" Type="http://schemas.openxmlformats.org/officeDocument/2006/relationships/hyperlink" Target="https://www.jivi.com.ar/ficha.php?id=1593" TargetMode="External"/><Relationship Id="rId250" Type="http://schemas.openxmlformats.org/officeDocument/2006/relationships/hyperlink" Target="https://www.jivi.com.ar/ficha.php?id=1394" TargetMode="External"/><Relationship Id="rId488" Type="http://schemas.openxmlformats.org/officeDocument/2006/relationships/hyperlink" Target="https://www.jivi.com.ar/ficha.php?id=1575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68" TargetMode="External"/><Relationship Id="rId348" Type="http://schemas.openxmlformats.org/officeDocument/2006/relationships/hyperlink" Target="https://www.jivi.com.ar/ficha.php?id=1540" TargetMode="External"/><Relationship Id="rId555" Type="http://schemas.openxmlformats.org/officeDocument/2006/relationships/hyperlink" Target="https://www.jivi.com.ar/ficha.php?id=1733" TargetMode="External"/><Relationship Id="rId194" Type="http://schemas.openxmlformats.org/officeDocument/2006/relationships/hyperlink" Target="https://www.jivi.com.ar/ficha.php?id=1219" TargetMode="External"/><Relationship Id="rId208" Type="http://schemas.openxmlformats.org/officeDocument/2006/relationships/hyperlink" Target="https://www.jivi.com.ar/ficha.php?id=1248" TargetMode="External"/><Relationship Id="rId415" Type="http://schemas.openxmlformats.org/officeDocument/2006/relationships/hyperlink" Target="https://www.jivi.com.ar/ficha.php?id=1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60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38" t="s">
        <v>0</v>
      </c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40"/>
      <c r="X1" s="513">
        <v>1</v>
      </c>
      <c r="Y1" s="831" t="s">
        <v>1</v>
      </c>
      <c r="Z1" s="832"/>
      <c r="AA1" s="832"/>
      <c r="AB1" s="832"/>
      <c r="AC1" s="832"/>
      <c r="AD1" s="833"/>
      <c r="AE1" s="828" t="s">
        <v>2</v>
      </c>
      <c r="AF1" s="829"/>
      <c r="AG1" s="829"/>
      <c r="AH1" s="829"/>
      <c r="AI1" s="830"/>
      <c r="AJ1" s="826" t="s">
        <v>3</v>
      </c>
      <c r="AK1" s="56"/>
      <c r="AL1" s="56"/>
      <c r="AM1" s="54"/>
    </row>
    <row r="2" spans="1:39" ht="14.25" customHeight="1" x14ac:dyDescent="0.2">
      <c r="A2" s="18"/>
      <c r="B2" s="882" t="s">
        <v>949</v>
      </c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4"/>
      <c r="W2" s="885"/>
      <c r="X2" s="514">
        <v>1037</v>
      </c>
      <c r="Y2" s="842" t="s">
        <v>4</v>
      </c>
      <c r="Z2" s="843"/>
      <c r="AA2" s="843"/>
      <c r="AB2" s="843"/>
      <c r="AC2" s="843"/>
      <c r="AD2" s="844"/>
      <c r="AE2" s="836" t="s">
        <v>5</v>
      </c>
      <c r="AF2" s="837"/>
      <c r="AG2" s="837"/>
      <c r="AH2" s="515"/>
      <c r="AI2" s="516"/>
      <c r="AJ2" s="827"/>
      <c r="AK2" s="177"/>
      <c r="AL2" s="177"/>
      <c r="AM2" s="54"/>
    </row>
    <row r="3" spans="1:39" ht="15.75" customHeight="1" x14ac:dyDescent="0.2">
      <c r="A3" s="18"/>
      <c r="B3" s="851"/>
      <c r="C3" s="852"/>
      <c r="D3" s="853"/>
      <c r="E3" s="875" t="s">
        <v>6</v>
      </c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6"/>
      <c r="Q3" s="876"/>
      <c r="R3" s="876"/>
      <c r="S3" s="876"/>
      <c r="T3" s="876"/>
      <c r="U3" s="876"/>
      <c r="V3" s="877"/>
      <c r="W3" s="878"/>
      <c r="X3" s="841" t="s">
        <v>388</v>
      </c>
      <c r="Y3" s="675"/>
      <c r="Z3" s="675"/>
      <c r="AA3" s="675"/>
      <c r="AB3" s="675"/>
      <c r="AC3" s="675"/>
      <c r="AD3" s="676"/>
      <c r="AE3" s="834"/>
      <c r="AF3" s="835"/>
      <c r="AG3" s="835"/>
      <c r="AH3" s="835"/>
      <c r="AI3" s="835"/>
      <c r="AJ3" s="13"/>
      <c r="AK3" s="13"/>
      <c r="AL3" s="13"/>
      <c r="AM3" s="55"/>
    </row>
    <row r="4" spans="1:39" ht="21.75" customHeight="1" x14ac:dyDescent="0.2">
      <c r="A4" s="18"/>
      <c r="B4" s="854"/>
      <c r="C4" s="855"/>
      <c r="D4" s="856"/>
      <c r="E4" s="879" t="s">
        <v>7</v>
      </c>
      <c r="F4" s="880"/>
      <c r="G4" s="880"/>
      <c r="H4" s="880"/>
      <c r="I4" s="880"/>
      <c r="J4" s="880"/>
      <c r="K4" s="880"/>
      <c r="L4" s="880"/>
      <c r="M4" s="880"/>
      <c r="N4" s="880"/>
      <c r="O4" s="880"/>
      <c r="P4" s="880"/>
      <c r="Q4" s="880"/>
      <c r="R4" s="880"/>
      <c r="S4" s="880"/>
      <c r="T4" s="880"/>
      <c r="U4" s="880"/>
      <c r="V4" s="880"/>
      <c r="W4" s="881"/>
      <c r="X4" s="677"/>
      <c r="Y4" s="678"/>
      <c r="Z4" s="678"/>
      <c r="AA4" s="678"/>
      <c r="AB4" s="678"/>
      <c r="AC4" s="678"/>
      <c r="AD4" s="679"/>
      <c r="AE4" s="835"/>
      <c r="AF4" s="835"/>
      <c r="AG4" s="835"/>
      <c r="AH4" s="835"/>
      <c r="AI4" s="835"/>
      <c r="AJ4" s="13"/>
      <c r="AK4" s="13"/>
      <c r="AL4" s="13"/>
      <c r="AM4" s="55"/>
    </row>
    <row r="5" spans="1:39" ht="23.25" customHeight="1" x14ac:dyDescent="0.2">
      <c r="A5" s="18"/>
      <c r="B5" s="857"/>
      <c r="C5" s="858"/>
      <c r="D5" s="859"/>
      <c r="E5" s="860" t="s">
        <v>8</v>
      </c>
      <c r="F5" s="861"/>
      <c r="G5" s="861"/>
      <c r="H5" s="861"/>
      <c r="I5" s="861"/>
      <c r="J5" s="861"/>
      <c r="K5" s="861"/>
      <c r="L5" s="861"/>
      <c r="M5" s="861"/>
      <c r="N5" s="861"/>
      <c r="O5" s="861"/>
      <c r="P5" s="861"/>
      <c r="Q5" s="861"/>
      <c r="R5" s="861"/>
      <c r="S5" s="861"/>
      <c r="T5" s="861"/>
      <c r="U5" s="861"/>
      <c r="V5" s="861"/>
      <c r="W5" s="862"/>
      <c r="X5" s="866"/>
      <c r="Y5" s="867"/>
      <c r="Z5" s="867"/>
      <c r="AA5" s="867"/>
      <c r="AB5" s="867"/>
      <c r="AC5" s="867"/>
      <c r="AD5" s="868"/>
      <c r="AE5" s="889"/>
      <c r="AF5" s="889"/>
      <c r="AG5" s="889"/>
      <c r="AH5" s="889"/>
      <c r="AI5" s="889"/>
      <c r="AJ5" s="13"/>
      <c r="AK5" s="13"/>
      <c r="AL5" s="13"/>
      <c r="AM5" s="55"/>
    </row>
    <row r="6" spans="1:39" ht="12" customHeight="1" x14ac:dyDescent="0.2">
      <c r="A6" s="18"/>
      <c r="B6" s="863" t="s">
        <v>9</v>
      </c>
      <c r="C6" s="864"/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4"/>
      <c r="Q6" s="864"/>
      <c r="R6" s="864"/>
      <c r="S6" s="864"/>
      <c r="T6" s="864"/>
      <c r="U6" s="864"/>
      <c r="V6" s="864"/>
      <c r="W6" s="865"/>
      <c r="X6" s="869"/>
      <c r="Y6" s="870"/>
      <c r="Z6" s="870"/>
      <c r="AA6" s="870"/>
      <c r="AB6" s="870"/>
      <c r="AC6" s="870"/>
      <c r="AD6" s="871"/>
      <c r="AE6" s="889"/>
      <c r="AF6" s="889"/>
      <c r="AG6" s="889"/>
      <c r="AH6" s="889"/>
      <c r="AI6" s="889"/>
      <c r="AJ6" s="13"/>
      <c r="AK6" s="13"/>
      <c r="AL6" s="13"/>
      <c r="AM6" s="55"/>
    </row>
    <row r="7" spans="1:39" ht="13.5" customHeight="1" x14ac:dyDescent="0.2">
      <c r="A7" s="18"/>
      <c r="B7" s="886" t="s">
        <v>10</v>
      </c>
      <c r="C7" s="887"/>
      <c r="D7" s="887"/>
      <c r="E7" s="887"/>
      <c r="F7" s="887"/>
      <c r="G7" s="887"/>
      <c r="H7" s="887"/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7"/>
      <c r="V7" s="887"/>
      <c r="W7" s="888"/>
      <c r="X7" s="872"/>
      <c r="Y7" s="873"/>
      <c r="Z7" s="873"/>
      <c r="AA7" s="873"/>
      <c r="AB7" s="873"/>
      <c r="AC7" s="873"/>
      <c r="AD7" s="874"/>
      <c r="AE7" s="889"/>
      <c r="AF7" s="889"/>
      <c r="AG7" s="889"/>
      <c r="AH7" s="889"/>
      <c r="AI7" s="889"/>
    </row>
    <row r="8" spans="1:39" ht="14.25" customHeight="1" x14ac:dyDescent="0.2">
      <c r="A8" s="18"/>
      <c r="B8" s="718" t="s">
        <v>11</v>
      </c>
      <c r="C8" s="815" t="s">
        <v>12</v>
      </c>
      <c r="D8" s="816"/>
      <c r="E8" s="816"/>
      <c r="F8" s="671" t="s">
        <v>13</v>
      </c>
      <c r="G8" s="671" t="s">
        <v>13</v>
      </c>
      <c r="H8" s="673" t="s">
        <v>836</v>
      </c>
      <c r="I8" s="673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674"/>
      <c r="U8" s="674"/>
      <c r="V8" s="674"/>
      <c r="W8" s="674"/>
      <c r="X8" s="657" t="s">
        <v>14</v>
      </c>
      <c r="Y8" s="658"/>
      <c r="Z8" s="658"/>
      <c r="AA8" s="659"/>
      <c r="AB8" s="663" t="s">
        <v>15</v>
      </c>
      <c r="AC8" s="845" t="s">
        <v>16</v>
      </c>
      <c r="AD8" s="846"/>
      <c r="AE8" s="846"/>
      <c r="AF8" s="846"/>
      <c r="AG8" s="846"/>
      <c r="AH8" s="846"/>
      <c r="AI8" s="847"/>
    </row>
    <row r="9" spans="1:39" ht="11.25" customHeight="1" x14ac:dyDescent="0.2">
      <c r="A9" s="18"/>
      <c r="B9" s="718"/>
      <c r="C9" s="816"/>
      <c r="D9" s="816"/>
      <c r="E9" s="816"/>
      <c r="F9" s="672"/>
      <c r="G9" s="672"/>
      <c r="H9" s="511"/>
      <c r="I9" s="509" t="s">
        <v>293</v>
      </c>
      <c r="J9" s="511"/>
      <c r="K9" s="509" t="s">
        <v>17</v>
      </c>
      <c r="L9" s="512"/>
      <c r="M9" s="512" t="s">
        <v>18</v>
      </c>
      <c r="N9" s="512"/>
      <c r="O9" s="509" t="s">
        <v>19</v>
      </c>
      <c r="P9" s="512"/>
      <c r="Q9" s="512" t="s">
        <v>295</v>
      </c>
      <c r="R9" s="512"/>
      <c r="S9" s="512" t="s">
        <v>20</v>
      </c>
      <c r="T9" s="512"/>
      <c r="U9" s="512" t="s">
        <v>21</v>
      </c>
      <c r="V9" s="512"/>
      <c r="W9" s="512" t="s">
        <v>22</v>
      </c>
      <c r="X9" s="660"/>
      <c r="Y9" s="661"/>
      <c r="Z9" s="661"/>
      <c r="AA9" s="662"/>
      <c r="AB9" s="664"/>
      <c r="AC9" s="848"/>
      <c r="AD9" s="849"/>
      <c r="AE9" s="849"/>
      <c r="AF9" s="849"/>
      <c r="AG9" s="849"/>
      <c r="AH9" s="849"/>
      <c r="AI9" s="850"/>
    </row>
    <row r="10" spans="1:39" ht="12.6" customHeight="1" x14ac:dyDescent="0.2">
      <c r="A10" s="18"/>
      <c r="B10" s="890" t="s">
        <v>723</v>
      </c>
      <c r="C10" s="891"/>
      <c r="D10" s="891"/>
      <c r="E10" s="892"/>
      <c r="F10" s="314">
        <v>557</v>
      </c>
      <c r="G10" s="321">
        <f t="shared" ref="G10" si="0">+F10*$X$1</f>
        <v>557</v>
      </c>
      <c r="H10" s="518"/>
      <c r="I10" s="536"/>
      <c r="J10" s="87">
        <f>F10+120</f>
        <v>677</v>
      </c>
      <c r="K10" s="314"/>
      <c r="L10" s="104"/>
      <c r="M10" s="314"/>
      <c r="N10" s="537">
        <f>F10+55</f>
        <v>612</v>
      </c>
      <c r="O10" s="293">
        <f t="shared" ref="O10" si="1">+N10*$X$1</f>
        <v>612</v>
      </c>
      <c r="P10" s="537">
        <f>F10+50</f>
        <v>607</v>
      </c>
      <c r="Q10" s="293">
        <f t="shared" ref="Q10" si="2">+P10*$X$1</f>
        <v>607</v>
      </c>
      <c r="R10" s="537">
        <f>F10+42</f>
        <v>599</v>
      </c>
      <c r="S10" s="293">
        <f t="shared" ref="S10" si="3">+R10*$X$1</f>
        <v>599</v>
      </c>
      <c r="T10" s="537">
        <f>F10+35</f>
        <v>592</v>
      </c>
      <c r="U10" s="293">
        <f t="shared" ref="U10" si="4">+T10*$X$1</f>
        <v>592</v>
      </c>
      <c r="V10" s="537">
        <f>F10+30</f>
        <v>587</v>
      </c>
      <c r="W10" s="293">
        <f t="shared" ref="W10" si="5">+V10*$X$1</f>
        <v>587</v>
      </c>
      <c r="X10" s="132"/>
      <c r="Y10" s="132"/>
      <c r="Z10" s="132"/>
      <c r="AA10" s="132"/>
      <c r="AB10" s="421">
        <v>13</v>
      </c>
      <c r="AE10" s="62"/>
      <c r="AF10" s="802" t="s">
        <v>872</v>
      </c>
      <c r="AG10" s="802"/>
      <c r="AH10" s="802"/>
    </row>
    <row r="11" spans="1:39" ht="12.6" customHeight="1" x14ac:dyDescent="0.2">
      <c r="A11" s="18"/>
      <c r="B11" s="736" t="s">
        <v>846</v>
      </c>
      <c r="C11" s="698"/>
      <c r="D11" s="698"/>
      <c r="E11" s="699"/>
      <c r="F11" s="294">
        <v>1063</v>
      </c>
      <c r="G11" s="320">
        <f t="shared" ref="G11" si="6">+F11*$X$1</f>
        <v>1063</v>
      </c>
      <c r="H11" s="285"/>
      <c r="I11" s="354"/>
      <c r="J11" s="90">
        <f>F11+120</f>
        <v>1183</v>
      </c>
      <c r="K11" s="294"/>
      <c r="L11" s="492"/>
      <c r="M11" s="294"/>
      <c r="N11" s="492">
        <f>F11+55</f>
        <v>1118</v>
      </c>
      <c r="O11" s="294">
        <f t="shared" ref="O11:O12" si="7">+N11*$X$1</f>
        <v>1118</v>
      </c>
      <c r="P11" s="492">
        <f>F11+50</f>
        <v>1113</v>
      </c>
      <c r="Q11" s="294">
        <f t="shared" ref="Q11:Q12" si="8">+P11*$X$1</f>
        <v>1113</v>
      </c>
      <c r="R11" s="492">
        <f>F11+42</f>
        <v>1105</v>
      </c>
      <c r="S11" s="294">
        <f t="shared" ref="S11:S12" si="9">+R11*$X$1</f>
        <v>1105</v>
      </c>
      <c r="T11" s="492">
        <f>F11+35</f>
        <v>1098</v>
      </c>
      <c r="U11" s="294">
        <f t="shared" ref="U11:U12" si="10">+T11*$X$1</f>
        <v>1098</v>
      </c>
      <c r="V11" s="492">
        <f>F11+30</f>
        <v>1093</v>
      </c>
      <c r="W11" s="294">
        <f t="shared" ref="W11:W12" si="11">+V11*$X$1</f>
        <v>1093</v>
      </c>
      <c r="X11" s="132"/>
      <c r="Y11" s="132"/>
      <c r="Z11" s="132"/>
      <c r="AA11" s="132"/>
      <c r="AB11" s="35"/>
      <c r="AE11" s="62"/>
      <c r="AF11" s="802" t="s">
        <v>23</v>
      </c>
      <c r="AG11" s="802"/>
      <c r="AH11" s="802"/>
    </row>
    <row r="12" spans="1:39" ht="12.6" customHeight="1" x14ac:dyDescent="0.2">
      <c r="A12" s="18"/>
      <c r="B12" s="689" t="s">
        <v>722</v>
      </c>
      <c r="C12" s="712"/>
      <c r="D12" s="712"/>
      <c r="E12" s="712"/>
      <c r="F12" s="293">
        <v>1163</v>
      </c>
      <c r="G12" s="321">
        <f t="shared" ref="G12:G13" si="12">+F12*$X$1</f>
        <v>1163</v>
      </c>
      <c r="H12" s="286"/>
      <c r="I12" s="353"/>
      <c r="J12" s="72"/>
      <c r="K12" s="293"/>
      <c r="L12" s="537"/>
      <c r="M12" s="293"/>
      <c r="N12" s="537">
        <f>F12+55</f>
        <v>1218</v>
      </c>
      <c r="O12" s="293">
        <f t="shared" si="7"/>
        <v>1218</v>
      </c>
      <c r="P12" s="537">
        <f>F12+50</f>
        <v>1213</v>
      </c>
      <c r="Q12" s="293">
        <f t="shared" si="8"/>
        <v>1213</v>
      </c>
      <c r="R12" s="537">
        <f>F12+42</f>
        <v>1205</v>
      </c>
      <c r="S12" s="293">
        <f t="shared" si="9"/>
        <v>1205</v>
      </c>
      <c r="T12" s="537">
        <f>F12+35</f>
        <v>1198</v>
      </c>
      <c r="U12" s="293">
        <f t="shared" si="10"/>
        <v>1198</v>
      </c>
      <c r="V12" s="537">
        <f>F12+30</f>
        <v>1193</v>
      </c>
      <c r="W12" s="293">
        <f t="shared" si="11"/>
        <v>1193</v>
      </c>
      <c r="X12" s="132"/>
      <c r="Y12" s="132"/>
      <c r="Z12" s="132"/>
      <c r="AA12" s="132"/>
      <c r="AB12" s="421">
        <v>15</v>
      </c>
      <c r="AE12" s="62"/>
      <c r="AF12" s="802" t="s">
        <v>428</v>
      </c>
      <c r="AG12" s="802"/>
      <c r="AH12" s="802"/>
    </row>
    <row r="13" spans="1:39" ht="12.6" customHeight="1" x14ac:dyDescent="0.2">
      <c r="A13" s="18"/>
      <c r="B13" s="736" t="s">
        <v>430</v>
      </c>
      <c r="C13" s="698"/>
      <c r="D13" s="698"/>
      <c r="E13" s="699"/>
      <c r="F13" s="294">
        <v>510</v>
      </c>
      <c r="G13" s="320">
        <f t="shared" si="12"/>
        <v>510</v>
      </c>
      <c r="H13" s="285"/>
      <c r="I13" s="354"/>
      <c r="J13" s="492">
        <f>F13+120</f>
        <v>630</v>
      </c>
      <c r="K13" s="294">
        <f t="shared" ref="K13:K14" si="13">+J13*$X$1</f>
        <v>630</v>
      </c>
      <c r="L13" s="492">
        <f>F13+90</f>
        <v>600</v>
      </c>
      <c r="M13" s="294">
        <f t="shared" ref="M13:M14" si="14">+L13*$X$1</f>
        <v>600</v>
      </c>
      <c r="N13" s="492">
        <f>F13+55</f>
        <v>565</v>
      </c>
      <c r="O13" s="294">
        <f t="shared" ref="O13:O14" si="15">+N13*$X$1</f>
        <v>565</v>
      </c>
      <c r="P13" s="492">
        <f>F13+49</f>
        <v>559</v>
      </c>
      <c r="Q13" s="294">
        <f t="shared" ref="Q13:Q14" si="16">+P13*$X$1</f>
        <v>559</v>
      </c>
      <c r="R13" s="492">
        <f>F13+42</f>
        <v>552</v>
      </c>
      <c r="S13" s="294">
        <f t="shared" ref="S13:S14" si="17">+R13*$X$1</f>
        <v>552</v>
      </c>
      <c r="T13" s="492">
        <f>F13+34</f>
        <v>544</v>
      </c>
      <c r="U13" s="294">
        <f t="shared" ref="U13:U14" si="18">+T13*$X$1</f>
        <v>544</v>
      </c>
      <c r="V13" s="492"/>
      <c r="W13" s="294"/>
      <c r="X13" s="132"/>
      <c r="Y13" s="132"/>
      <c r="Z13" s="132"/>
      <c r="AA13" s="132"/>
      <c r="AB13" s="421">
        <v>17</v>
      </c>
      <c r="AE13" s="62"/>
      <c r="AF13" s="802" t="s">
        <v>380</v>
      </c>
      <c r="AG13" s="802"/>
      <c r="AH13" s="802"/>
      <c r="AI13" s="62"/>
    </row>
    <row r="14" spans="1:39" ht="12.6" customHeight="1" x14ac:dyDescent="0.2">
      <c r="A14" s="18"/>
      <c r="B14" s="730" t="s">
        <v>737</v>
      </c>
      <c r="C14" s="747"/>
      <c r="D14" s="747"/>
      <c r="E14" s="748"/>
      <c r="F14" s="397">
        <f>27.8*X2</f>
        <v>28828.600000000002</v>
      </c>
      <c r="G14" s="321">
        <f>+F14*$X$1</f>
        <v>28828.600000000002</v>
      </c>
      <c r="H14" s="538">
        <f>F14+400</f>
        <v>29228.600000000002</v>
      </c>
      <c r="I14" s="293">
        <f t="shared" ref="I14" si="19">+H14*$X$1</f>
        <v>29228.600000000002</v>
      </c>
      <c r="J14" s="537">
        <f>F14+150</f>
        <v>28978.600000000002</v>
      </c>
      <c r="K14" s="293">
        <f t="shared" si="13"/>
        <v>28978.600000000002</v>
      </c>
      <c r="L14" s="537">
        <f>F14+100</f>
        <v>28928.600000000002</v>
      </c>
      <c r="M14" s="293">
        <f t="shared" si="14"/>
        <v>28928.600000000002</v>
      </c>
      <c r="N14" s="537">
        <f>F14+70</f>
        <v>28898.600000000002</v>
      </c>
      <c r="O14" s="293">
        <f t="shared" si="15"/>
        <v>28898.600000000002</v>
      </c>
      <c r="P14" s="537">
        <f>F14+60</f>
        <v>28888.600000000002</v>
      </c>
      <c r="Q14" s="293">
        <f t="shared" si="16"/>
        <v>28888.600000000002</v>
      </c>
      <c r="R14" s="537">
        <f>F14+55</f>
        <v>28883.600000000002</v>
      </c>
      <c r="S14" s="293">
        <f t="shared" si="17"/>
        <v>28883.600000000002</v>
      </c>
      <c r="T14" s="537">
        <f>F14+49</f>
        <v>28877.600000000002</v>
      </c>
      <c r="U14" s="293">
        <f t="shared" si="18"/>
        <v>28877.600000000002</v>
      </c>
      <c r="V14" s="537"/>
      <c r="W14" s="293"/>
      <c r="X14" s="716"/>
      <c r="Y14" s="797"/>
      <c r="Z14" s="797"/>
      <c r="AA14" s="717"/>
      <c r="AB14" s="421">
        <v>18</v>
      </c>
      <c r="AE14" s="73"/>
      <c r="AF14" s="802" t="s">
        <v>381</v>
      </c>
      <c r="AG14" s="802"/>
      <c r="AH14" s="802"/>
      <c r="AI14" s="595"/>
    </row>
    <row r="15" spans="1:39" ht="12.6" customHeight="1" x14ac:dyDescent="0.2">
      <c r="A15" s="98"/>
      <c r="B15" s="736" t="s">
        <v>25</v>
      </c>
      <c r="C15" s="698"/>
      <c r="D15" s="698"/>
      <c r="E15" s="699"/>
      <c r="F15" s="396">
        <f>4.1*X2</f>
        <v>4251.7</v>
      </c>
      <c r="G15" s="320">
        <f>+F15*$X$1</f>
        <v>4251.7</v>
      </c>
      <c r="H15" s="497">
        <f>F15+400</f>
        <v>4651.7</v>
      </c>
      <c r="I15" s="294">
        <f t="shared" ref="I15:I16" si="20">+H15*$X$1</f>
        <v>4651.7</v>
      </c>
      <c r="J15" s="492"/>
      <c r="K15" s="296"/>
      <c r="L15" s="492"/>
      <c r="M15" s="294"/>
      <c r="N15" s="492"/>
      <c r="O15" s="294"/>
      <c r="P15" s="103"/>
      <c r="Q15" s="820" t="s">
        <v>152</v>
      </c>
      <c r="R15" s="821"/>
      <c r="S15" s="821"/>
      <c r="T15" s="821"/>
      <c r="U15" s="821"/>
      <c r="V15" s="821"/>
      <c r="W15" s="822"/>
      <c r="X15" s="716"/>
      <c r="Y15" s="797"/>
      <c r="Z15" s="797"/>
      <c r="AA15" s="717"/>
      <c r="AB15" s="421">
        <v>24</v>
      </c>
      <c r="AE15" s="73"/>
      <c r="AF15" s="801" t="s">
        <v>24</v>
      </c>
      <c r="AG15" s="801"/>
      <c r="AH15" s="801"/>
      <c r="AI15" s="801"/>
      <c r="AJ15" s="99"/>
    </row>
    <row r="16" spans="1:39" ht="12.6" customHeight="1" x14ac:dyDescent="0.2">
      <c r="A16" s="127"/>
      <c r="B16" s="733" t="s">
        <v>568</v>
      </c>
      <c r="C16" s="734"/>
      <c r="D16" s="734"/>
      <c r="E16" s="735"/>
      <c r="F16" s="397">
        <f>4.1*X2</f>
        <v>4251.7</v>
      </c>
      <c r="G16" s="321">
        <f>+F16*$X$1</f>
        <v>4251.7</v>
      </c>
      <c r="H16" s="336">
        <f>F16+400</f>
        <v>4651.7</v>
      </c>
      <c r="I16" s="293">
        <f t="shared" si="20"/>
        <v>4651.7</v>
      </c>
      <c r="J16" s="537"/>
      <c r="K16" s="295"/>
      <c r="L16" s="113"/>
      <c r="M16" s="295"/>
      <c r="N16" s="113">
        <f>F16+40</f>
        <v>4291.7</v>
      </c>
      <c r="O16" s="293"/>
      <c r="P16" s="286"/>
      <c r="Q16" s="823" t="s">
        <v>152</v>
      </c>
      <c r="R16" s="824"/>
      <c r="S16" s="824"/>
      <c r="T16" s="824"/>
      <c r="U16" s="824"/>
      <c r="V16" s="824"/>
      <c r="W16" s="825"/>
      <c r="X16" s="246"/>
      <c r="Y16" s="196"/>
      <c r="Z16" s="196"/>
      <c r="AA16" s="195"/>
      <c r="AB16" s="421">
        <v>25</v>
      </c>
      <c r="AE16" s="73"/>
      <c r="AF16" s="801" t="s">
        <v>913</v>
      </c>
      <c r="AG16" s="801"/>
      <c r="AH16" s="801"/>
      <c r="AI16" s="801"/>
      <c r="AJ16" s="99"/>
    </row>
    <row r="17" spans="1:37" ht="12.6" customHeight="1" x14ac:dyDescent="0.2">
      <c r="A17" s="126"/>
      <c r="B17" s="736" t="s">
        <v>26</v>
      </c>
      <c r="C17" s="698"/>
      <c r="D17" s="698"/>
      <c r="E17" s="699"/>
      <c r="F17" s="294"/>
      <c r="G17" s="350"/>
      <c r="H17" s="285"/>
      <c r="I17" s="354"/>
      <c r="J17" s="492"/>
      <c r="K17" s="296"/>
      <c r="L17" s="492"/>
      <c r="M17" s="294"/>
      <c r="N17" s="492"/>
      <c r="O17" s="294"/>
      <c r="P17" s="103"/>
      <c r="Q17" s="294"/>
      <c r="R17" s="492"/>
      <c r="S17" s="294"/>
      <c r="T17" s="492"/>
      <c r="U17" s="294"/>
      <c r="V17" s="96"/>
      <c r="W17" s="294"/>
      <c r="X17" s="716"/>
      <c r="Y17" s="797"/>
      <c r="Z17" s="797"/>
      <c r="AA17" s="717"/>
      <c r="AB17" s="35"/>
      <c r="AF17" s="801" t="s">
        <v>393</v>
      </c>
      <c r="AG17" s="801"/>
      <c r="AH17" s="801"/>
      <c r="AI17" s="807"/>
      <c r="AJ17" s="807"/>
    </row>
    <row r="18" spans="1:37" ht="12.6" customHeight="1" x14ac:dyDescent="0.2">
      <c r="A18" s="18"/>
      <c r="B18" s="733" t="s">
        <v>27</v>
      </c>
      <c r="C18" s="696"/>
      <c r="D18" s="696"/>
      <c r="E18" s="697"/>
      <c r="F18" s="293">
        <v>4171</v>
      </c>
      <c r="G18" s="321">
        <f t="shared" ref="G18:G24" si="21">+F18*$X$1</f>
        <v>4171</v>
      </c>
      <c r="H18" s="538">
        <f>F18+400</f>
        <v>4571</v>
      </c>
      <c r="I18" s="293">
        <f t="shared" ref="I18:I19" si="22">+H18*$X$1</f>
        <v>4571</v>
      </c>
      <c r="J18" s="537">
        <f>F18+150</f>
        <v>4321</v>
      </c>
      <c r="K18" s="293">
        <f t="shared" ref="K18:K19" si="23">+J18*$X$1</f>
        <v>4321</v>
      </c>
      <c r="L18" s="537">
        <f>F18+100</f>
        <v>4271</v>
      </c>
      <c r="M18" s="293">
        <f t="shared" ref="M18:M19" si="24">+L18*$X$1</f>
        <v>4271</v>
      </c>
      <c r="N18" s="537">
        <f>F18+70</f>
        <v>4241</v>
      </c>
      <c r="O18" s="293">
        <f t="shared" ref="O18:O19" si="25">+N18*$X$1</f>
        <v>4241</v>
      </c>
      <c r="P18" s="537">
        <f>F18+60</f>
        <v>4231</v>
      </c>
      <c r="Q18" s="293">
        <f t="shared" ref="Q18:Q19" si="26">+P18*$X$1</f>
        <v>4231</v>
      </c>
      <c r="R18" s="537">
        <f>F18+55</f>
        <v>4226</v>
      </c>
      <c r="S18" s="293">
        <f t="shared" ref="S18:S19" si="27">+R18*$X$1</f>
        <v>4226</v>
      </c>
      <c r="T18" s="537">
        <f>F18+49</f>
        <v>4220</v>
      </c>
      <c r="U18" s="293">
        <f t="shared" ref="U18:U19" si="28">+T18*$X$1</f>
        <v>4220</v>
      </c>
      <c r="V18" s="537"/>
      <c r="W18" s="293"/>
      <c r="X18" s="716"/>
      <c r="Y18" s="797"/>
      <c r="Z18" s="797"/>
      <c r="AA18" s="717"/>
      <c r="AB18" s="421" t="s">
        <v>28</v>
      </c>
      <c r="AE18" s="73"/>
      <c r="AF18" s="801" t="s">
        <v>394</v>
      </c>
      <c r="AG18" s="801"/>
      <c r="AH18" s="801"/>
      <c r="AI18" s="801"/>
      <c r="AJ18" s="74"/>
    </row>
    <row r="19" spans="1:37" ht="12.6" customHeight="1" x14ac:dyDescent="0.2">
      <c r="A19" s="18"/>
      <c r="B19" s="774" t="s">
        <v>29</v>
      </c>
      <c r="C19" s="705"/>
      <c r="D19" s="705"/>
      <c r="E19" s="705"/>
      <c r="F19" s="294">
        <v>4171</v>
      </c>
      <c r="G19" s="320">
        <f t="shared" ref="G19" si="29">+F19*$X$1</f>
        <v>4171</v>
      </c>
      <c r="H19" s="539">
        <f>F19+400</f>
        <v>4571</v>
      </c>
      <c r="I19" s="294">
        <f t="shared" si="22"/>
        <v>4571</v>
      </c>
      <c r="J19" s="492">
        <f>F19+150</f>
        <v>4321</v>
      </c>
      <c r="K19" s="294">
        <f t="shared" si="23"/>
        <v>4321</v>
      </c>
      <c r="L19" s="492">
        <f>F19+100</f>
        <v>4271</v>
      </c>
      <c r="M19" s="294">
        <f t="shared" si="24"/>
        <v>4271</v>
      </c>
      <c r="N19" s="492">
        <f>F19+70</f>
        <v>4241</v>
      </c>
      <c r="O19" s="294">
        <f t="shared" si="25"/>
        <v>4241</v>
      </c>
      <c r="P19" s="492">
        <f>F19+60</f>
        <v>4231</v>
      </c>
      <c r="Q19" s="294">
        <f t="shared" si="26"/>
        <v>4231</v>
      </c>
      <c r="R19" s="492">
        <f>F19+55</f>
        <v>4226</v>
      </c>
      <c r="S19" s="294">
        <f t="shared" si="27"/>
        <v>4226</v>
      </c>
      <c r="T19" s="492">
        <f>F19+49</f>
        <v>4220</v>
      </c>
      <c r="U19" s="294">
        <f t="shared" si="28"/>
        <v>4220</v>
      </c>
      <c r="V19" s="492"/>
      <c r="W19" s="294"/>
      <c r="X19" s="716"/>
      <c r="Y19" s="797"/>
      <c r="Z19" s="797"/>
      <c r="AA19" s="717"/>
      <c r="AB19" s="421" t="s">
        <v>30</v>
      </c>
      <c r="AE19" s="73"/>
      <c r="AF19" s="801" t="s">
        <v>414</v>
      </c>
      <c r="AG19" s="801"/>
      <c r="AH19" s="801"/>
      <c r="AI19" s="801"/>
      <c r="AJ19" s="807"/>
    </row>
    <row r="20" spans="1:37" ht="12.6" customHeight="1" x14ac:dyDescent="0.2">
      <c r="A20" s="18"/>
      <c r="B20" s="689" t="s">
        <v>360</v>
      </c>
      <c r="C20" s="712"/>
      <c r="D20" s="712"/>
      <c r="E20" s="712"/>
      <c r="F20" s="293">
        <v>595</v>
      </c>
      <c r="G20" s="362">
        <f t="shared" si="21"/>
        <v>595</v>
      </c>
      <c r="H20" s="291"/>
      <c r="I20" s="372"/>
      <c r="J20" s="213"/>
      <c r="K20" s="295"/>
      <c r="L20" s="113"/>
      <c r="M20" s="295"/>
      <c r="N20" s="113"/>
      <c r="O20" s="293"/>
      <c r="P20" s="286"/>
      <c r="Q20" s="353"/>
      <c r="R20" s="537"/>
      <c r="S20" s="293"/>
      <c r="T20" s="537"/>
      <c r="U20" s="293"/>
      <c r="V20" s="537"/>
      <c r="W20" s="293"/>
      <c r="X20" s="132"/>
      <c r="Y20" s="132"/>
      <c r="Z20" s="132"/>
      <c r="AA20" s="132"/>
      <c r="AB20" s="421">
        <v>35</v>
      </c>
      <c r="AE20" s="73"/>
      <c r="AF20" s="801" t="s">
        <v>361</v>
      </c>
      <c r="AG20" s="807"/>
      <c r="AH20" s="807"/>
      <c r="AI20" s="807"/>
      <c r="AJ20" s="74"/>
    </row>
    <row r="21" spans="1:37" ht="12.6" customHeight="1" x14ac:dyDescent="0.2">
      <c r="A21" s="18"/>
      <c r="B21" s="774" t="s">
        <v>359</v>
      </c>
      <c r="C21" s="705"/>
      <c r="D21" s="705"/>
      <c r="E21" s="705"/>
      <c r="F21" s="294">
        <v>1930</v>
      </c>
      <c r="G21" s="350">
        <f t="shared" si="21"/>
        <v>1930</v>
      </c>
      <c r="H21" s="285"/>
      <c r="I21" s="354"/>
      <c r="J21" s="121"/>
      <c r="K21" s="294"/>
      <c r="L21" s="492"/>
      <c r="M21" s="294"/>
      <c r="N21" s="492"/>
      <c r="O21" s="294"/>
      <c r="P21" s="285"/>
      <c r="Q21" s="354"/>
      <c r="R21" s="492"/>
      <c r="S21" s="373"/>
      <c r="T21" s="103"/>
      <c r="U21" s="328"/>
      <c r="V21" s="103"/>
      <c r="W21" s="294"/>
      <c r="X21" s="132"/>
      <c r="Y21" s="132"/>
      <c r="Z21" s="132"/>
      <c r="AA21" s="132"/>
      <c r="AB21" s="421">
        <v>36</v>
      </c>
      <c r="AE21" s="73"/>
      <c r="AF21" s="801" t="s">
        <v>513</v>
      </c>
      <c r="AG21" s="801"/>
      <c r="AH21" s="801"/>
      <c r="AI21" s="801"/>
      <c r="AJ21" s="74"/>
    </row>
    <row r="22" spans="1:37" ht="12.6" customHeight="1" x14ac:dyDescent="0.2">
      <c r="A22" s="18"/>
      <c r="B22" s="689" t="s">
        <v>31</v>
      </c>
      <c r="C22" s="712"/>
      <c r="D22" s="712"/>
      <c r="E22" s="712"/>
      <c r="F22" s="293">
        <v>1930</v>
      </c>
      <c r="G22" s="315">
        <f t="shared" si="21"/>
        <v>1930</v>
      </c>
      <c r="H22" s="291"/>
      <c r="I22" s="357"/>
      <c r="J22" s="122"/>
      <c r="K22" s="293"/>
      <c r="L22" s="537"/>
      <c r="M22" s="293"/>
      <c r="N22" s="537"/>
      <c r="O22" s="293"/>
      <c r="P22" s="291"/>
      <c r="Q22" s="357"/>
      <c r="R22" s="537"/>
      <c r="S22" s="332"/>
      <c r="T22" s="537"/>
      <c r="U22" s="293"/>
      <c r="V22" s="537"/>
      <c r="W22" s="293"/>
      <c r="X22" s="132"/>
      <c r="Y22" s="132"/>
      <c r="Z22" s="132"/>
      <c r="AA22" s="132"/>
      <c r="AB22" s="421" t="s">
        <v>32</v>
      </c>
      <c r="AE22" s="73"/>
      <c r="AF22" s="801" t="s">
        <v>33</v>
      </c>
      <c r="AG22" s="801"/>
      <c r="AH22" s="801"/>
      <c r="AI22" s="801"/>
      <c r="AJ22" s="74"/>
    </row>
    <row r="23" spans="1:37" ht="12.6" customHeight="1" x14ac:dyDescent="0.2">
      <c r="A23" s="18"/>
      <c r="B23" s="774" t="s">
        <v>34</v>
      </c>
      <c r="C23" s="705"/>
      <c r="D23" s="705"/>
      <c r="E23" s="705"/>
      <c r="F23" s="294"/>
      <c r="G23" s="350"/>
      <c r="H23" s="285"/>
      <c r="I23" s="354"/>
      <c r="J23" s="121"/>
      <c r="K23" s="296"/>
      <c r="L23" s="96"/>
      <c r="M23" s="296"/>
      <c r="N23" s="96"/>
      <c r="O23" s="296"/>
      <c r="P23" s="96"/>
      <c r="Q23" s="296"/>
      <c r="R23" s="96"/>
      <c r="S23" s="391"/>
      <c r="T23" s="96"/>
      <c r="U23" s="358"/>
      <c r="V23" s="96"/>
      <c r="W23" s="296"/>
      <c r="X23" s="132"/>
      <c r="Y23" s="132"/>
      <c r="Z23" s="132"/>
      <c r="AA23" s="132"/>
      <c r="AB23" s="421" t="s">
        <v>35</v>
      </c>
      <c r="AD23" s="23"/>
      <c r="AE23" s="75"/>
      <c r="AF23" s="801" t="s">
        <v>36</v>
      </c>
      <c r="AG23" s="807"/>
      <c r="AH23" s="807"/>
      <c r="AI23" s="807"/>
      <c r="AJ23" s="74"/>
    </row>
    <row r="24" spans="1:37" ht="12.6" customHeight="1" x14ac:dyDescent="0.2">
      <c r="A24" s="18"/>
      <c r="B24" s="733" t="s">
        <v>37</v>
      </c>
      <c r="C24" s="696"/>
      <c r="D24" s="696"/>
      <c r="E24" s="697"/>
      <c r="F24" s="392">
        <f>6.35*X2</f>
        <v>6584.95</v>
      </c>
      <c r="G24" s="293">
        <f t="shared" si="21"/>
        <v>6584.95</v>
      </c>
      <c r="H24" s="538"/>
      <c r="I24" s="293"/>
      <c r="J24" s="537"/>
      <c r="K24" s="293"/>
      <c r="L24" s="537">
        <f>F24+100</f>
        <v>6684.95</v>
      </c>
      <c r="M24" s="293">
        <f t="shared" ref="M24" si="30">+L24*$X$1</f>
        <v>6684.95</v>
      </c>
      <c r="N24" s="537">
        <f>F24+70</f>
        <v>6654.95</v>
      </c>
      <c r="O24" s="293">
        <f t="shared" ref="O24" si="31">+N24*$X$1</f>
        <v>6654.95</v>
      </c>
      <c r="P24" s="537">
        <f>F24+60</f>
        <v>6644.95</v>
      </c>
      <c r="Q24" s="293">
        <f t="shared" ref="Q24" si="32">+P24*$X$1</f>
        <v>6644.95</v>
      </c>
      <c r="R24" s="537">
        <f>F24+55</f>
        <v>6639.95</v>
      </c>
      <c r="S24" s="293">
        <f t="shared" ref="S24" si="33">+R24*$X$1</f>
        <v>6639.95</v>
      </c>
      <c r="T24" s="537">
        <f>F24+49</f>
        <v>6633.95</v>
      </c>
      <c r="U24" s="293">
        <f t="shared" ref="U24" si="34">+T24*$X$1</f>
        <v>6633.95</v>
      </c>
      <c r="V24" s="537"/>
      <c r="W24" s="293"/>
      <c r="X24" s="716"/>
      <c r="Y24" s="771"/>
      <c r="Z24" s="771"/>
      <c r="AA24" s="703"/>
      <c r="AB24" s="421">
        <v>39</v>
      </c>
      <c r="AE24" s="73"/>
      <c r="AF24" s="801" t="s">
        <v>776</v>
      </c>
      <c r="AG24" s="801"/>
      <c r="AH24" s="801"/>
      <c r="AI24" s="807"/>
      <c r="AJ24" s="807"/>
    </row>
    <row r="25" spans="1:37" ht="12.6" customHeight="1" x14ac:dyDescent="0.2">
      <c r="A25" s="18"/>
      <c r="B25" s="817" t="s">
        <v>38</v>
      </c>
      <c r="C25" s="818"/>
      <c r="D25" s="818"/>
      <c r="E25" s="819"/>
      <c r="F25" s="296"/>
      <c r="G25" s="294"/>
      <c r="H25" s="285"/>
      <c r="I25" s="354"/>
      <c r="J25" s="121"/>
      <c r="K25" s="294"/>
      <c r="L25" s="492"/>
      <c r="M25" s="294"/>
      <c r="N25" s="492"/>
      <c r="O25" s="294"/>
      <c r="P25" s="287"/>
      <c r="Q25" s="294"/>
      <c r="R25" s="492"/>
      <c r="S25" s="294"/>
      <c r="T25" s="492"/>
      <c r="U25" s="294"/>
      <c r="V25" s="492"/>
      <c r="W25" s="294"/>
      <c r="X25" s="131"/>
      <c r="Y25" s="132"/>
      <c r="Z25" s="132"/>
      <c r="AA25" s="132"/>
      <c r="AB25" s="421" t="s">
        <v>39</v>
      </c>
      <c r="AE25" s="73"/>
      <c r="AF25" s="801" t="s">
        <v>40</v>
      </c>
      <c r="AG25" s="801"/>
      <c r="AH25" s="801"/>
      <c r="AI25" s="801"/>
      <c r="AJ25" s="74"/>
    </row>
    <row r="26" spans="1:37" ht="12.6" customHeight="1" x14ac:dyDescent="0.2">
      <c r="A26" s="18"/>
      <c r="B26" s="689" t="s">
        <v>41</v>
      </c>
      <c r="C26" s="712"/>
      <c r="D26" s="712"/>
      <c r="E26" s="712"/>
      <c r="F26" s="392"/>
      <c r="G26" s="293"/>
      <c r="H26" s="286"/>
      <c r="I26" s="353"/>
      <c r="J26" s="537"/>
      <c r="K26" s="293"/>
      <c r="L26" s="537">
        <f>6.7*X2</f>
        <v>6947.9000000000005</v>
      </c>
      <c r="M26" s="293">
        <f t="shared" ref="M26:M27" si="35">+L26*$X$1</f>
        <v>6947.9000000000005</v>
      </c>
      <c r="N26" s="537">
        <f>6.5*X2</f>
        <v>6740.5</v>
      </c>
      <c r="O26" s="293">
        <f t="shared" ref="O26:O27" si="36">+N26*$X$1</f>
        <v>6740.5</v>
      </c>
      <c r="P26" s="330">
        <f>6.3*X2</f>
        <v>6533.0999999999995</v>
      </c>
      <c r="Q26" s="293">
        <f t="shared" ref="Q26:Q27" si="37">+P26*$X$1</f>
        <v>6533.0999999999995</v>
      </c>
      <c r="R26" s="537">
        <f>6.1*X2</f>
        <v>6325.7</v>
      </c>
      <c r="S26" s="293">
        <f t="shared" ref="S26:S27" si="38">+R26*$X$1</f>
        <v>6325.7</v>
      </c>
      <c r="T26" s="537">
        <f>6*X2</f>
        <v>6222</v>
      </c>
      <c r="U26" s="293">
        <f t="shared" ref="U26:U27" si="39">+T26*$X$1</f>
        <v>6222</v>
      </c>
      <c r="V26" s="537"/>
      <c r="W26" s="293"/>
      <c r="X26" s="798"/>
      <c r="Y26" s="771"/>
      <c r="Z26" s="771"/>
      <c r="AA26" s="703"/>
      <c r="AB26" s="421">
        <v>40</v>
      </c>
      <c r="AE26" s="73"/>
      <c r="AF26" s="801" t="s">
        <v>42</v>
      </c>
      <c r="AG26" s="801"/>
      <c r="AH26" s="801"/>
      <c r="AI26" s="801"/>
      <c r="AJ26" s="807"/>
    </row>
    <row r="27" spans="1:37" ht="12.6" customHeight="1" x14ac:dyDescent="0.2">
      <c r="A27" s="18"/>
      <c r="B27" s="736" t="s">
        <v>370</v>
      </c>
      <c r="C27" s="698"/>
      <c r="D27" s="698"/>
      <c r="E27" s="699"/>
      <c r="F27" s="396">
        <f>8.3*X2</f>
        <v>8607.1</v>
      </c>
      <c r="G27" s="294">
        <f>+F27*$X$1</f>
        <v>8607.1</v>
      </c>
      <c r="H27" s="285"/>
      <c r="I27" s="354"/>
      <c r="J27" s="492">
        <f>F27+120</f>
        <v>8727.1</v>
      </c>
      <c r="K27" s="294">
        <f t="shared" ref="K27" si="40">+J27*$X$1</f>
        <v>8727.1</v>
      </c>
      <c r="L27" s="492">
        <f>F27+100</f>
        <v>8707.1</v>
      </c>
      <c r="M27" s="294">
        <f t="shared" si="35"/>
        <v>8707.1</v>
      </c>
      <c r="N27" s="492">
        <f>F27+70</f>
        <v>8677.1</v>
      </c>
      <c r="O27" s="294">
        <f t="shared" si="36"/>
        <v>8677.1</v>
      </c>
      <c r="P27" s="492">
        <f>F27+60</f>
        <v>8667.1</v>
      </c>
      <c r="Q27" s="294">
        <f t="shared" si="37"/>
        <v>8667.1</v>
      </c>
      <c r="R27" s="492">
        <f>F27+55</f>
        <v>8662.1</v>
      </c>
      <c r="S27" s="294">
        <f t="shared" si="38"/>
        <v>8662.1</v>
      </c>
      <c r="T27" s="492">
        <f>F27+49</f>
        <v>8656.1</v>
      </c>
      <c r="U27" s="294">
        <f t="shared" si="39"/>
        <v>8656.1</v>
      </c>
      <c r="V27" s="492"/>
      <c r="W27" s="294"/>
      <c r="X27" s="217"/>
      <c r="Y27" s="167"/>
      <c r="Z27" s="167"/>
      <c r="AA27" s="168"/>
      <c r="AB27" s="421">
        <v>44</v>
      </c>
      <c r="AE27" s="73"/>
      <c r="AF27" s="801" t="s">
        <v>434</v>
      </c>
      <c r="AG27" s="801"/>
      <c r="AH27" s="801"/>
      <c r="AI27" s="807"/>
      <c r="AJ27" s="807"/>
      <c r="AK27" s="66"/>
    </row>
    <row r="28" spans="1:37" ht="12.6" customHeight="1" x14ac:dyDescent="0.2">
      <c r="A28" s="18"/>
      <c r="B28" s="813" t="s">
        <v>697</v>
      </c>
      <c r="C28" s="814"/>
      <c r="D28" s="814"/>
      <c r="E28" s="814"/>
      <c r="F28" s="392">
        <f>0.5*X2</f>
        <v>518.5</v>
      </c>
      <c r="G28" s="293">
        <f>+F28*$X$1</f>
        <v>518.5</v>
      </c>
      <c r="H28" s="286"/>
      <c r="I28" s="353"/>
      <c r="J28" s="72"/>
      <c r="K28" s="293"/>
      <c r="L28" s="537">
        <f>F28+90</f>
        <v>608.5</v>
      </c>
      <c r="M28" s="293">
        <f t="shared" ref="M28" si="41">+L28*$X$1</f>
        <v>608.5</v>
      </c>
      <c r="N28" s="537">
        <f>F28+55</f>
        <v>573.5</v>
      </c>
      <c r="O28" s="293">
        <f t="shared" ref="O28" si="42">+N28*$X$1</f>
        <v>573.5</v>
      </c>
      <c r="P28" s="537">
        <f>F28+50</f>
        <v>568.5</v>
      </c>
      <c r="Q28" s="293">
        <f t="shared" ref="Q28" si="43">+P28*$X$1</f>
        <v>568.5</v>
      </c>
      <c r="R28" s="537">
        <f>F28+42</f>
        <v>560.5</v>
      </c>
      <c r="S28" s="293">
        <f t="shared" ref="S28" si="44">+R28*$X$1</f>
        <v>560.5</v>
      </c>
      <c r="T28" s="537">
        <f>F28+35</f>
        <v>553.5</v>
      </c>
      <c r="U28" s="293">
        <f t="shared" ref="U28" si="45">+T28*$X$1</f>
        <v>553.5</v>
      </c>
      <c r="V28" s="537">
        <f>F28+30</f>
        <v>548.5</v>
      </c>
      <c r="W28" s="293">
        <f t="shared" ref="W28" si="46">+V28*$X$1</f>
        <v>548.5</v>
      </c>
      <c r="X28" s="132"/>
      <c r="Y28" s="132"/>
      <c r="Z28" s="132"/>
      <c r="AA28" s="132"/>
      <c r="AB28" s="421">
        <v>45</v>
      </c>
      <c r="AF28" s="801" t="s">
        <v>775</v>
      </c>
      <c r="AG28" s="801"/>
      <c r="AH28" s="801"/>
      <c r="AI28" s="801"/>
      <c r="AJ28" s="801"/>
    </row>
    <row r="29" spans="1:37" ht="12.6" customHeight="1" x14ac:dyDescent="0.2">
      <c r="A29" s="18"/>
      <c r="B29" s="774" t="s">
        <v>43</v>
      </c>
      <c r="C29" s="705"/>
      <c r="D29" s="705"/>
      <c r="E29" s="705"/>
      <c r="F29" s="294">
        <v>570</v>
      </c>
      <c r="G29" s="320">
        <f t="shared" ref="G29:G37" si="47">+F29*$X$1</f>
        <v>570</v>
      </c>
      <c r="H29" s="810" t="s">
        <v>44</v>
      </c>
      <c r="I29" s="810"/>
      <c r="J29" s="811"/>
      <c r="K29" s="812"/>
      <c r="L29" s="285"/>
      <c r="M29" s="354"/>
      <c r="N29" s="91">
        <v>1710</v>
      </c>
      <c r="O29" s="320">
        <f t="shared" ref="O29:O40" si="48">+N29*$X$1</f>
        <v>1710</v>
      </c>
      <c r="P29" s="287">
        <v>1572</v>
      </c>
      <c r="Q29" s="551">
        <f t="shared" ref="Q29:S53" si="49">+P29*$X$1</f>
        <v>1572</v>
      </c>
      <c r="R29" s="103">
        <v>1460</v>
      </c>
      <c r="S29" s="313">
        <f t="shared" si="49"/>
        <v>1460</v>
      </c>
      <c r="T29" s="492">
        <v>1350</v>
      </c>
      <c r="U29" s="313">
        <f t="shared" ref="U29:U46" si="50">+T29*$X$1</f>
        <v>1350</v>
      </c>
      <c r="V29" s="492">
        <v>1311</v>
      </c>
      <c r="W29" s="294">
        <f t="shared" ref="W29:W46" si="51">+V29*$X$1</f>
        <v>1311</v>
      </c>
      <c r="X29" s="716"/>
      <c r="Y29" s="771"/>
      <c r="Z29" s="771"/>
      <c r="AA29" s="703"/>
      <c r="AB29" s="421" t="s">
        <v>45</v>
      </c>
      <c r="AE29" s="73"/>
      <c r="AF29" s="801" t="s">
        <v>606</v>
      </c>
      <c r="AG29" s="801"/>
      <c r="AH29" s="801"/>
      <c r="AI29" s="801"/>
      <c r="AJ29" s="801"/>
    </row>
    <row r="30" spans="1:37" ht="12.6" customHeight="1" x14ac:dyDescent="0.2">
      <c r="A30" s="18"/>
      <c r="B30" s="689" t="s">
        <v>46</v>
      </c>
      <c r="C30" s="712"/>
      <c r="D30" s="712"/>
      <c r="E30" s="712"/>
      <c r="F30" s="293">
        <v>570</v>
      </c>
      <c r="G30" s="321">
        <f t="shared" si="47"/>
        <v>570</v>
      </c>
      <c r="H30" s="778" t="s">
        <v>44</v>
      </c>
      <c r="I30" s="778"/>
      <c r="J30" s="779"/>
      <c r="K30" s="780"/>
      <c r="L30" s="286"/>
      <c r="M30" s="353"/>
      <c r="N30" s="87">
        <v>1710</v>
      </c>
      <c r="O30" s="321">
        <f t="shared" ref="O30:O33" si="52">+N30*$X$1</f>
        <v>1710</v>
      </c>
      <c r="P30" s="330">
        <v>1572</v>
      </c>
      <c r="Q30" s="552">
        <f t="shared" ref="Q30:Q33" si="53">+P30*$X$1</f>
        <v>1572</v>
      </c>
      <c r="R30" s="104">
        <v>1460</v>
      </c>
      <c r="S30" s="260">
        <f t="shared" ref="S30:S33" si="54">+R30*$X$1</f>
        <v>1460</v>
      </c>
      <c r="T30" s="549">
        <v>1350</v>
      </c>
      <c r="U30" s="260">
        <f t="shared" ref="U30:U33" si="55">+T30*$X$1</f>
        <v>1350</v>
      </c>
      <c r="V30" s="549">
        <v>1311</v>
      </c>
      <c r="W30" s="293">
        <f t="shared" ref="W30:W33" si="56">+V30*$X$1</f>
        <v>1311</v>
      </c>
      <c r="X30" s="716"/>
      <c r="Y30" s="771"/>
      <c r="Z30" s="771"/>
      <c r="AA30" s="703"/>
      <c r="AB30" s="421" t="s">
        <v>47</v>
      </c>
    </row>
    <row r="31" spans="1:37" ht="12.6" customHeight="1" x14ac:dyDescent="0.2">
      <c r="A31" s="18"/>
      <c r="B31" s="774" t="s">
        <v>48</v>
      </c>
      <c r="C31" s="705"/>
      <c r="D31" s="705"/>
      <c r="E31" s="705"/>
      <c r="F31" s="294">
        <v>570</v>
      </c>
      <c r="G31" s="320">
        <f t="shared" si="47"/>
        <v>570</v>
      </c>
      <c r="H31" s="775" t="s">
        <v>44</v>
      </c>
      <c r="I31" s="775"/>
      <c r="J31" s="776"/>
      <c r="K31" s="777"/>
      <c r="L31" s="285"/>
      <c r="M31" s="354"/>
      <c r="N31" s="91">
        <v>1710</v>
      </c>
      <c r="O31" s="320">
        <f t="shared" si="52"/>
        <v>1710</v>
      </c>
      <c r="P31" s="287">
        <v>1572</v>
      </c>
      <c r="Q31" s="551">
        <f t="shared" si="53"/>
        <v>1572</v>
      </c>
      <c r="R31" s="103">
        <v>1460</v>
      </c>
      <c r="S31" s="313">
        <f t="shared" si="54"/>
        <v>1460</v>
      </c>
      <c r="T31" s="492">
        <v>1350</v>
      </c>
      <c r="U31" s="313">
        <f t="shared" si="55"/>
        <v>1350</v>
      </c>
      <c r="V31" s="492">
        <v>1311</v>
      </c>
      <c r="W31" s="294">
        <f t="shared" si="56"/>
        <v>1311</v>
      </c>
      <c r="X31" s="716"/>
      <c r="Y31" s="771"/>
      <c r="Z31" s="771"/>
      <c r="AA31" s="703"/>
      <c r="AB31" s="421" t="s">
        <v>49</v>
      </c>
    </row>
    <row r="32" spans="1:37" ht="12.6" customHeight="1" x14ac:dyDescent="0.2">
      <c r="A32" s="18"/>
      <c r="B32" s="689" t="s">
        <v>50</v>
      </c>
      <c r="C32" s="712"/>
      <c r="D32" s="712"/>
      <c r="E32" s="712"/>
      <c r="F32" s="293">
        <v>570</v>
      </c>
      <c r="G32" s="321">
        <f t="shared" si="47"/>
        <v>570</v>
      </c>
      <c r="H32" s="778" t="s">
        <v>44</v>
      </c>
      <c r="I32" s="778"/>
      <c r="J32" s="779"/>
      <c r="K32" s="780"/>
      <c r="L32" s="286"/>
      <c r="M32" s="353"/>
      <c r="N32" s="87">
        <v>1710</v>
      </c>
      <c r="O32" s="321">
        <f t="shared" si="52"/>
        <v>1710</v>
      </c>
      <c r="P32" s="330">
        <v>1572</v>
      </c>
      <c r="Q32" s="552">
        <f t="shared" si="53"/>
        <v>1572</v>
      </c>
      <c r="R32" s="104">
        <v>1460</v>
      </c>
      <c r="S32" s="260">
        <f t="shared" si="54"/>
        <v>1460</v>
      </c>
      <c r="T32" s="549">
        <v>1350</v>
      </c>
      <c r="U32" s="260">
        <f t="shared" si="55"/>
        <v>1350</v>
      </c>
      <c r="V32" s="549">
        <v>1311</v>
      </c>
      <c r="W32" s="293">
        <f t="shared" si="56"/>
        <v>1311</v>
      </c>
      <c r="X32" s="716"/>
      <c r="Y32" s="771"/>
      <c r="Z32" s="771"/>
      <c r="AA32" s="703"/>
      <c r="AB32" s="421" t="s">
        <v>51</v>
      </c>
    </row>
    <row r="33" spans="1:28" ht="12.6" customHeight="1" x14ac:dyDescent="0.2">
      <c r="A33" s="18"/>
      <c r="B33" s="774" t="s">
        <v>52</v>
      </c>
      <c r="C33" s="705"/>
      <c r="D33" s="705"/>
      <c r="E33" s="705"/>
      <c r="F33" s="294">
        <v>570</v>
      </c>
      <c r="G33" s="320">
        <f t="shared" si="47"/>
        <v>570</v>
      </c>
      <c r="H33" s="775" t="s">
        <v>44</v>
      </c>
      <c r="I33" s="775"/>
      <c r="J33" s="776"/>
      <c r="K33" s="777"/>
      <c r="L33" s="285"/>
      <c r="M33" s="354"/>
      <c r="N33" s="91">
        <v>1710</v>
      </c>
      <c r="O33" s="320">
        <f t="shared" si="52"/>
        <v>1710</v>
      </c>
      <c r="P33" s="287">
        <v>1572</v>
      </c>
      <c r="Q33" s="551">
        <f t="shared" si="53"/>
        <v>1572</v>
      </c>
      <c r="R33" s="103">
        <v>1460</v>
      </c>
      <c r="S33" s="313">
        <f t="shared" si="54"/>
        <v>1460</v>
      </c>
      <c r="T33" s="492">
        <v>1350</v>
      </c>
      <c r="U33" s="313">
        <f t="shared" si="55"/>
        <v>1350</v>
      </c>
      <c r="V33" s="492">
        <v>1311</v>
      </c>
      <c r="W33" s="294">
        <f t="shared" si="56"/>
        <v>1311</v>
      </c>
      <c r="X33" s="716"/>
      <c r="Y33" s="771"/>
      <c r="Z33" s="771"/>
      <c r="AA33" s="703"/>
      <c r="AB33" s="421" t="s">
        <v>53</v>
      </c>
    </row>
    <row r="34" spans="1:28" ht="12.6" customHeight="1" x14ac:dyDescent="0.25">
      <c r="A34" s="18"/>
      <c r="B34" s="689" t="s">
        <v>54</v>
      </c>
      <c r="C34" s="712"/>
      <c r="D34" s="712"/>
      <c r="E34" s="712"/>
      <c r="F34" s="293">
        <v>570</v>
      </c>
      <c r="G34" s="321">
        <f t="shared" si="47"/>
        <v>570</v>
      </c>
      <c r="H34" s="778" t="s">
        <v>44</v>
      </c>
      <c r="I34" s="778"/>
      <c r="J34" s="779"/>
      <c r="K34" s="780"/>
      <c r="L34" s="286"/>
      <c r="M34" s="353"/>
      <c r="N34" s="87">
        <v>1480</v>
      </c>
      <c r="O34" s="321">
        <f t="shared" si="48"/>
        <v>1480</v>
      </c>
      <c r="P34" s="330">
        <v>1360</v>
      </c>
      <c r="Q34" s="552">
        <f t="shared" si="49"/>
        <v>1360</v>
      </c>
      <c r="R34" s="549">
        <v>1251</v>
      </c>
      <c r="S34" s="260">
        <f t="shared" si="49"/>
        <v>1251</v>
      </c>
      <c r="T34" s="549">
        <v>1167</v>
      </c>
      <c r="U34" s="260">
        <f t="shared" si="50"/>
        <v>1167</v>
      </c>
      <c r="V34" s="549">
        <v>1114</v>
      </c>
      <c r="W34" s="293">
        <f t="shared" si="51"/>
        <v>1114</v>
      </c>
      <c r="X34" s="716"/>
      <c r="Y34" s="772"/>
      <c r="Z34" s="772"/>
      <c r="AA34" s="773"/>
      <c r="AB34" s="421" t="s">
        <v>473</v>
      </c>
    </row>
    <row r="35" spans="1:28" ht="12.6" customHeight="1" x14ac:dyDescent="0.2">
      <c r="A35" s="18"/>
      <c r="B35" s="774" t="s">
        <v>55</v>
      </c>
      <c r="C35" s="705"/>
      <c r="D35" s="705"/>
      <c r="E35" s="705"/>
      <c r="F35" s="294">
        <v>570</v>
      </c>
      <c r="G35" s="320">
        <f t="shared" si="47"/>
        <v>570</v>
      </c>
      <c r="H35" s="775" t="s">
        <v>44</v>
      </c>
      <c r="I35" s="775"/>
      <c r="J35" s="776"/>
      <c r="K35" s="777"/>
      <c r="L35" s="285"/>
      <c r="M35" s="354"/>
      <c r="N35" s="91">
        <v>1300</v>
      </c>
      <c r="O35" s="320">
        <f t="shared" ref="O35" si="57">+N35*$X$1</f>
        <v>1300</v>
      </c>
      <c r="P35" s="287">
        <v>1195</v>
      </c>
      <c r="Q35" s="551">
        <f t="shared" ref="Q35" si="58">+P35*$X$1</f>
        <v>1195</v>
      </c>
      <c r="R35" s="103">
        <v>1097</v>
      </c>
      <c r="S35" s="313">
        <f t="shared" ref="S35" si="59">+R35*$X$1</f>
        <v>1097</v>
      </c>
      <c r="T35" s="492">
        <v>1010</v>
      </c>
      <c r="U35" s="313">
        <f t="shared" ref="U35" si="60">+T35*$X$1</f>
        <v>1010</v>
      </c>
      <c r="V35" s="492">
        <v>909</v>
      </c>
      <c r="W35" s="294">
        <f t="shared" ref="W35" si="61">+V35*$X$1</f>
        <v>909</v>
      </c>
      <c r="X35" s="716"/>
      <c r="Y35" s="772"/>
      <c r="Z35" s="772"/>
      <c r="AA35" s="773"/>
      <c r="AB35" s="421" t="s">
        <v>471</v>
      </c>
    </row>
    <row r="36" spans="1:28" ht="12.6" customHeight="1" x14ac:dyDescent="0.25">
      <c r="A36" s="18"/>
      <c r="B36" s="689" t="s">
        <v>56</v>
      </c>
      <c r="C36" s="712"/>
      <c r="D36" s="712"/>
      <c r="E36" s="712"/>
      <c r="F36" s="293">
        <v>570</v>
      </c>
      <c r="G36" s="321">
        <f t="shared" si="47"/>
        <v>570</v>
      </c>
      <c r="H36" s="778" t="s">
        <v>44</v>
      </c>
      <c r="I36" s="778"/>
      <c r="J36" s="779"/>
      <c r="K36" s="780"/>
      <c r="L36" s="286"/>
      <c r="M36" s="353"/>
      <c r="N36" s="87">
        <v>1300</v>
      </c>
      <c r="O36" s="321">
        <f t="shared" ref="O36" si="62">+N36*$X$1</f>
        <v>1300</v>
      </c>
      <c r="P36" s="330">
        <v>1195</v>
      </c>
      <c r="Q36" s="552">
        <f t="shared" ref="Q36" si="63">+P36*$X$1</f>
        <v>1195</v>
      </c>
      <c r="R36" s="104">
        <v>1097</v>
      </c>
      <c r="S36" s="260">
        <f t="shared" ref="S36" si="64">+R36*$X$1</f>
        <v>1097</v>
      </c>
      <c r="T36" s="549">
        <v>1010</v>
      </c>
      <c r="U36" s="260">
        <f t="shared" ref="U36" si="65">+T36*$X$1</f>
        <v>1010</v>
      </c>
      <c r="V36" s="549">
        <v>909</v>
      </c>
      <c r="W36" s="293">
        <f t="shared" ref="W36" si="66">+V36*$X$1</f>
        <v>909</v>
      </c>
      <c r="X36" s="716"/>
      <c r="Y36" s="772"/>
      <c r="Z36" s="772"/>
      <c r="AA36" s="773"/>
      <c r="AB36" s="421" t="s">
        <v>474</v>
      </c>
    </row>
    <row r="37" spans="1:28" ht="12.6" customHeight="1" x14ac:dyDescent="0.25">
      <c r="A37" s="18"/>
      <c r="B37" s="774" t="s">
        <v>57</v>
      </c>
      <c r="C37" s="705"/>
      <c r="D37" s="705"/>
      <c r="E37" s="705"/>
      <c r="F37" s="294">
        <v>570</v>
      </c>
      <c r="G37" s="320">
        <f t="shared" si="47"/>
        <v>570</v>
      </c>
      <c r="H37" s="775" t="s">
        <v>44</v>
      </c>
      <c r="I37" s="775"/>
      <c r="J37" s="776"/>
      <c r="K37" s="777"/>
      <c r="L37" s="285"/>
      <c r="M37" s="354"/>
      <c r="N37" s="91">
        <v>1767</v>
      </c>
      <c r="O37" s="320">
        <f t="shared" si="48"/>
        <v>1767</v>
      </c>
      <c r="P37" s="287">
        <v>1634</v>
      </c>
      <c r="Q37" s="551">
        <f t="shared" si="49"/>
        <v>1634</v>
      </c>
      <c r="R37" s="492">
        <v>1513</v>
      </c>
      <c r="S37" s="313">
        <f t="shared" si="49"/>
        <v>1513</v>
      </c>
      <c r="T37" s="492">
        <v>1415</v>
      </c>
      <c r="U37" s="313">
        <f t="shared" si="50"/>
        <v>1415</v>
      </c>
      <c r="V37" s="492">
        <v>1362</v>
      </c>
      <c r="W37" s="294">
        <f t="shared" si="51"/>
        <v>1362</v>
      </c>
      <c r="X37" s="716"/>
      <c r="Y37" s="772"/>
      <c r="Z37" s="772"/>
      <c r="AA37" s="773"/>
      <c r="AB37" s="421" t="s">
        <v>472</v>
      </c>
    </row>
    <row r="38" spans="1:28" ht="12.6" customHeight="1" x14ac:dyDescent="0.2">
      <c r="A38" s="18"/>
      <c r="B38" s="689" t="s">
        <v>475</v>
      </c>
      <c r="C38" s="712"/>
      <c r="D38" s="712"/>
      <c r="E38" s="712"/>
      <c r="F38" s="293">
        <v>570</v>
      </c>
      <c r="G38" s="321">
        <f t="shared" ref="G38" si="67">+F38*$X$1</f>
        <v>570</v>
      </c>
      <c r="H38" s="778" t="s">
        <v>44</v>
      </c>
      <c r="I38" s="778"/>
      <c r="J38" s="779"/>
      <c r="K38" s="780"/>
      <c r="L38" s="286"/>
      <c r="M38" s="353"/>
      <c r="N38" s="87">
        <v>1737</v>
      </c>
      <c r="O38" s="321">
        <f t="shared" ref="O38:O39" si="68">+N38*$X$1</f>
        <v>1737</v>
      </c>
      <c r="P38" s="330">
        <v>1606</v>
      </c>
      <c r="Q38" s="552">
        <f t="shared" si="49"/>
        <v>1606</v>
      </c>
      <c r="R38" s="549">
        <v>1488</v>
      </c>
      <c r="S38" s="260">
        <f t="shared" si="49"/>
        <v>1488</v>
      </c>
      <c r="T38" s="549">
        <v>1408</v>
      </c>
      <c r="U38" s="260">
        <f t="shared" si="50"/>
        <v>1408</v>
      </c>
      <c r="V38" s="549">
        <v>1332</v>
      </c>
      <c r="W38" s="293">
        <f t="shared" si="51"/>
        <v>1332</v>
      </c>
      <c r="X38" s="716"/>
      <c r="Y38" s="772"/>
      <c r="Z38" s="772"/>
      <c r="AA38" s="773"/>
      <c r="AB38" s="421" t="s">
        <v>477</v>
      </c>
    </row>
    <row r="39" spans="1:28" ht="12.6" customHeight="1" x14ac:dyDescent="0.2">
      <c r="A39" s="18"/>
      <c r="B39" s="774" t="s">
        <v>476</v>
      </c>
      <c r="C39" s="705"/>
      <c r="D39" s="705"/>
      <c r="E39" s="705"/>
      <c r="F39" s="294">
        <v>570</v>
      </c>
      <c r="G39" s="320">
        <f t="shared" ref="G39" si="69">+F39*$X$1</f>
        <v>570</v>
      </c>
      <c r="H39" s="775" t="s">
        <v>44</v>
      </c>
      <c r="I39" s="775"/>
      <c r="J39" s="776"/>
      <c r="K39" s="777"/>
      <c r="L39" s="285"/>
      <c r="M39" s="354"/>
      <c r="N39" s="91">
        <v>1480</v>
      </c>
      <c r="O39" s="320">
        <f t="shared" si="68"/>
        <v>1480</v>
      </c>
      <c r="P39" s="287">
        <v>1360</v>
      </c>
      <c r="Q39" s="551">
        <f t="shared" ref="Q39" si="70">+P39*$X$1</f>
        <v>1360</v>
      </c>
      <c r="R39" s="492">
        <v>1251</v>
      </c>
      <c r="S39" s="313">
        <f t="shared" ref="S39" si="71">+R39*$X$1</f>
        <v>1251</v>
      </c>
      <c r="T39" s="492">
        <v>1167</v>
      </c>
      <c r="U39" s="313">
        <f t="shared" ref="U39" si="72">+T39*$X$1</f>
        <v>1167</v>
      </c>
      <c r="V39" s="492">
        <v>1114</v>
      </c>
      <c r="W39" s="294">
        <f t="shared" ref="W39" si="73">+V39*$X$1</f>
        <v>1114</v>
      </c>
      <c r="X39" s="716"/>
      <c r="Y39" s="772"/>
      <c r="Z39" s="772"/>
      <c r="AA39" s="773"/>
      <c r="AB39" s="421" t="s">
        <v>478</v>
      </c>
    </row>
    <row r="40" spans="1:28" ht="12.6" customHeight="1" x14ac:dyDescent="0.2">
      <c r="A40" s="18"/>
      <c r="B40" s="689" t="s">
        <v>58</v>
      </c>
      <c r="C40" s="712"/>
      <c r="D40" s="712"/>
      <c r="E40" s="712"/>
      <c r="F40" s="293">
        <v>1193</v>
      </c>
      <c r="G40" s="321">
        <f t="shared" ref="G40:G48" si="74">+F40*$X$1</f>
        <v>1193</v>
      </c>
      <c r="H40" s="901" t="s">
        <v>59</v>
      </c>
      <c r="I40" s="901"/>
      <c r="J40" s="902"/>
      <c r="K40" s="903"/>
      <c r="L40" s="286"/>
      <c r="M40" s="353"/>
      <c r="N40" s="87">
        <v>2110</v>
      </c>
      <c r="O40" s="321">
        <f t="shared" si="48"/>
        <v>2110</v>
      </c>
      <c r="P40" s="330">
        <v>1957</v>
      </c>
      <c r="Q40" s="552">
        <f t="shared" si="49"/>
        <v>1957</v>
      </c>
      <c r="R40" s="549">
        <v>1808</v>
      </c>
      <c r="S40" s="260">
        <f t="shared" si="49"/>
        <v>1808</v>
      </c>
      <c r="T40" s="549">
        <v>1685</v>
      </c>
      <c r="U40" s="260">
        <f t="shared" si="50"/>
        <v>1685</v>
      </c>
      <c r="V40" s="549">
        <v>1622</v>
      </c>
      <c r="W40" s="293">
        <f t="shared" si="51"/>
        <v>1622</v>
      </c>
      <c r="X40" s="716"/>
      <c r="Y40" s="772"/>
      <c r="Z40" s="772"/>
      <c r="AA40" s="773"/>
      <c r="AB40" s="422" t="s">
        <v>60</v>
      </c>
    </row>
    <row r="41" spans="1:28" ht="12.6" customHeight="1" x14ac:dyDescent="0.2">
      <c r="A41" s="18"/>
      <c r="B41" s="774" t="s">
        <v>61</v>
      </c>
      <c r="C41" s="705"/>
      <c r="D41" s="705"/>
      <c r="E41" s="705"/>
      <c r="F41" s="294">
        <v>1193</v>
      </c>
      <c r="G41" s="320">
        <f t="shared" si="74"/>
        <v>1193</v>
      </c>
      <c r="H41" s="898" t="s">
        <v>59</v>
      </c>
      <c r="I41" s="898"/>
      <c r="J41" s="899"/>
      <c r="K41" s="900"/>
      <c r="L41" s="285"/>
      <c r="M41" s="354"/>
      <c r="N41" s="91">
        <v>2110</v>
      </c>
      <c r="O41" s="320">
        <f t="shared" ref="O41:O42" si="75">+N41*$X$1</f>
        <v>2110</v>
      </c>
      <c r="P41" s="287">
        <v>1957</v>
      </c>
      <c r="Q41" s="551">
        <f t="shared" ref="Q41:Q42" si="76">+P41*$X$1</f>
        <v>1957</v>
      </c>
      <c r="R41" s="492">
        <v>1808</v>
      </c>
      <c r="S41" s="313">
        <f t="shared" ref="S41:S42" si="77">+R41*$X$1</f>
        <v>1808</v>
      </c>
      <c r="T41" s="492">
        <v>1685</v>
      </c>
      <c r="U41" s="313">
        <f t="shared" ref="U41:U42" si="78">+T41*$X$1</f>
        <v>1685</v>
      </c>
      <c r="V41" s="492">
        <v>1622</v>
      </c>
      <c r="W41" s="294">
        <f t="shared" ref="W41:W42" si="79">+V41*$X$1</f>
        <v>1622</v>
      </c>
      <c r="X41" s="716"/>
      <c r="Y41" s="772"/>
      <c r="Z41" s="772"/>
      <c r="AA41" s="773"/>
      <c r="AB41" s="422" t="s">
        <v>62</v>
      </c>
    </row>
    <row r="42" spans="1:28" ht="12.6" customHeight="1" x14ac:dyDescent="0.2">
      <c r="A42" s="18"/>
      <c r="B42" s="689" t="s">
        <v>63</v>
      </c>
      <c r="C42" s="712"/>
      <c r="D42" s="712"/>
      <c r="E42" s="712"/>
      <c r="F42" s="293">
        <v>1193</v>
      </c>
      <c r="G42" s="321">
        <f t="shared" si="74"/>
        <v>1193</v>
      </c>
      <c r="H42" s="778" t="s">
        <v>59</v>
      </c>
      <c r="I42" s="778"/>
      <c r="J42" s="779"/>
      <c r="K42" s="780"/>
      <c r="L42" s="286"/>
      <c r="M42" s="353"/>
      <c r="N42" s="87">
        <v>2110</v>
      </c>
      <c r="O42" s="321">
        <f t="shared" si="75"/>
        <v>2110</v>
      </c>
      <c r="P42" s="330">
        <v>1957</v>
      </c>
      <c r="Q42" s="552">
        <f t="shared" si="76"/>
        <v>1957</v>
      </c>
      <c r="R42" s="549">
        <v>1808</v>
      </c>
      <c r="S42" s="260">
        <f t="shared" si="77"/>
        <v>1808</v>
      </c>
      <c r="T42" s="549">
        <v>1685</v>
      </c>
      <c r="U42" s="260">
        <f t="shared" si="78"/>
        <v>1685</v>
      </c>
      <c r="V42" s="549">
        <v>1622</v>
      </c>
      <c r="W42" s="293">
        <f t="shared" si="79"/>
        <v>1622</v>
      </c>
      <c r="X42" s="716"/>
      <c r="Y42" s="772"/>
      <c r="Z42" s="772"/>
      <c r="AA42" s="773"/>
      <c r="AB42" s="422" t="s">
        <v>64</v>
      </c>
    </row>
    <row r="43" spans="1:28" ht="12.6" customHeight="1" x14ac:dyDescent="0.2">
      <c r="A43" s="18"/>
      <c r="B43" s="774" t="s">
        <v>565</v>
      </c>
      <c r="C43" s="705"/>
      <c r="D43" s="705"/>
      <c r="E43" s="705"/>
      <c r="F43" s="294">
        <v>1287</v>
      </c>
      <c r="G43" s="320">
        <f t="shared" ref="G43" si="80">+F43*$X$1</f>
        <v>1287</v>
      </c>
      <c r="H43" s="810" t="s">
        <v>59</v>
      </c>
      <c r="I43" s="810"/>
      <c r="J43" s="811"/>
      <c r="K43" s="812"/>
      <c r="L43" s="285"/>
      <c r="M43" s="354"/>
      <c r="N43" s="91">
        <v>2232</v>
      </c>
      <c r="O43" s="320">
        <f t="shared" ref="O43" si="81">+N43*$X$1</f>
        <v>2232</v>
      </c>
      <c r="P43" s="287">
        <v>2083</v>
      </c>
      <c r="Q43" s="551">
        <f t="shared" ref="Q43" si="82">+P43*$X$1</f>
        <v>2083</v>
      </c>
      <c r="R43" s="492">
        <v>1909</v>
      </c>
      <c r="S43" s="313">
        <f t="shared" ref="S43" si="83">+R43*$X$1</f>
        <v>1909</v>
      </c>
      <c r="T43" s="492">
        <v>1794</v>
      </c>
      <c r="U43" s="313">
        <f t="shared" ref="U43" si="84">+T43*$X$1</f>
        <v>1794</v>
      </c>
      <c r="V43" s="492">
        <v>1716</v>
      </c>
      <c r="W43" s="294">
        <f t="shared" ref="W43" si="85">+V43*$X$1</f>
        <v>1716</v>
      </c>
      <c r="X43" s="716"/>
      <c r="Y43" s="772"/>
      <c r="Z43" s="772"/>
      <c r="AA43" s="773"/>
      <c r="AB43" s="423" t="s">
        <v>575</v>
      </c>
    </row>
    <row r="44" spans="1:28" ht="12.6" customHeight="1" x14ac:dyDescent="0.2">
      <c r="A44" s="18"/>
      <c r="B44" s="689" t="s">
        <v>566</v>
      </c>
      <c r="C44" s="712"/>
      <c r="D44" s="712"/>
      <c r="E44" s="712"/>
      <c r="F44" s="293">
        <v>1278</v>
      </c>
      <c r="G44" s="321">
        <f t="shared" ref="G44" si="86">+F44*$X$1</f>
        <v>1278</v>
      </c>
      <c r="H44" s="901" t="s">
        <v>59</v>
      </c>
      <c r="I44" s="901"/>
      <c r="J44" s="902"/>
      <c r="K44" s="903"/>
      <c r="L44" s="286"/>
      <c r="M44" s="353"/>
      <c r="N44" s="87">
        <v>2232</v>
      </c>
      <c r="O44" s="321">
        <f t="shared" ref="O44:O45" si="87">+N44*$X$1</f>
        <v>2232</v>
      </c>
      <c r="P44" s="330">
        <v>2083</v>
      </c>
      <c r="Q44" s="552">
        <f t="shared" ref="Q44:Q45" si="88">+P44*$X$1</f>
        <v>2083</v>
      </c>
      <c r="R44" s="549">
        <v>1909</v>
      </c>
      <c r="S44" s="260">
        <f t="shared" ref="S44:S45" si="89">+R44*$X$1</f>
        <v>1909</v>
      </c>
      <c r="T44" s="549">
        <v>1794</v>
      </c>
      <c r="U44" s="260">
        <f t="shared" ref="U44:U45" si="90">+T44*$X$1</f>
        <v>1794</v>
      </c>
      <c r="V44" s="549">
        <v>1716</v>
      </c>
      <c r="W44" s="293">
        <f t="shared" ref="W44:W45" si="91">+V44*$X$1</f>
        <v>1716</v>
      </c>
      <c r="X44" s="716"/>
      <c r="Y44" s="772"/>
      <c r="Z44" s="772"/>
      <c r="AA44" s="773"/>
      <c r="AB44" s="423" t="s">
        <v>576</v>
      </c>
    </row>
    <row r="45" spans="1:28" ht="12.6" customHeight="1" x14ac:dyDescent="0.2">
      <c r="A45" s="18"/>
      <c r="B45" s="774" t="s">
        <v>567</v>
      </c>
      <c r="C45" s="705"/>
      <c r="D45" s="705"/>
      <c r="E45" s="705"/>
      <c r="F45" s="294">
        <v>1278</v>
      </c>
      <c r="G45" s="320">
        <f t="shared" ref="G45" si="92">+F45*$X$1</f>
        <v>1278</v>
      </c>
      <c r="H45" s="810" t="s">
        <v>59</v>
      </c>
      <c r="I45" s="810"/>
      <c r="J45" s="811"/>
      <c r="K45" s="812"/>
      <c r="L45" s="285"/>
      <c r="M45" s="354"/>
      <c r="N45" s="91">
        <v>2232</v>
      </c>
      <c r="O45" s="320">
        <f t="shared" si="87"/>
        <v>2232</v>
      </c>
      <c r="P45" s="287">
        <v>2083</v>
      </c>
      <c r="Q45" s="551">
        <f t="shared" si="88"/>
        <v>2083</v>
      </c>
      <c r="R45" s="492">
        <v>1909</v>
      </c>
      <c r="S45" s="313">
        <f t="shared" si="89"/>
        <v>1909</v>
      </c>
      <c r="T45" s="492">
        <v>1794</v>
      </c>
      <c r="U45" s="313">
        <f t="shared" si="90"/>
        <v>1794</v>
      </c>
      <c r="V45" s="492">
        <v>1716</v>
      </c>
      <c r="W45" s="294">
        <f t="shared" si="91"/>
        <v>1716</v>
      </c>
      <c r="X45" s="716"/>
      <c r="Y45" s="772"/>
      <c r="Z45" s="772"/>
      <c r="AA45" s="773"/>
      <c r="AB45" s="423" t="s">
        <v>577</v>
      </c>
    </row>
    <row r="46" spans="1:28" ht="12.6" customHeight="1" x14ac:dyDescent="0.2">
      <c r="A46" s="18"/>
      <c r="B46" s="689" t="s">
        <v>65</v>
      </c>
      <c r="C46" s="712"/>
      <c r="D46" s="712"/>
      <c r="E46" s="712"/>
      <c r="F46" s="293">
        <v>1601</v>
      </c>
      <c r="G46" s="321">
        <f t="shared" si="74"/>
        <v>1601</v>
      </c>
      <c r="H46" s="778" t="s">
        <v>59</v>
      </c>
      <c r="I46" s="778"/>
      <c r="J46" s="779"/>
      <c r="K46" s="780"/>
      <c r="L46" s="286"/>
      <c r="M46" s="353"/>
      <c r="N46" s="72">
        <v>2938</v>
      </c>
      <c r="O46" s="315">
        <f t="shared" ref="O46" si="93">+N46*$X$1</f>
        <v>2938</v>
      </c>
      <c r="P46" s="330">
        <v>2718</v>
      </c>
      <c r="Q46" s="332">
        <f t="shared" si="49"/>
        <v>2718</v>
      </c>
      <c r="R46" s="549">
        <v>2517</v>
      </c>
      <c r="S46" s="293">
        <f t="shared" si="49"/>
        <v>2517</v>
      </c>
      <c r="T46" s="549">
        <v>2341</v>
      </c>
      <c r="U46" s="293">
        <f t="shared" si="50"/>
        <v>2341</v>
      </c>
      <c r="V46" s="549">
        <v>2267</v>
      </c>
      <c r="W46" s="293">
        <f t="shared" si="51"/>
        <v>2267</v>
      </c>
      <c r="X46" s="716"/>
      <c r="Y46" s="772"/>
      <c r="Z46" s="772"/>
      <c r="AA46" s="773"/>
      <c r="AB46" s="423" t="s">
        <v>66</v>
      </c>
    </row>
    <row r="47" spans="1:28" ht="12.6" customHeight="1" x14ac:dyDescent="0.2">
      <c r="A47" s="18"/>
      <c r="B47" s="774" t="s">
        <v>67</v>
      </c>
      <c r="C47" s="705"/>
      <c r="D47" s="705"/>
      <c r="E47" s="705"/>
      <c r="F47" s="294">
        <v>1601</v>
      </c>
      <c r="G47" s="320">
        <f t="shared" si="74"/>
        <v>1601</v>
      </c>
      <c r="H47" s="810" t="s">
        <v>59</v>
      </c>
      <c r="I47" s="810"/>
      <c r="J47" s="811"/>
      <c r="K47" s="812"/>
      <c r="L47" s="285"/>
      <c r="M47" s="354"/>
      <c r="N47" s="90">
        <v>2938</v>
      </c>
      <c r="O47" s="350">
        <f t="shared" ref="O47:O48" si="94">+N47*$X$1</f>
        <v>2938</v>
      </c>
      <c r="P47" s="287">
        <v>2718</v>
      </c>
      <c r="Q47" s="331">
        <f t="shared" ref="Q47:Q48" si="95">+P47*$X$1</f>
        <v>2718</v>
      </c>
      <c r="R47" s="492">
        <v>2517</v>
      </c>
      <c r="S47" s="294">
        <f t="shared" ref="S47:S48" si="96">+R47*$X$1</f>
        <v>2517</v>
      </c>
      <c r="T47" s="492">
        <v>2341</v>
      </c>
      <c r="U47" s="294">
        <f t="shared" ref="U47:U48" si="97">+T47*$X$1</f>
        <v>2341</v>
      </c>
      <c r="V47" s="492">
        <v>2267</v>
      </c>
      <c r="W47" s="294">
        <f t="shared" ref="W47:W48" si="98">+V47*$X$1</f>
        <v>2267</v>
      </c>
      <c r="X47" s="716"/>
      <c r="Y47" s="772"/>
      <c r="Z47" s="772"/>
      <c r="AA47" s="773"/>
      <c r="AB47" s="423" t="s">
        <v>68</v>
      </c>
    </row>
    <row r="48" spans="1:28" ht="12.6" customHeight="1" x14ac:dyDescent="0.2">
      <c r="A48" s="18"/>
      <c r="B48" s="689" t="s">
        <v>69</v>
      </c>
      <c r="C48" s="712"/>
      <c r="D48" s="712"/>
      <c r="E48" s="712"/>
      <c r="F48" s="293">
        <v>1601</v>
      </c>
      <c r="G48" s="349">
        <f t="shared" si="74"/>
        <v>1601</v>
      </c>
      <c r="H48" s="778" t="s">
        <v>59</v>
      </c>
      <c r="I48" s="778"/>
      <c r="J48" s="779"/>
      <c r="K48" s="783"/>
      <c r="L48" s="286"/>
      <c r="M48" s="353"/>
      <c r="N48" s="72">
        <v>2938</v>
      </c>
      <c r="O48" s="315">
        <f t="shared" si="94"/>
        <v>2938</v>
      </c>
      <c r="P48" s="330">
        <v>2718</v>
      </c>
      <c r="Q48" s="332">
        <f t="shared" si="95"/>
        <v>2718</v>
      </c>
      <c r="R48" s="549">
        <v>2517</v>
      </c>
      <c r="S48" s="293">
        <f t="shared" si="96"/>
        <v>2517</v>
      </c>
      <c r="T48" s="549">
        <v>2341</v>
      </c>
      <c r="U48" s="293">
        <f t="shared" si="97"/>
        <v>2341</v>
      </c>
      <c r="V48" s="549">
        <v>2267</v>
      </c>
      <c r="W48" s="293">
        <f t="shared" si="98"/>
        <v>2267</v>
      </c>
      <c r="X48" s="716"/>
      <c r="Y48" s="772"/>
      <c r="Z48" s="772"/>
      <c r="AA48" s="773"/>
      <c r="AB48" s="423" t="s">
        <v>70</v>
      </c>
    </row>
    <row r="49" spans="1:35" ht="12.6" customHeight="1" x14ac:dyDescent="0.2">
      <c r="A49" s="18"/>
      <c r="B49" s="774" t="s">
        <v>71</v>
      </c>
      <c r="C49" s="705"/>
      <c r="D49" s="705"/>
      <c r="E49" s="781"/>
      <c r="F49" s="796" t="s">
        <v>431</v>
      </c>
      <c r="G49" s="779"/>
      <c r="H49" s="779"/>
      <c r="I49" s="779"/>
      <c r="J49" s="265"/>
      <c r="K49" s="399"/>
      <c r="L49" s="400"/>
      <c r="M49" s="294"/>
      <c r="N49" s="402"/>
      <c r="O49" s="320"/>
      <c r="P49" s="285"/>
      <c r="Q49" s="331"/>
      <c r="R49" s="103"/>
      <c r="S49" s="313"/>
      <c r="T49" s="103"/>
      <c r="U49" s="313"/>
      <c r="V49" s="103"/>
      <c r="W49" s="294"/>
      <c r="X49" s="132"/>
      <c r="Y49" s="132"/>
      <c r="Z49" s="132"/>
      <c r="AA49" s="132"/>
      <c r="AB49" s="421" t="s">
        <v>72</v>
      </c>
    </row>
    <row r="50" spans="1:35" ht="12.6" customHeight="1" x14ac:dyDescent="0.2">
      <c r="A50" s="18"/>
      <c r="B50" s="689" t="s">
        <v>73</v>
      </c>
      <c r="C50" s="712"/>
      <c r="D50" s="712"/>
      <c r="E50" s="782"/>
      <c r="F50" s="779"/>
      <c r="G50" s="779"/>
      <c r="H50" s="779"/>
      <c r="I50" s="779"/>
      <c r="J50" s="17"/>
      <c r="K50" s="291"/>
      <c r="L50" s="266"/>
      <c r="M50" s="293"/>
      <c r="N50" s="216"/>
      <c r="O50" s="321"/>
      <c r="P50" s="291"/>
      <c r="Q50" s="332"/>
      <c r="R50" s="325"/>
      <c r="S50" s="260"/>
      <c r="T50" s="325"/>
      <c r="U50" s="260"/>
      <c r="V50" s="325"/>
      <c r="W50" s="293"/>
      <c r="X50" s="132"/>
      <c r="Y50" s="132"/>
      <c r="Z50" s="132"/>
      <c r="AA50" s="132"/>
      <c r="AB50" s="421" t="s">
        <v>74</v>
      </c>
    </row>
    <row r="51" spans="1:35" ht="12.6" customHeight="1" x14ac:dyDescent="0.2">
      <c r="A51" s="18"/>
      <c r="B51" s="774" t="s">
        <v>450</v>
      </c>
      <c r="C51" s="705"/>
      <c r="D51" s="705"/>
      <c r="E51" s="781"/>
      <c r="F51" s="779"/>
      <c r="G51" s="779"/>
      <c r="H51" s="779"/>
      <c r="I51" s="779"/>
      <c r="J51" s="265"/>
      <c r="K51" s="285"/>
      <c r="L51" s="308"/>
      <c r="M51" s="294"/>
      <c r="N51" s="309"/>
      <c r="O51" s="363"/>
      <c r="P51" s="285"/>
      <c r="Q51" s="331"/>
      <c r="R51" s="96"/>
      <c r="S51" s="358"/>
      <c r="T51" s="96"/>
      <c r="U51" s="358"/>
      <c r="V51" s="96"/>
      <c r="W51" s="294"/>
      <c r="X51" s="132"/>
      <c r="Y51" s="132"/>
      <c r="Z51" s="132"/>
      <c r="AA51" s="132"/>
      <c r="AB51" s="36">
        <v>48</v>
      </c>
      <c r="AC51" s="424" t="s">
        <v>75</v>
      </c>
      <c r="AD51" s="424" t="s">
        <v>76</v>
      </c>
      <c r="AE51" s="424" t="s">
        <v>77</v>
      </c>
    </row>
    <row r="52" spans="1:35" ht="12.6" customHeight="1" x14ac:dyDescent="0.2">
      <c r="A52" s="18"/>
      <c r="B52" s="895" t="s">
        <v>78</v>
      </c>
      <c r="C52" s="896"/>
      <c r="D52" s="896"/>
      <c r="E52" s="896"/>
      <c r="F52" s="779"/>
      <c r="G52" s="779"/>
      <c r="H52" s="779"/>
      <c r="I52" s="779"/>
      <c r="J52" s="17"/>
      <c r="K52" s="17"/>
      <c r="L52" s="266"/>
      <c r="M52" s="263"/>
      <c r="N52" s="216"/>
      <c r="O52" s="239"/>
      <c r="P52" s="117"/>
      <c r="Q52" s="268"/>
      <c r="R52" s="239"/>
      <c r="S52" s="239"/>
      <c r="T52" s="239"/>
      <c r="U52" s="239"/>
      <c r="V52" s="93"/>
      <c r="W52" s="93"/>
      <c r="X52" s="169"/>
      <c r="Y52" s="169"/>
      <c r="Z52" s="169"/>
      <c r="AA52" s="169"/>
      <c r="AB52" s="197">
        <v>54</v>
      </c>
    </row>
    <row r="53" spans="1:35" ht="12.6" customHeight="1" x14ac:dyDescent="0.2">
      <c r="A53" s="18"/>
      <c r="B53" s="774" t="s">
        <v>79</v>
      </c>
      <c r="C53" s="705"/>
      <c r="D53" s="705"/>
      <c r="E53" s="705"/>
      <c r="F53" s="294">
        <v>1044</v>
      </c>
      <c r="G53" s="313">
        <f t="shared" ref="G53:G56" si="99">+F53*$X$1</f>
        <v>1044</v>
      </c>
      <c r="H53" s="124"/>
      <c r="I53" s="294"/>
      <c r="J53" s="492">
        <f>F53+225</f>
        <v>1269</v>
      </c>
      <c r="K53" s="294">
        <f t="shared" ref="K53" si="100">+J53*$X$1</f>
        <v>1269</v>
      </c>
      <c r="L53" s="492">
        <f>F53+135</f>
        <v>1179</v>
      </c>
      <c r="M53" s="294">
        <f t="shared" ref="M53" si="101">+L53*$X$1</f>
        <v>1179</v>
      </c>
      <c r="N53" s="103">
        <f>F53+83</f>
        <v>1127</v>
      </c>
      <c r="O53" s="313">
        <f t="shared" ref="O53" si="102">+N53*$X$1</f>
        <v>1127</v>
      </c>
      <c r="P53" s="103">
        <f>F53+75</f>
        <v>1119</v>
      </c>
      <c r="Q53" s="294">
        <f t="shared" si="49"/>
        <v>1119</v>
      </c>
      <c r="R53" s="103">
        <f>F53+63</f>
        <v>1107</v>
      </c>
      <c r="S53" s="313">
        <f t="shared" ref="S53" si="103">+R53*$X$1</f>
        <v>1107</v>
      </c>
      <c r="T53" s="103">
        <f>F53+53</f>
        <v>1097</v>
      </c>
      <c r="U53" s="313">
        <f t="shared" ref="U53" si="104">+T53*$X$1</f>
        <v>1097</v>
      </c>
      <c r="V53" s="103">
        <f>F53+45</f>
        <v>1089</v>
      </c>
      <c r="W53" s="294">
        <f t="shared" ref="W53" si="105">+V53*$X$1</f>
        <v>1089</v>
      </c>
      <c r="X53" s="131"/>
      <c r="Y53" s="132"/>
      <c r="Z53" s="132"/>
      <c r="AA53" s="132"/>
      <c r="AB53" s="421">
        <v>60</v>
      </c>
    </row>
    <row r="54" spans="1:35" ht="12.6" customHeight="1" x14ac:dyDescent="0.2">
      <c r="A54" s="18"/>
      <c r="B54" s="689" t="s">
        <v>545</v>
      </c>
      <c r="C54" s="712"/>
      <c r="D54" s="712"/>
      <c r="E54" s="712"/>
      <c r="F54" s="293">
        <v>1104</v>
      </c>
      <c r="G54" s="260">
        <f t="shared" si="99"/>
        <v>1104</v>
      </c>
      <c r="H54" s="123"/>
      <c r="I54" s="293"/>
      <c r="J54" s="537">
        <f>F54+225</f>
        <v>1329</v>
      </c>
      <c r="K54" s="293">
        <f t="shared" ref="K54:K56" si="106">+J54*$X$1</f>
        <v>1329</v>
      </c>
      <c r="L54" s="537">
        <f>F54+135</f>
        <v>1239</v>
      </c>
      <c r="M54" s="293">
        <f t="shared" ref="M54:M56" si="107">+L54*$X$1</f>
        <v>1239</v>
      </c>
      <c r="N54" s="104">
        <f>F54+83</f>
        <v>1187</v>
      </c>
      <c r="O54" s="260">
        <f t="shared" ref="O54:O56" si="108">+N54*$X$1</f>
        <v>1187</v>
      </c>
      <c r="P54" s="104">
        <f>F54+75</f>
        <v>1179</v>
      </c>
      <c r="Q54" s="293">
        <f t="shared" ref="Q54:Q56" si="109">+P54*$X$1</f>
        <v>1179</v>
      </c>
      <c r="R54" s="104">
        <f>F54+63</f>
        <v>1167</v>
      </c>
      <c r="S54" s="260">
        <f t="shared" ref="S54:S56" si="110">+R54*$X$1</f>
        <v>1167</v>
      </c>
      <c r="T54" s="104">
        <f>F54+53</f>
        <v>1157</v>
      </c>
      <c r="U54" s="260">
        <f t="shared" ref="U54:U56" si="111">+T54*$X$1</f>
        <v>1157</v>
      </c>
      <c r="V54" s="104">
        <f>F54+45</f>
        <v>1149</v>
      </c>
      <c r="W54" s="293">
        <f t="shared" ref="W54:W56" si="112">+V54*$X$1</f>
        <v>1149</v>
      </c>
      <c r="X54" s="131"/>
      <c r="Y54" s="132"/>
      <c r="Z54" s="132"/>
      <c r="AA54" s="132"/>
      <c r="AB54" s="421">
        <v>61</v>
      </c>
    </row>
    <row r="55" spans="1:35" ht="12.6" customHeight="1" x14ac:dyDescent="0.2">
      <c r="A55" s="18"/>
      <c r="B55" s="805" t="s">
        <v>80</v>
      </c>
      <c r="C55" s="806"/>
      <c r="D55" s="806"/>
      <c r="E55" s="806"/>
      <c r="F55" s="296">
        <v>1102</v>
      </c>
      <c r="G55" s="358">
        <f t="shared" si="99"/>
        <v>1102</v>
      </c>
      <c r="H55" s="451"/>
      <c r="I55" s="294"/>
      <c r="J55" s="492">
        <f>F55+225</f>
        <v>1327</v>
      </c>
      <c r="K55" s="294">
        <f t="shared" si="106"/>
        <v>1327</v>
      </c>
      <c r="L55" s="492">
        <f>F55+135</f>
        <v>1237</v>
      </c>
      <c r="M55" s="294">
        <f t="shared" si="107"/>
        <v>1237</v>
      </c>
      <c r="N55" s="103">
        <f>F55+83</f>
        <v>1185</v>
      </c>
      <c r="O55" s="313">
        <f t="shared" si="108"/>
        <v>1185</v>
      </c>
      <c r="P55" s="103">
        <f>F55+75</f>
        <v>1177</v>
      </c>
      <c r="Q55" s="294">
        <f t="shared" si="109"/>
        <v>1177</v>
      </c>
      <c r="R55" s="103">
        <f>F55+63</f>
        <v>1165</v>
      </c>
      <c r="S55" s="313">
        <f t="shared" si="110"/>
        <v>1165</v>
      </c>
      <c r="T55" s="103">
        <f>F55+53</f>
        <v>1155</v>
      </c>
      <c r="U55" s="313">
        <f t="shared" si="111"/>
        <v>1155</v>
      </c>
      <c r="V55" s="103">
        <f>F55+45</f>
        <v>1147</v>
      </c>
      <c r="W55" s="294">
        <f t="shared" si="112"/>
        <v>1147</v>
      </c>
      <c r="X55" s="131"/>
      <c r="Y55" s="132"/>
      <c r="Z55" s="132"/>
      <c r="AA55" s="132"/>
      <c r="AB55" s="421">
        <v>62</v>
      </c>
    </row>
    <row r="56" spans="1:35" ht="12.6" customHeight="1" x14ac:dyDescent="0.2">
      <c r="A56" s="18"/>
      <c r="B56" s="689" t="s">
        <v>81</v>
      </c>
      <c r="C56" s="684"/>
      <c r="D56" s="684"/>
      <c r="E56" s="684"/>
      <c r="F56" s="293">
        <v>1162</v>
      </c>
      <c r="G56" s="293">
        <f t="shared" si="99"/>
        <v>1162</v>
      </c>
      <c r="H56" s="123"/>
      <c r="I56" s="293"/>
      <c r="J56" s="537">
        <f>F56+225</f>
        <v>1387</v>
      </c>
      <c r="K56" s="293">
        <f t="shared" si="106"/>
        <v>1387</v>
      </c>
      <c r="L56" s="537">
        <f>F56+135</f>
        <v>1297</v>
      </c>
      <c r="M56" s="293">
        <f t="shared" si="107"/>
        <v>1297</v>
      </c>
      <c r="N56" s="104">
        <f>F56+83</f>
        <v>1245</v>
      </c>
      <c r="O56" s="260">
        <f t="shared" si="108"/>
        <v>1245</v>
      </c>
      <c r="P56" s="104">
        <f>F56+75</f>
        <v>1237</v>
      </c>
      <c r="Q56" s="293">
        <f t="shared" si="109"/>
        <v>1237</v>
      </c>
      <c r="R56" s="104">
        <f>F56+63</f>
        <v>1225</v>
      </c>
      <c r="S56" s="260">
        <f t="shared" si="110"/>
        <v>1225</v>
      </c>
      <c r="T56" s="104">
        <f>F56+53</f>
        <v>1215</v>
      </c>
      <c r="U56" s="260">
        <f t="shared" si="111"/>
        <v>1215</v>
      </c>
      <c r="V56" s="104">
        <f>F56+45</f>
        <v>1207</v>
      </c>
      <c r="W56" s="293">
        <f t="shared" si="112"/>
        <v>1207</v>
      </c>
      <c r="X56" s="131"/>
      <c r="Y56" s="132"/>
      <c r="Z56" s="132"/>
      <c r="AA56" s="132"/>
      <c r="AB56" s="421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74" t="s">
        <v>541</v>
      </c>
      <c r="C57" s="705"/>
      <c r="D57" s="705"/>
      <c r="E57" s="705"/>
      <c r="F57" s="294">
        <v>1234</v>
      </c>
      <c r="G57" s="294">
        <f t="shared" ref="G57" si="113">+F57*$X$1</f>
        <v>1234</v>
      </c>
      <c r="H57" s="124"/>
      <c r="I57" s="294"/>
      <c r="J57" s="492">
        <f>F57+290</f>
        <v>1524</v>
      </c>
      <c r="K57" s="294">
        <f t="shared" ref="K57" si="114">+J57*$X$1</f>
        <v>1524</v>
      </c>
      <c r="L57" s="492">
        <f>F57+180</f>
        <v>1414</v>
      </c>
      <c r="M57" s="294">
        <f t="shared" ref="M57:M58" si="115">+L57*$X$1</f>
        <v>1414</v>
      </c>
      <c r="N57" s="103">
        <f>F57+140</f>
        <v>1374</v>
      </c>
      <c r="O57" s="313">
        <f t="shared" ref="O57:O58" si="116">+N57*$X$1</f>
        <v>1374</v>
      </c>
      <c r="P57" s="103">
        <f>F57+125</f>
        <v>1359</v>
      </c>
      <c r="Q57" s="294">
        <f t="shared" ref="Q57:Q58" si="117">+P57*$X$1</f>
        <v>1359</v>
      </c>
      <c r="R57" s="103">
        <f>F57+110</f>
        <v>1344</v>
      </c>
      <c r="S57" s="313">
        <f t="shared" ref="S57:S58" si="118">+R57*$X$1</f>
        <v>1344</v>
      </c>
      <c r="T57" s="103">
        <f>F57+100</f>
        <v>1334</v>
      </c>
      <c r="U57" s="313">
        <f t="shared" ref="U57:U58" si="119">+T57*$X$1</f>
        <v>1334</v>
      </c>
      <c r="V57" s="103">
        <f>F57+90</f>
        <v>1324</v>
      </c>
      <c r="W57" s="294">
        <f t="shared" ref="W57:W58" si="120">+V57*$X$1</f>
        <v>1324</v>
      </c>
      <c r="X57" s="131"/>
      <c r="Y57" s="132"/>
      <c r="Z57" s="132"/>
      <c r="AA57" s="132"/>
      <c r="AB57" s="421">
        <v>64</v>
      </c>
    </row>
    <row r="58" spans="1:35" ht="12.6" customHeight="1" x14ac:dyDescent="0.2">
      <c r="A58" s="18"/>
      <c r="B58" s="897" t="s">
        <v>902</v>
      </c>
      <c r="C58" s="809"/>
      <c r="D58" s="809"/>
      <c r="E58" s="809"/>
      <c r="F58" s="599">
        <v>310</v>
      </c>
      <c r="G58" s="599">
        <f t="shared" ref="G58:G68" si="121">+F58*$X$1</f>
        <v>310</v>
      </c>
      <c r="H58" s="601"/>
      <c r="I58" s="604"/>
      <c r="J58" s="614"/>
      <c r="K58" s="599"/>
      <c r="L58" s="602">
        <f>F58+110</f>
        <v>420</v>
      </c>
      <c r="M58" s="600">
        <f t="shared" si="115"/>
        <v>420</v>
      </c>
      <c r="N58" s="602">
        <f>F58+60</f>
        <v>370</v>
      </c>
      <c r="O58" s="600">
        <f t="shared" si="116"/>
        <v>370</v>
      </c>
      <c r="P58" s="602">
        <f>F58+50</f>
        <v>360</v>
      </c>
      <c r="Q58" s="600">
        <f t="shared" si="117"/>
        <v>360</v>
      </c>
      <c r="R58" s="602">
        <f>F58+45</f>
        <v>355</v>
      </c>
      <c r="S58" s="600">
        <f t="shared" si="118"/>
        <v>355</v>
      </c>
      <c r="T58" s="602">
        <f>F58+40</f>
        <v>350</v>
      </c>
      <c r="U58" s="600">
        <f t="shared" si="119"/>
        <v>350</v>
      </c>
      <c r="V58" s="602">
        <f>F58+34</f>
        <v>344</v>
      </c>
      <c r="W58" s="600">
        <f t="shared" si="120"/>
        <v>344</v>
      </c>
      <c r="X58" s="132"/>
      <c r="Y58" s="132"/>
      <c r="Z58" s="132"/>
      <c r="AA58" s="132"/>
      <c r="AB58" s="421">
        <v>85</v>
      </c>
    </row>
    <row r="59" spans="1:35" ht="12.6" customHeight="1" x14ac:dyDescent="0.2">
      <c r="A59" s="18"/>
      <c r="B59" s="910" t="s">
        <v>617</v>
      </c>
      <c r="C59" s="713"/>
      <c r="D59" s="713"/>
      <c r="E59" s="713"/>
      <c r="F59" s="328">
        <v>1004</v>
      </c>
      <c r="G59" s="550">
        <f t="shared" si="121"/>
        <v>1004</v>
      </c>
      <c r="H59" s="285"/>
      <c r="I59" s="354"/>
      <c r="J59" s="464"/>
      <c r="K59" s="328"/>
      <c r="L59" s="492">
        <f>F59+110</f>
        <v>1114</v>
      </c>
      <c r="M59" s="294">
        <f t="shared" ref="M59" si="122">+L59*$X$1</f>
        <v>1114</v>
      </c>
      <c r="N59" s="492">
        <f>F59+60</f>
        <v>1064</v>
      </c>
      <c r="O59" s="294">
        <f t="shared" ref="O59" si="123">+N59*$X$1</f>
        <v>1064</v>
      </c>
      <c r="P59" s="492">
        <f>F59+50</f>
        <v>1054</v>
      </c>
      <c r="Q59" s="294">
        <f t="shared" ref="Q59" si="124">+P59*$X$1</f>
        <v>1054</v>
      </c>
      <c r="R59" s="492">
        <f>F59+45</f>
        <v>1049</v>
      </c>
      <c r="S59" s="294">
        <f t="shared" ref="S59" si="125">+R59*$X$1</f>
        <v>1049</v>
      </c>
      <c r="T59" s="492">
        <f>F59+40</f>
        <v>1044</v>
      </c>
      <c r="U59" s="294">
        <f t="shared" ref="U59" si="126">+T59*$X$1</f>
        <v>1044</v>
      </c>
      <c r="V59" s="492">
        <f>F59+34</f>
        <v>1038</v>
      </c>
      <c r="W59" s="294">
        <f t="shared" ref="W59" si="127">+V59*$X$1</f>
        <v>1038</v>
      </c>
      <c r="X59" s="132"/>
      <c r="Y59" s="132"/>
      <c r="Z59" s="132"/>
      <c r="AA59" s="132"/>
      <c r="AB59" s="421" t="s">
        <v>809</v>
      </c>
    </row>
    <row r="60" spans="1:35" ht="12.6" customHeight="1" x14ac:dyDescent="0.2">
      <c r="A60" s="18"/>
      <c r="B60" s="813" t="s">
        <v>616</v>
      </c>
      <c r="C60" s="814"/>
      <c r="D60" s="814"/>
      <c r="E60" s="814"/>
      <c r="F60" s="314">
        <v>716</v>
      </c>
      <c r="G60" s="349">
        <f t="shared" ref="G60" si="128">+F60*$X$1</f>
        <v>716</v>
      </c>
      <c r="H60" s="286"/>
      <c r="I60" s="353"/>
      <c r="J60" s="463"/>
      <c r="K60" s="314"/>
      <c r="L60" s="537">
        <f>F60+110</f>
        <v>826</v>
      </c>
      <c r="M60" s="293">
        <f t="shared" ref="M60" si="129">+L60*$X$1</f>
        <v>826</v>
      </c>
      <c r="N60" s="537">
        <f>F60+60</f>
        <v>776</v>
      </c>
      <c r="O60" s="293">
        <f t="shared" ref="O60" si="130">+N60*$X$1</f>
        <v>776</v>
      </c>
      <c r="P60" s="537">
        <f>F60+50</f>
        <v>766</v>
      </c>
      <c r="Q60" s="293">
        <f t="shared" ref="Q60" si="131">+P60*$X$1</f>
        <v>766</v>
      </c>
      <c r="R60" s="537">
        <f>F60+45</f>
        <v>761</v>
      </c>
      <c r="S60" s="293">
        <f t="shared" ref="S60" si="132">+R60*$X$1</f>
        <v>761</v>
      </c>
      <c r="T60" s="537">
        <f>F60+40</f>
        <v>756</v>
      </c>
      <c r="U60" s="293">
        <f t="shared" ref="U60" si="133">+T60*$X$1</f>
        <v>756</v>
      </c>
      <c r="V60" s="537">
        <f>F60+34</f>
        <v>750</v>
      </c>
      <c r="W60" s="293">
        <f t="shared" ref="W60" si="134">+V60*$X$1</f>
        <v>750</v>
      </c>
      <c r="X60" s="132"/>
      <c r="Y60" s="132"/>
      <c r="Z60" s="132"/>
      <c r="AA60" s="132"/>
      <c r="AB60" s="421" t="s">
        <v>810</v>
      </c>
    </row>
    <row r="61" spans="1:35" ht="12.6" customHeight="1" x14ac:dyDescent="0.2">
      <c r="A61" s="18"/>
      <c r="B61" s="893" t="s">
        <v>793</v>
      </c>
      <c r="C61" s="894"/>
      <c r="D61" s="894"/>
      <c r="E61" s="894"/>
      <c r="F61" s="328">
        <v>695</v>
      </c>
      <c r="G61" s="550">
        <f t="shared" ref="G61:G62" si="135">+F61*$X$1</f>
        <v>695</v>
      </c>
      <c r="H61" s="285"/>
      <c r="I61" s="354"/>
      <c r="J61" s="464"/>
      <c r="K61" s="328"/>
      <c r="L61" s="492">
        <f>F61+110</f>
        <v>805</v>
      </c>
      <c r="M61" s="294">
        <f t="shared" ref="M61" si="136">+L61*$X$1</f>
        <v>805</v>
      </c>
      <c r="N61" s="492">
        <f>F61+60</f>
        <v>755</v>
      </c>
      <c r="O61" s="294">
        <f t="shared" ref="O61" si="137">+N61*$X$1</f>
        <v>755</v>
      </c>
      <c r="P61" s="492">
        <f>F61+50</f>
        <v>745</v>
      </c>
      <c r="Q61" s="294">
        <f t="shared" ref="Q61" si="138">+P61*$X$1</f>
        <v>745</v>
      </c>
      <c r="R61" s="492">
        <f>F61+45</f>
        <v>740</v>
      </c>
      <c r="S61" s="294">
        <f t="shared" ref="S61" si="139">+R61*$X$1</f>
        <v>740</v>
      </c>
      <c r="T61" s="492">
        <f>F61+40</f>
        <v>735</v>
      </c>
      <c r="U61" s="294">
        <f t="shared" ref="U61" si="140">+T61*$X$1</f>
        <v>735</v>
      </c>
      <c r="V61" s="492">
        <f>F61+34</f>
        <v>729</v>
      </c>
      <c r="W61" s="294">
        <f t="shared" ref="W61" si="141">+V61*$X$1</f>
        <v>729</v>
      </c>
      <c r="X61" s="132"/>
      <c r="Y61" s="132"/>
      <c r="Z61" s="132"/>
      <c r="AA61" s="132"/>
      <c r="AB61" s="421" t="s">
        <v>808</v>
      </c>
    </row>
    <row r="62" spans="1:35" ht="12.6" customHeight="1" x14ac:dyDescent="0.2">
      <c r="A62" s="18"/>
      <c r="B62" s="813" t="s">
        <v>806</v>
      </c>
      <c r="C62" s="814"/>
      <c r="D62" s="814"/>
      <c r="E62" s="814"/>
      <c r="F62" s="392">
        <f>2.55*X2</f>
        <v>2644.35</v>
      </c>
      <c r="G62" s="293">
        <f t="shared" si="135"/>
        <v>2644.35</v>
      </c>
      <c r="H62" s="72"/>
      <c r="I62" s="293"/>
      <c r="J62" s="72">
        <f>F62+150</f>
        <v>2794.35</v>
      </c>
      <c r="K62" s="293">
        <f t="shared" ref="K62" si="142">+J62*$X$1</f>
        <v>2794.35</v>
      </c>
      <c r="L62" s="537">
        <f>F62+90</f>
        <v>2734.35</v>
      </c>
      <c r="M62" s="293">
        <f t="shared" ref="M62" si="143">+L62*$X$1</f>
        <v>2734.35</v>
      </c>
      <c r="N62" s="537">
        <f>F62+55</f>
        <v>2699.35</v>
      </c>
      <c r="O62" s="293">
        <f t="shared" ref="O62" si="144">+N62*$X$1</f>
        <v>2699.35</v>
      </c>
      <c r="P62" s="537">
        <f>F62+50</f>
        <v>2694.35</v>
      </c>
      <c r="Q62" s="293">
        <f t="shared" ref="Q62" si="145">+P62*$X$1</f>
        <v>2694.35</v>
      </c>
      <c r="R62" s="537">
        <f>F62+42</f>
        <v>2686.35</v>
      </c>
      <c r="S62" s="293">
        <f t="shared" ref="S62" si="146">+R62*$X$1</f>
        <v>2686.35</v>
      </c>
      <c r="T62" s="537">
        <f>F62+35</f>
        <v>2679.35</v>
      </c>
      <c r="U62" s="293">
        <f t="shared" ref="U62" si="147">+T62*$X$1</f>
        <v>2679.35</v>
      </c>
      <c r="V62" s="537">
        <f>F62+30</f>
        <v>2674.35</v>
      </c>
      <c r="W62" s="293">
        <f t="shared" ref="W62" si="148">+V62*$X$1</f>
        <v>2674.35</v>
      </c>
      <c r="X62" s="132"/>
      <c r="Y62" s="132"/>
      <c r="Z62" s="132"/>
      <c r="AA62" s="132"/>
      <c r="AB62" s="421" t="s">
        <v>807</v>
      </c>
    </row>
    <row r="63" spans="1:35" ht="12.6" customHeight="1" x14ac:dyDescent="0.2">
      <c r="A63" s="18"/>
      <c r="B63" s="736" t="s">
        <v>424</v>
      </c>
      <c r="C63" s="737"/>
      <c r="D63" s="737"/>
      <c r="E63" s="738"/>
      <c r="F63" s="328">
        <v>970</v>
      </c>
      <c r="G63" s="550">
        <f t="shared" si="121"/>
        <v>970</v>
      </c>
      <c r="H63" s="285"/>
      <c r="I63" s="354"/>
      <c r="J63" s="90">
        <f>F63+150</f>
        <v>1120</v>
      </c>
      <c r="K63" s="294">
        <f t="shared" ref="K63" si="149">+J63*$X$1</f>
        <v>1120</v>
      </c>
      <c r="L63" s="492">
        <f>F63+110</f>
        <v>1080</v>
      </c>
      <c r="M63" s="294">
        <f t="shared" ref="M63" si="150">+L63*$X$1</f>
        <v>1080</v>
      </c>
      <c r="N63" s="492">
        <f>F63+80</f>
        <v>1050</v>
      </c>
      <c r="O63" s="294">
        <f t="shared" ref="O63:O65" si="151">+N63*$X$1</f>
        <v>1050</v>
      </c>
      <c r="P63" s="492">
        <f>F63+60</f>
        <v>1030</v>
      </c>
      <c r="Q63" s="294">
        <f t="shared" ref="Q63:Q65" si="152">+P63*$X$1</f>
        <v>1030</v>
      </c>
      <c r="R63" s="492">
        <f>F63+50</f>
        <v>1020</v>
      </c>
      <c r="S63" s="294">
        <f t="shared" ref="S63:S65" si="153">+R63*$X$1</f>
        <v>1020</v>
      </c>
      <c r="T63" s="492">
        <f>F63+43</f>
        <v>1013</v>
      </c>
      <c r="U63" s="294">
        <f t="shared" ref="U63:U65" si="154">+T63*$X$1</f>
        <v>1013</v>
      </c>
      <c r="V63" s="492">
        <f>F63+39</f>
        <v>1009</v>
      </c>
      <c r="W63" s="294">
        <f t="shared" ref="W63:W65" si="155">+V63*$X$1</f>
        <v>1009</v>
      </c>
      <c r="X63" s="132"/>
      <c r="Y63" s="132"/>
      <c r="Z63" s="132"/>
      <c r="AA63" s="132"/>
      <c r="AB63" s="421">
        <v>89</v>
      </c>
    </row>
    <row r="64" spans="1:35" ht="12.6" customHeight="1" x14ac:dyDescent="0.2">
      <c r="A64" s="18"/>
      <c r="B64" s="689" t="s">
        <v>520</v>
      </c>
      <c r="C64" s="712"/>
      <c r="D64" s="712"/>
      <c r="E64" s="712"/>
      <c r="F64" s="293">
        <v>484</v>
      </c>
      <c r="G64" s="349">
        <f t="shared" si="121"/>
        <v>484</v>
      </c>
      <c r="H64" s="286"/>
      <c r="I64" s="353"/>
      <c r="J64" s="72"/>
      <c r="K64" s="260"/>
      <c r="L64" s="537"/>
      <c r="M64" s="260"/>
      <c r="N64" s="537">
        <f>F64+55</f>
        <v>539</v>
      </c>
      <c r="O64" s="293">
        <f t="shared" si="151"/>
        <v>539</v>
      </c>
      <c r="P64" s="537">
        <f>F64+50</f>
        <v>534</v>
      </c>
      <c r="Q64" s="293">
        <f t="shared" si="152"/>
        <v>534</v>
      </c>
      <c r="R64" s="537">
        <f>F64+42</f>
        <v>526</v>
      </c>
      <c r="S64" s="293">
        <f t="shared" si="153"/>
        <v>526</v>
      </c>
      <c r="T64" s="537">
        <f>F64+35</f>
        <v>519</v>
      </c>
      <c r="U64" s="293">
        <f t="shared" si="154"/>
        <v>519</v>
      </c>
      <c r="V64" s="537">
        <f>F64+30</f>
        <v>514</v>
      </c>
      <c r="W64" s="293">
        <f t="shared" si="155"/>
        <v>514</v>
      </c>
      <c r="X64" s="148"/>
      <c r="Y64" s="148"/>
      <c r="Z64" s="148" t="s">
        <v>82</v>
      </c>
      <c r="AA64" s="132"/>
      <c r="AB64" s="421">
        <v>91</v>
      </c>
    </row>
    <row r="65" spans="1:38" ht="12.6" customHeight="1" x14ac:dyDescent="0.2">
      <c r="A65" s="18"/>
      <c r="B65" s="791" t="s">
        <v>83</v>
      </c>
      <c r="C65" s="792"/>
      <c r="D65" s="792"/>
      <c r="E65" s="793"/>
      <c r="F65" s="294">
        <v>245</v>
      </c>
      <c r="G65" s="320">
        <f t="shared" si="121"/>
        <v>245</v>
      </c>
      <c r="H65" s="285"/>
      <c r="I65" s="354"/>
      <c r="J65" s="90"/>
      <c r="K65" s="313"/>
      <c r="L65" s="492"/>
      <c r="M65" s="313"/>
      <c r="N65" s="492">
        <f>F65+55</f>
        <v>300</v>
      </c>
      <c r="O65" s="294">
        <f t="shared" si="151"/>
        <v>300</v>
      </c>
      <c r="P65" s="492">
        <f>F65+50</f>
        <v>295</v>
      </c>
      <c r="Q65" s="294">
        <f t="shared" si="152"/>
        <v>295</v>
      </c>
      <c r="R65" s="492">
        <f>F65+42</f>
        <v>287</v>
      </c>
      <c r="S65" s="294">
        <f t="shared" si="153"/>
        <v>287</v>
      </c>
      <c r="T65" s="492">
        <f>F65+35</f>
        <v>280</v>
      </c>
      <c r="U65" s="294">
        <f t="shared" si="154"/>
        <v>280</v>
      </c>
      <c r="V65" s="492">
        <f>F65+30</f>
        <v>275</v>
      </c>
      <c r="W65" s="294">
        <f t="shared" si="155"/>
        <v>275</v>
      </c>
      <c r="X65" s="148"/>
      <c r="Y65" s="148"/>
      <c r="Z65" s="148"/>
      <c r="AA65" s="132"/>
      <c r="AB65" s="421" t="s">
        <v>84</v>
      </c>
    </row>
    <row r="66" spans="1:38" ht="12.6" customHeight="1" x14ac:dyDescent="0.2">
      <c r="A66" s="18"/>
      <c r="B66" s="895" t="s">
        <v>356</v>
      </c>
      <c r="C66" s="896"/>
      <c r="D66" s="896"/>
      <c r="E66" s="919"/>
      <c r="F66" s="293"/>
      <c r="G66" s="321"/>
      <c r="H66" s="286"/>
      <c r="I66" s="286"/>
      <c r="J66" s="72"/>
      <c r="K66" s="97"/>
      <c r="L66" s="537"/>
      <c r="M66" s="260"/>
      <c r="N66" s="104"/>
      <c r="O66" s="260"/>
      <c r="P66" s="104"/>
      <c r="Q66" s="293"/>
      <c r="R66" s="104"/>
      <c r="S66" s="260"/>
      <c r="T66" s="104"/>
      <c r="U66" s="260"/>
      <c r="V66" s="104"/>
      <c r="W66" s="293"/>
      <c r="X66" s="148"/>
      <c r="Y66" s="148"/>
      <c r="Z66" s="148"/>
      <c r="AA66" s="132"/>
      <c r="AB66" s="35"/>
    </row>
    <row r="67" spans="1:38" ht="12.6" customHeight="1" x14ac:dyDescent="0.2">
      <c r="A67" s="18"/>
      <c r="B67" s="791" t="s">
        <v>357</v>
      </c>
      <c r="C67" s="792"/>
      <c r="D67" s="792"/>
      <c r="E67" s="793"/>
      <c r="F67" s="294"/>
      <c r="G67" s="320"/>
      <c r="H67" s="285"/>
      <c r="I67" s="285"/>
      <c r="J67" s="90"/>
      <c r="K67" s="95"/>
      <c r="L67" s="492"/>
      <c r="M67" s="313"/>
      <c r="N67" s="103"/>
      <c r="O67" s="313"/>
      <c r="P67" s="103"/>
      <c r="Q67" s="294"/>
      <c r="R67" s="103"/>
      <c r="S67" s="313"/>
      <c r="T67" s="103"/>
      <c r="U67" s="313"/>
      <c r="V67" s="103"/>
      <c r="W67" s="294"/>
      <c r="X67" s="148"/>
      <c r="Y67" s="148"/>
      <c r="Z67" s="148"/>
      <c r="AA67" s="132"/>
      <c r="AB67" s="35"/>
    </row>
    <row r="68" spans="1:38" ht="12.6" customHeight="1" x14ac:dyDescent="0.2">
      <c r="A68" s="18"/>
      <c r="B68" s="689" t="s">
        <v>85</v>
      </c>
      <c r="C68" s="712"/>
      <c r="D68" s="712"/>
      <c r="E68" s="712"/>
      <c r="F68" s="293">
        <v>5318</v>
      </c>
      <c r="G68" s="321">
        <f t="shared" si="121"/>
        <v>5318</v>
      </c>
      <c r="H68" s="72">
        <f>F68+400</f>
        <v>5718</v>
      </c>
      <c r="I68" s="293">
        <f>+H68*$X$1</f>
        <v>5718</v>
      </c>
      <c r="J68" s="72">
        <f>F68+150</f>
        <v>5468</v>
      </c>
      <c r="K68" s="293">
        <f t="shared" ref="K68" si="156">+J68*$X$1</f>
        <v>5468</v>
      </c>
      <c r="L68" s="537">
        <f>F68+90</f>
        <v>5408</v>
      </c>
      <c r="M68" s="293">
        <f t="shared" ref="M68" si="157">+L68*$X$1</f>
        <v>5408</v>
      </c>
      <c r="N68" s="537">
        <f>F68+55</f>
        <v>5373</v>
      </c>
      <c r="O68" s="293">
        <f t="shared" ref="O68" si="158">+N68*$X$1</f>
        <v>5373</v>
      </c>
      <c r="P68" s="537">
        <f>F68+50</f>
        <v>5368</v>
      </c>
      <c r="Q68" s="293">
        <f t="shared" ref="Q68" si="159">+P68*$X$1</f>
        <v>5368</v>
      </c>
      <c r="R68" s="537">
        <f>F68+42</f>
        <v>5360</v>
      </c>
      <c r="S68" s="293">
        <f t="shared" ref="S68" si="160">+R68*$X$1</f>
        <v>5360</v>
      </c>
      <c r="T68" s="537">
        <f>F68+35</f>
        <v>5353</v>
      </c>
      <c r="U68" s="293">
        <f t="shared" ref="U68" si="161">+T68*$X$1</f>
        <v>5353</v>
      </c>
      <c r="V68" s="537">
        <f>F68+30</f>
        <v>5348</v>
      </c>
      <c r="W68" s="293">
        <f t="shared" ref="W68" si="162">+V68*$X$1</f>
        <v>5348</v>
      </c>
      <c r="X68" s="135"/>
      <c r="Y68" s="132"/>
      <c r="Z68" s="132"/>
      <c r="AA68" s="132"/>
      <c r="AB68" s="421">
        <v>92</v>
      </c>
    </row>
    <row r="69" spans="1:38" ht="12.6" customHeight="1" x14ac:dyDescent="0.25">
      <c r="A69" s="58"/>
      <c r="B69" s="774" t="s">
        <v>488</v>
      </c>
      <c r="C69" s="751"/>
      <c r="D69" s="751"/>
      <c r="E69" s="751"/>
      <c r="F69" s="294"/>
      <c r="G69" s="313"/>
      <c r="H69" s="252"/>
      <c r="I69" s="911" t="s">
        <v>496</v>
      </c>
      <c r="J69" s="912"/>
      <c r="K69" s="912"/>
      <c r="L69" s="913"/>
      <c r="M69" s="914"/>
      <c r="N69" s="492">
        <v>850</v>
      </c>
      <c r="O69" s="320">
        <f>+N69*$X$1</f>
        <v>850</v>
      </c>
      <c r="P69" s="287">
        <v>847</v>
      </c>
      <c r="Q69" s="350">
        <f>+P69*$X$1</f>
        <v>847</v>
      </c>
      <c r="R69" s="492">
        <v>795</v>
      </c>
      <c r="S69" s="313">
        <f>+R69*$X$1</f>
        <v>795</v>
      </c>
      <c r="T69" s="492">
        <v>755</v>
      </c>
      <c r="U69" s="294">
        <f>+T69*$X$1</f>
        <v>755</v>
      </c>
      <c r="V69" s="492">
        <v>692</v>
      </c>
      <c r="W69" s="294">
        <f>+V69*$X$1</f>
        <v>692</v>
      </c>
      <c r="X69" s="787"/>
      <c r="Y69" s="787"/>
      <c r="Z69" s="787"/>
      <c r="AA69" s="787"/>
      <c r="AB69" s="197" t="s">
        <v>489</v>
      </c>
    </row>
    <row r="70" spans="1:38" ht="12.6" customHeight="1" x14ac:dyDescent="0.25">
      <c r="A70" s="58"/>
      <c r="B70" s="689" t="s">
        <v>346</v>
      </c>
      <c r="C70" s="684"/>
      <c r="D70" s="684"/>
      <c r="E70" s="684"/>
      <c r="F70" s="293"/>
      <c r="G70" s="260"/>
      <c r="H70" s="107"/>
      <c r="I70" s="915" t="s">
        <v>496</v>
      </c>
      <c r="J70" s="916"/>
      <c r="K70" s="916"/>
      <c r="L70" s="917"/>
      <c r="M70" s="918"/>
      <c r="N70" s="593">
        <v>912</v>
      </c>
      <c r="O70" s="321">
        <f>+N70*$X$1</f>
        <v>912</v>
      </c>
      <c r="P70" s="304">
        <v>909</v>
      </c>
      <c r="Q70" s="315">
        <f>+P70*$X$1</f>
        <v>909</v>
      </c>
      <c r="R70" s="593">
        <v>853</v>
      </c>
      <c r="S70" s="260">
        <f>+R70*$X$1</f>
        <v>853</v>
      </c>
      <c r="T70" s="593">
        <v>827</v>
      </c>
      <c r="U70" s="293">
        <f>+T70*$X$1</f>
        <v>827</v>
      </c>
      <c r="V70" s="593">
        <v>750</v>
      </c>
      <c r="W70" s="293">
        <f>+V70*$X$1</f>
        <v>750</v>
      </c>
      <c r="X70" s="787"/>
      <c r="Y70" s="787"/>
      <c r="Z70" s="787"/>
      <c r="AA70" s="787"/>
      <c r="AB70" s="197" t="s">
        <v>86</v>
      </c>
    </row>
    <row r="71" spans="1:38" ht="12.6" customHeight="1" x14ac:dyDescent="0.25">
      <c r="A71" s="58"/>
      <c r="B71" s="774" t="s">
        <v>490</v>
      </c>
      <c r="C71" s="751"/>
      <c r="D71" s="751"/>
      <c r="E71" s="751"/>
      <c r="F71" s="294"/>
      <c r="G71" s="313"/>
      <c r="H71" s="252"/>
      <c r="I71" s="911" t="s">
        <v>496</v>
      </c>
      <c r="J71" s="912"/>
      <c r="K71" s="912"/>
      <c r="L71" s="913"/>
      <c r="M71" s="914"/>
      <c r="N71" s="492">
        <v>1270</v>
      </c>
      <c r="O71" s="320">
        <f>+N71*$X$1</f>
        <v>1270</v>
      </c>
      <c r="P71" s="303">
        <v>1265</v>
      </c>
      <c r="Q71" s="350">
        <f>+P71*$X$1</f>
        <v>1265</v>
      </c>
      <c r="R71" s="492">
        <v>1207</v>
      </c>
      <c r="S71" s="313">
        <f>+R71*$X$1</f>
        <v>1207</v>
      </c>
      <c r="T71" s="492">
        <v>1180</v>
      </c>
      <c r="U71" s="294">
        <f>+T71*$X$1</f>
        <v>1180</v>
      </c>
      <c r="V71" s="492">
        <v>1103</v>
      </c>
      <c r="W71" s="294">
        <f>+V71*$X$1</f>
        <v>1103</v>
      </c>
      <c r="X71" s="787"/>
      <c r="Y71" s="787"/>
      <c r="Z71" s="787"/>
      <c r="AA71" s="787"/>
      <c r="AB71" s="197" t="s">
        <v>491</v>
      </c>
    </row>
    <row r="72" spans="1:38" ht="12.6" customHeight="1" x14ac:dyDescent="0.25">
      <c r="A72" s="18"/>
      <c r="B72" s="689" t="s">
        <v>347</v>
      </c>
      <c r="C72" s="684"/>
      <c r="D72" s="684"/>
      <c r="E72" s="684"/>
      <c r="F72" s="293"/>
      <c r="G72" s="260"/>
      <c r="H72" s="107"/>
      <c r="I72" s="803"/>
      <c r="J72" s="804"/>
      <c r="K72" s="804"/>
      <c r="L72" s="286"/>
      <c r="M72" s="353"/>
      <c r="N72" s="593"/>
      <c r="O72" s="321"/>
      <c r="P72" s="593"/>
      <c r="Q72" s="293"/>
      <c r="R72" s="593"/>
      <c r="S72" s="260"/>
      <c r="T72" s="593"/>
      <c r="U72" s="293"/>
      <c r="V72" s="113"/>
      <c r="W72" s="293"/>
      <c r="X72" s="787"/>
      <c r="Y72" s="787"/>
      <c r="Z72" s="787"/>
      <c r="AA72" s="787"/>
      <c r="AB72" s="197" t="s">
        <v>87</v>
      </c>
      <c r="AH72" s="4"/>
      <c r="AI72" s="4"/>
      <c r="AJ72" s="4"/>
    </row>
    <row r="73" spans="1:38" s="6" customFormat="1" ht="12.6" customHeight="1" x14ac:dyDescent="0.25">
      <c r="A73" s="58"/>
      <c r="B73" s="909" t="s">
        <v>412</v>
      </c>
      <c r="C73" s="698"/>
      <c r="D73" s="698"/>
      <c r="E73" s="699"/>
      <c r="F73" s="294"/>
      <c r="G73" s="313"/>
      <c r="H73" s="492"/>
      <c r="I73" s="320"/>
      <c r="J73" s="299"/>
      <c r="K73" s="371"/>
      <c r="L73" s="496">
        <v>2410</v>
      </c>
      <c r="M73" s="294">
        <f>+L73*$X$1</f>
        <v>2410</v>
      </c>
      <c r="N73" s="492">
        <v>2140</v>
      </c>
      <c r="O73" s="320">
        <f>+N73*$X$1</f>
        <v>2140</v>
      </c>
      <c r="P73" s="404">
        <v>1961</v>
      </c>
      <c r="Q73" s="350">
        <f>+P73*$X$1</f>
        <v>1961</v>
      </c>
      <c r="R73" s="492">
        <v>1958</v>
      </c>
      <c r="S73" s="313">
        <f>+R73*$X$1</f>
        <v>1958</v>
      </c>
      <c r="T73" s="492">
        <v>1890</v>
      </c>
      <c r="U73" s="294">
        <f>+T73*$X$1</f>
        <v>1890</v>
      </c>
      <c r="V73" s="591"/>
      <c r="W73" s="369"/>
      <c r="X73" s="250"/>
      <c r="Y73" s="251"/>
      <c r="Z73" s="251"/>
      <c r="AA73" s="251"/>
      <c r="AB73" s="197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784" t="s">
        <v>413</v>
      </c>
      <c r="C74" s="785"/>
      <c r="D74" s="785"/>
      <c r="E74" s="786"/>
      <c r="F74" s="293"/>
      <c r="G74" s="493"/>
      <c r="H74" s="325"/>
      <c r="I74" s="494"/>
      <c r="J74" s="326"/>
      <c r="K74" s="370"/>
      <c r="L74" s="495">
        <v>3250</v>
      </c>
      <c r="M74" s="293">
        <f>+L74*$X$1</f>
        <v>3250</v>
      </c>
      <c r="N74" s="593">
        <v>2996</v>
      </c>
      <c r="O74" s="494">
        <f>+N74*$X$1</f>
        <v>2996</v>
      </c>
      <c r="P74" s="403">
        <v>2913</v>
      </c>
      <c r="Q74" s="315">
        <f>+P74*$X$1</f>
        <v>2913</v>
      </c>
      <c r="R74" s="593">
        <v>2909</v>
      </c>
      <c r="S74" s="493">
        <f>+R74*$X$1</f>
        <v>2909</v>
      </c>
      <c r="T74" s="593">
        <v>2713</v>
      </c>
      <c r="U74" s="293">
        <f>+T74*$X$1</f>
        <v>2713</v>
      </c>
      <c r="V74" s="592"/>
      <c r="W74" s="368"/>
      <c r="X74" s="789"/>
      <c r="Y74" s="790"/>
      <c r="Z74" s="790"/>
      <c r="AA74" s="790"/>
      <c r="AB74" s="197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09"/>
      <c r="C75" s="68"/>
      <c r="D75" s="68"/>
      <c r="E75" s="68"/>
      <c r="F75" s="188"/>
      <c r="G75" s="188"/>
      <c r="H75" s="188"/>
      <c r="I75" s="188"/>
      <c r="J75" s="188"/>
      <c r="K75" s="188"/>
      <c r="L75" s="110"/>
      <c r="M75" s="110"/>
      <c r="N75" s="111"/>
      <c r="O75" s="111"/>
      <c r="P75" s="111"/>
      <c r="Q75" s="112"/>
      <c r="R75" s="89"/>
      <c r="S75" s="64"/>
      <c r="T75" s="64"/>
      <c r="U75" s="64"/>
      <c r="V75" s="64"/>
      <c r="W75" s="64"/>
      <c r="X75" s="77"/>
      <c r="AB75" s="108"/>
    </row>
    <row r="76" spans="1:38" ht="12.6" customHeight="1" x14ac:dyDescent="0.2">
      <c r="A76" s="98"/>
      <c r="B76" s="109"/>
      <c r="C76" s="324"/>
      <c r="D76" s="324"/>
      <c r="E76" s="324"/>
      <c r="F76" s="240"/>
      <c r="G76" s="240"/>
      <c r="H76" s="240"/>
      <c r="I76" s="240"/>
      <c r="J76" s="240"/>
      <c r="K76" s="240"/>
      <c r="L76" s="110"/>
      <c r="M76" s="110"/>
      <c r="N76" s="111"/>
      <c r="O76" s="111"/>
      <c r="P76" s="111"/>
      <c r="Q76" s="112"/>
      <c r="R76" s="89"/>
      <c r="S76" s="64"/>
      <c r="T76" s="64"/>
      <c r="U76" s="64"/>
      <c r="V76" s="64"/>
      <c r="W76" s="64"/>
      <c r="X76" s="77"/>
      <c r="AB76" s="108"/>
    </row>
    <row r="77" spans="1:38" ht="12.6" customHeight="1" x14ac:dyDescent="0.2">
      <c r="A77" s="98"/>
      <c r="B77" s="109"/>
      <c r="C77" s="241"/>
      <c r="D77" s="241"/>
      <c r="E77" s="241"/>
      <c r="F77" s="240"/>
      <c r="G77" s="240"/>
      <c r="H77" s="240"/>
      <c r="I77" s="240"/>
      <c r="J77" s="240"/>
      <c r="K77" s="240"/>
      <c r="L77" s="110"/>
      <c r="M77" s="110"/>
      <c r="N77" s="111"/>
      <c r="O77" s="111"/>
      <c r="P77" s="111"/>
      <c r="Q77" s="112"/>
      <c r="R77" s="89"/>
      <c r="S77" s="64"/>
      <c r="T77" s="64"/>
      <c r="U77" s="64"/>
      <c r="V77" s="64"/>
      <c r="W77" s="64"/>
      <c r="X77" s="77"/>
      <c r="AB77" s="108"/>
    </row>
    <row r="78" spans="1:38" ht="15.75" customHeight="1" x14ac:dyDescent="0.2">
      <c r="A78" s="18"/>
      <c r="B78" s="718" t="s">
        <v>11</v>
      </c>
      <c r="C78" s="815" t="s">
        <v>12</v>
      </c>
      <c r="D78" s="816"/>
      <c r="E78" s="816"/>
      <c r="F78" s="671" t="s">
        <v>13</v>
      </c>
      <c r="G78" s="671" t="s">
        <v>13</v>
      </c>
      <c r="H78" s="673" t="s">
        <v>836</v>
      </c>
      <c r="I78" s="673"/>
      <c r="J78" s="674"/>
      <c r="K78" s="674"/>
      <c r="L78" s="674"/>
      <c r="M78" s="674"/>
      <c r="N78" s="674"/>
      <c r="O78" s="674"/>
      <c r="P78" s="674"/>
      <c r="Q78" s="674"/>
      <c r="R78" s="674"/>
      <c r="S78" s="674"/>
      <c r="T78" s="674"/>
      <c r="U78" s="674"/>
      <c r="V78" s="674"/>
      <c r="W78" s="674"/>
      <c r="X78" s="657" t="s">
        <v>14</v>
      </c>
      <c r="Y78" s="658"/>
      <c r="Z78" s="658"/>
      <c r="AA78" s="659"/>
      <c r="AB78" s="663" t="s">
        <v>15</v>
      </c>
      <c r="AF78" s="645" t="s">
        <v>3</v>
      </c>
      <c r="AG78" s="646"/>
      <c r="AH78" s="646"/>
    </row>
    <row r="79" spans="1:38" ht="12" customHeight="1" x14ac:dyDescent="0.2">
      <c r="A79" s="18"/>
      <c r="B79" s="718"/>
      <c r="C79" s="816"/>
      <c r="D79" s="816"/>
      <c r="E79" s="816"/>
      <c r="F79" s="672"/>
      <c r="G79" s="672"/>
      <c r="H79" s="511"/>
      <c r="I79" s="509" t="s">
        <v>293</v>
      </c>
      <c r="J79" s="511"/>
      <c r="K79" s="509" t="s">
        <v>17</v>
      </c>
      <c r="L79" s="512"/>
      <c r="M79" s="512" t="s">
        <v>18</v>
      </c>
      <c r="N79" s="512"/>
      <c r="O79" s="509" t="s">
        <v>19</v>
      </c>
      <c r="P79" s="512"/>
      <c r="Q79" s="512" t="s">
        <v>295</v>
      </c>
      <c r="R79" s="512"/>
      <c r="S79" s="512" t="s">
        <v>20</v>
      </c>
      <c r="T79" s="512"/>
      <c r="U79" s="512" t="s">
        <v>21</v>
      </c>
      <c r="V79" s="512"/>
      <c r="W79" s="512" t="s">
        <v>22</v>
      </c>
      <c r="X79" s="660"/>
      <c r="Y79" s="661"/>
      <c r="Z79" s="661"/>
      <c r="AA79" s="662"/>
      <c r="AB79" s="664"/>
    </row>
    <row r="80" spans="1:38" ht="12.6" customHeight="1" x14ac:dyDescent="0.2">
      <c r="A80" s="18"/>
      <c r="B80" s="937" t="s">
        <v>90</v>
      </c>
      <c r="C80" s="814"/>
      <c r="D80" s="814"/>
      <c r="E80" s="938"/>
      <c r="F80" s="904" t="s">
        <v>694</v>
      </c>
      <c r="G80" s="905"/>
      <c r="H80" s="905"/>
      <c r="I80" s="905"/>
      <c r="J80" s="532"/>
      <c r="K80" s="518"/>
      <c r="L80" s="533"/>
      <c r="M80" s="314"/>
      <c r="N80" s="104"/>
      <c r="O80" s="349"/>
      <c r="P80" s="534"/>
      <c r="Q80" s="349"/>
      <c r="R80" s="104"/>
      <c r="S80" s="314"/>
      <c r="T80" s="104"/>
      <c r="U80" s="314"/>
      <c r="V80" s="104"/>
      <c r="W80" s="314"/>
      <c r="X80" s="132"/>
      <c r="Y80" s="132"/>
      <c r="Z80" s="132"/>
      <c r="AA80" s="132"/>
      <c r="AB80" s="428" t="s">
        <v>91</v>
      </c>
      <c r="AC80" s="424" t="s">
        <v>92</v>
      </c>
      <c r="AD80" s="424" t="s">
        <v>93</v>
      </c>
      <c r="AE80" s="424" t="s">
        <v>94</v>
      </c>
      <c r="AF80" s="424" t="s">
        <v>95</v>
      </c>
      <c r="AG80" s="424" t="s">
        <v>96</v>
      </c>
    </row>
    <row r="81" spans="1:34" ht="12.6" customHeight="1" x14ac:dyDescent="0.2">
      <c r="A81" s="18"/>
      <c r="B81" s="704" t="s">
        <v>97</v>
      </c>
      <c r="C81" s="705"/>
      <c r="D81" s="705"/>
      <c r="E81" s="781"/>
      <c r="F81" s="906"/>
      <c r="G81" s="905"/>
      <c r="H81" s="905"/>
      <c r="I81" s="905"/>
      <c r="J81" s="265"/>
      <c r="K81" s="285"/>
      <c r="L81" s="310"/>
      <c r="M81" s="294"/>
      <c r="N81" s="103"/>
      <c r="O81" s="320"/>
      <c r="P81" s="287"/>
      <c r="Q81" s="350"/>
      <c r="R81" s="103"/>
      <c r="S81" s="313"/>
      <c r="T81" s="103"/>
      <c r="U81" s="294"/>
      <c r="V81" s="492"/>
      <c r="W81" s="294"/>
      <c r="X81" s="136"/>
      <c r="Y81" s="136"/>
      <c r="Z81" s="136"/>
      <c r="AA81" s="136"/>
      <c r="AB81" s="428" t="s">
        <v>98</v>
      </c>
      <c r="AC81" s="424" t="s">
        <v>99</v>
      </c>
      <c r="AD81" s="424" t="s">
        <v>100</v>
      </c>
      <c r="AE81" s="424" t="s">
        <v>101</v>
      </c>
      <c r="AF81" s="424" t="s">
        <v>102</v>
      </c>
      <c r="AG81" s="424" t="s">
        <v>103</v>
      </c>
      <c r="AH81" s="424" t="s">
        <v>104</v>
      </c>
    </row>
    <row r="82" spans="1:34" ht="12.6" customHeight="1" x14ac:dyDescent="0.25">
      <c r="A82" s="18"/>
      <c r="B82" s="683" t="s">
        <v>105</v>
      </c>
      <c r="C82" s="712"/>
      <c r="D82" s="712"/>
      <c r="E82" s="782"/>
      <c r="F82" s="906"/>
      <c r="G82" s="905"/>
      <c r="H82" s="905"/>
      <c r="I82" s="905"/>
      <c r="J82" s="267"/>
      <c r="K82" s="286"/>
      <c r="L82" s="535"/>
      <c r="M82" s="293"/>
      <c r="N82" s="530"/>
      <c r="O82" s="321"/>
      <c r="P82" s="330"/>
      <c r="Q82" s="315"/>
      <c r="R82" s="530"/>
      <c r="S82" s="260"/>
      <c r="T82" s="530"/>
      <c r="U82" s="293"/>
      <c r="V82" s="530"/>
      <c r="W82" s="293"/>
      <c r="X82" s="794"/>
      <c r="Y82" s="795"/>
      <c r="Z82" s="795"/>
      <c r="AA82" s="190"/>
      <c r="AB82" s="428" t="s">
        <v>106</v>
      </c>
      <c r="AC82" s="424" t="s">
        <v>107</v>
      </c>
      <c r="AD82" s="424" t="s">
        <v>108</v>
      </c>
      <c r="AE82" s="424" t="s">
        <v>109</v>
      </c>
      <c r="AF82" s="424" t="s">
        <v>110</v>
      </c>
      <c r="AG82" s="429" t="s">
        <v>111</v>
      </c>
      <c r="AH82" s="424" t="s">
        <v>112</v>
      </c>
    </row>
    <row r="83" spans="1:34" ht="12.6" customHeight="1" x14ac:dyDescent="0.25">
      <c r="A83" s="18"/>
      <c r="B83" s="704" t="s">
        <v>113</v>
      </c>
      <c r="C83" s="705"/>
      <c r="D83" s="705"/>
      <c r="E83" s="781"/>
      <c r="F83" s="906"/>
      <c r="G83" s="905"/>
      <c r="H83" s="905"/>
      <c r="I83" s="905"/>
      <c r="J83" s="265"/>
      <c r="K83" s="285"/>
      <c r="L83" s="310"/>
      <c r="M83" s="294"/>
      <c r="N83" s="492"/>
      <c r="O83" s="320"/>
      <c r="P83" s="287"/>
      <c r="Q83" s="350"/>
      <c r="R83" s="492"/>
      <c r="S83" s="313"/>
      <c r="T83" s="492"/>
      <c r="U83" s="294"/>
      <c r="V83" s="492"/>
      <c r="W83" s="294"/>
      <c r="X83" s="794"/>
      <c r="Y83" s="795"/>
      <c r="Z83" s="795"/>
      <c r="AA83" s="190"/>
      <c r="AB83" s="428" t="s">
        <v>114</v>
      </c>
      <c r="AC83" s="430" t="s">
        <v>115</v>
      </c>
      <c r="AD83" s="430" t="s">
        <v>116</v>
      </c>
      <c r="AE83" s="430" t="s">
        <v>117</v>
      </c>
      <c r="AF83" s="430" t="s">
        <v>118</v>
      </c>
      <c r="AG83" s="30"/>
    </row>
    <row r="84" spans="1:34" ht="12.6" customHeight="1" x14ac:dyDescent="0.2">
      <c r="A84" s="18"/>
      <c r="B84" s="683" t="s">
        <v>119</v>
      </c>
      <c r="C84" s="712"/>
      <c r="D84" s="712"/>
      <c r="E84" s="782"/>
      <c r="F84" s="906"/>
      <c r="G84" s="905"/>
      <c r="H84" s="905"/>
      <c r="I84" s="905"/>
      <c r="J84" s="267"/>
      <c r="K84" s="286"/>
      <c r="L84" s="535"/>
      <c r="M84" s="293"/>
      <c r="N84" s="530"/>
      <c r="O84" s="321"/>
      <c r="P84" s="330"/>
      <c r="Q84" s="315"/>
      <c r="R84" s="530"/>
      <c r="S84" s="260"/>
      <c r="T84" s="530"/>
      <c r="U84" s="293"/>
      <c r="V84" s="530"/>
      <c r="W84" s="293"/>
      <c r="X84" s="153"/>
      <c r="Y84" s="153"/>
      <c r="Z84" s="153"/>
      <c r="AA84" s="153"/>
      <c r="AB84" s="31" t="s">
        <v>120</v>
      </c>
      <c r="AC84" s="424" t="s">
        <v>121</v>
      </c>
      <c r="AD84" s="424" t="s">
        <v>122</v>
      </c>
      <c r="AE84" s="424" t="s">
        <v>123</v>
      </c>
      <c r="AF84" s="424" t="s">
        <v>124</v>
      </c>
      <c r="AG84" s="424" t="s">
        <v>125</v>
      </c>
    </row>
    <row r="85" spans="1:34" ht="12.6" customHeight="1" x14ac:dyDescent="0.2">
      <c r="A85" s="18"/>
      <c r="B85" s="704" t="s">
        <v>126</v>
      </c>
      <c r="C85" s="705"/>
      <c r="D85" s="705"/>
      <c r="E85" s="781"/>
      <c r="F85" s="906"/>
      <c r="G85" s="905"/>
      <c r="H85" s="905"/>
      <c r="I85" s="905"/>
      <c r="J85" s="265"/>
      <c r="K85" s="285"/>
      <c r="L85" s="310"/>
      <c r="M85" s="294"/>
      <c r="N85" s="492"/>
      <c r="O85" s="320"/>
      <c r="P85" s="287"/>
      <c r="Q85" s="350"/>
      <c r="R85" s="492"/>
      <c r="S85" s="313"/>
      <c r="T85" s="492"/>
      <c r="U85" s="294"/>
      <c r="V85" s="492"/>
      <c r="W85" s="294"/>
      <c r="X85" s="153"/>
      <c r="Y85" s="153"/>
      <c r="Z85" s="153"/>
      <c r="AA85" s="153"/>
      <c r="AB85" s="31" t="s">
        <v>127</v>
      </c>
      <c r="AC85" s="430" t="s">
        <v>128</v>
      </c>
      <c r="AD85" s="430" t="s">
        <v>129</v>
      </c>
      <c r="AE85" s="430" t="s">
        <v>130</v>
      </c>
    </row>
    <row r="86" spans="1:34" ht="12.6" customHeight="1" x14ac:dyDescent="0.25">
      <c r="A86" s="18"/>
      <c r="B86" s="683" t="s">
        <v>131</v>
      </c>
      <c r="C86" s="712"/>
      <c r="D86" s="712"/>
      <c r="E86" s="782"/>
      <c r="F86" s="906"/>
      <c r="G86" s="905"/>
      <c r="H86" s="905"/>
      <c r="I86" s="905"/>
      <c r="J86" s="267"/>
      <c r="K86" s="286"/>
      <c r="L86" s="535"/>
      <c r="M86" s="293"/>
      <c r="N86" s="530"/>
      <c r="O86" s="321"/>
      <c r="P86" s="330"/>
      <c r="Q86" s="315"/>
      <c r="R86" s="530"/>
      <c r="S86" s="260"/>
      <c r="T86" s="530"/>
      <c r="U86" s="293"/>
      <c r="V86" s="530"/>
      <c r="W86" s="293"/>
      <c r="X86" s="794"/>
      <c r="Y86" s="795"/>
      <c r="Z86" s="795"/>
      <c r="AA86" s="190"/>
      <c r="AB86" s="31" t="s">
        <v>132</v>
      </c>
      <c r="AC86" s="424" t="s">
        <v>133</v>
      </c>
      <c r="AD86" s="424" t="s">
        <v>134</v>
      </c>
      <c r="AE86" s="424" t="s">
        <v>135</v>
      </c>
      <c r="AF86" s="424" t="s">
        <v>136</v>
      </c>
      <c r="AG86" s="424" t="s">
        <v>137</v>
      </c>
      <c r="AH86" s="424" t="s">
        <v>138</v>
      </c>
    </row>
    <row r="87" spans="1:34" ht="12.6" customHeight="1" x14ac:dyDescent="0.25">
      <c r="A87" s="18"/>
      <c r="B87" s="704" t="s">
        <v>139</v>
      </c>
      <c r="C87" s="705"/>
      <c r="D87" s="705"/>
      <c r="E87" s="781"/>
      <c r="F87" s="906"/>
      <c r="G87" s="905"/>
      <c r="H87" s="905"/>
      <c r="I87" s="905"/>
      <c r="J87" s="265"/>
      <c r="K87" s="285"/>
      <c r="L87" s="310"/>
      <c r="M87" s="294"/>
      <c r="N87" s="492"/>
      <c r="O87" s="320"/>
      <c r="P87" s="287"/>
      <c r="Q87" s="350"/>
      <c r="R87" s="492"/>
      <c r="S87" s="313"/>
      <c r="T87" s="492"/>
      <c r="U87" s="294"/>
      <c r="V87" s="492"/>
      <c r="W87" s="294"/>
      <c r="X87" s="794"/>
      <c r="Y87" s="795"/>
      <c r="Z87" s="795"/>
      <c r="AA87" s="190"/>
      <c r="AB87" s="426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83" t="s">
        <v>141</v>
      </c>
      <c r="C88" s="712"/>
      <c r="D88" s="712"/>
      <c r="E88" s="782"/>
      <c r="F88" s="906"/>
      <c r="G88" s="905"/>
      <c r="H88" s="905"/>
      <c r="I88" s="905"/>
      <c r="J88" s="267"/>
      <c r="K88" s="286"/>
      <c r="L88" s="535"/>
      <c r="M88" s="293"/>
      <c r="N88" s="530"/>
      <c r="O88" s="321"/>
      <c r="P88" s="330"/>
      <c r="Q88" s="315"/>
      <c r="R88" s="530"/>
      <c r="S88" s="260"/>
      <c r="T88" s="530"/>
      <c r="U88" s="293"/>
      <c r="V88" s="530"/>
      <c r="W88" s="293"/>
      <c r="X88" s="152"/>
      <c r="Y88" s="152"/>
      <c r="Z88" s="152"/>
      <c r="AA88" s="152"/>
      <c r="AB88" s="424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704" t="s">
        <v>143</v>
      </c>
      <c r="C89" s="705"/>
      <c r="D89" s="705"/>
      <c r="E89" s="781"/>
      <c r="F89" s="906"/>
      <c r="G89" s="905"/>
      <c r="H89" s="905"/>
      <c r="I89" s="905"/>
      <c r="J89" s="265"/>
      <c r="K89" s="285"/>
      <c r="L89" s="310"/>
      <c r="M89" s="294"/>
      <c r="N89" s="492"/>
      <c r="O89" s="320"/>
      <c r="P89" s="287"/>
      <c r="Q89" s="320"/>
      <c r="R89" s="492"/>
      <c r="S89" s="320"/>
      <c r="T89" s="492"/>
      <c r="U89" s="294"/>
      <c r="V89" s="492"/>
      <c r="W89" s="294"/>
      <c r="X89" s="152"/>
      <c r="Y89" s="152"/>
      <c r="Z89" s="152"/>
      <c r="AA89" s="152"/>
      <c r="AB89" s="424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83" t="s">
        <v>145</v>
      </c>
      <c r="C90" s="712"/>
      <c r="D90" s="712"/>
      <c r="E90" s="782"/>
      <c r="F90" s="907"/>
      <c r="G90" s="908"/>
      <c r="H90" s="908"/>
      <c r="I90" s="908"/>
      <c r="J90" s="267"/>
      <c r="K90" s="286"/>
      <c r="L90" s="535"/>
      <c r="M90" s="293"/>
      <c r="N90" s="530"/>
      <c r="O90" s="362"/>
      <c r="P90" s="330"/>
      <c r="Q90" s="315"/>
      <c r="R90" s="113"/>
      <c r="S90" s="474"/>
      <c r="T90" s="530"/>
      <c r="U90" s="293"/>
      <c r="V90" s="530"/>
      <c r="W90" s="293"/>
      <c r="X90" s="132"/>
      <c r="Y90" s="132"/>
      <c r="Z90" s="132"/>
      <c r="AA90" s="132"/>
      <c r="AB90" s="427" t="s">
        <v>146</v>
      </c>
      <c r="AC90" s="424" t="s">
        <v>147</v>
      </c>
      <c r="AD90" s="424" t="s">
        <v>148</v>
      </c>
      <c r="AE90" s="424" t="s">
        <v>149</v>
      </c>
      <c r="AF90" s="424" t="s">
        <v>150</v>
      </c>
      <c r="AG90" s="424" t="s">
        <v>151</v>
      </c>
    </row>
    <row r="91" spans="1:34" ht="12.6" customHeight="1" x14ac:dyDescent="0.2">
      <c r="A91" s="18"/>
      <c r="B91" s="704" t="s">
        <v>484</v>
      </c>
      <c r="C91" s="705"/>
      <c r="D91" s="705"/>
      <c r="E91" s="705"/>
      <c r="F91" s="294"/>
      <c r="G91" s="350"/>
      <c r="H91" s="265"/>
      <c r="I91" s="298"/>
      <c r="J91" s="492"/>
      <c r="K91" s="294"/>
      <c r="L91" s="401"/>
      <c r="M91" s="294"/>
      <c r="N91" s="401"/>
      <c r="O91" s="294"/>
      <c r="P91" s="401"/>
      <c r="Q91" s="294"/>
      <c r="R91" s="401"/>
      <c r="S91" s="294"/>
      <c r="T91" s="401"/>
      <c r="U91" s="294"/>
      <c r="V91" s="90"/>
      <c r="W91" s="355"/>
      <c r="X91" s="163"/>
      <c r="Y91" s="136"/>
      <c r="Z91" s="136"/>
      <c r="AA91" s="139"/>
      <c r="AB91" s="425">
        <v>117</v>
      </c>
    </row>
    <row r="92" spans="1:34" ht="12.6" customHeight="1" x14ac:dyDescent="0.2">
      <c r="A92" s="18"/>
      <c r="B92" s="693" t="s">
        <v>502</v>
      </c>
      <c r="C92" s="696"/>
      <c r="D92" s="696"/>
      <c r="E92" s="697"/>
      <c r="F92" s="293"/>
      <c r="G92" s="315"/>
      <c r="H92" s="267"/>
      <c r="I92" s="286"/>
      <c r="J92" s="325"/>
      <c r="K92" s="293"/>
      <c r="L92" s="325"/>
      <c r="M92" s="293"/>
      <c r="N92" s="325"/>
      <c r="O92" s="293"/>
      <c r="P92" s="325"/>
      <c r="Q92" s="293"/>
      <c r="R92" s="325"/>
      <c r="S92" s="293"/>
      <c r="T92" s="325"/>
      <c r="U92" s="293"/>
      <c r="V92" s="72"/>
      <c r="W92" s="356"/>
      <c r="X92" s="163"/>
      <c r="Y92" s="136"/>
      <c r="Z92" s="136"/>
      <c r="AA92" s="139"/>
      <c r="AB92" s="425"/>
    </row>
    <row r="93" spans="1:34" ht="12.6" customHeight="1" x14ac:dyDescent="0.2">
      <c r="A93" s="18"/>
      <c r="B93" s="704" t="s">
        <v>485</v>
      </c>
      <c r="C93" s="705"/>
      <c r="D93" s="705"/>
      <c r="E93" s="705"/>
      <c r="F93" s="294"/>
      <c r="G93" s="350"/>
      <c r="H93" s="265"/>
      <c r="I93" s="285"/>
      <c r="J93" s="383"/>
      <c r="K93" s="294"/>
      <c r="L93" s="390"/>
      <c r="M93" s="294"/>
      <c r="N93" s="390"/>
      <c r="O93" s="294"/>
      <c r="P93" s="390"/>
      <c r="Q93" s="294"/>
      <c r="R93" s="390"/>
      <c r="S93" s="294"/>
      <c r="T93" s="390"/>
      <c r="U93" s="294"/>
      <c r="V93" s="90"/>
      <c r="W93" s="355"/>
      <c r="X93" s="163"/>
      <c r="Y93" s="136"/>
      <c r="Z93" s="136"/>
      <c r="AA93" s="139"/>
      <c r="AB93" s="425">
        <v>129</v>
      </c>
    </row>
    <row r="94" spans="1:34" ht="12.6" customHeight="1" x14ac:dyDescent="0.2">
      <c r="A94" s="105"/>
      <c r="B94" s="808" t="s">
        <v>403</v>
      </c>
      <c r="C94" s="809"/>
      <c r="D94" s="809"/>
      <c r="E94" s="809"/>
      <c r="F94" s="599">
        <v>480</v>
      </c>
      <c r="G94" s="608">
        <f t="shared" ref="G94:G99" si="163">+F94*$X$1</f>
        <v>480</v>
      </c>
      <c r="H94" s="609"/>
      <c r="I94" s="601"/>
      <c r="J94" s="610">
        <f>F94+180</f>
        <v>660</v>
      </c>
      <c r="K94" s="611">
        <f>+J94*$X$1</f>
        <v>660</v>
      </c>
      <c r="L94" s="612">
        <f>F94+120</f>
        <v>600</v>
      </c>
      <c r="M94" s="611">
        <f t="shared" ref="M94:M96" si="164">+L94*$X$1</f>
        <v>600</v>
      </c>
      <c r="N94" s="613">
        <f>F94+7.2</f>
        <v>487.2</v>
      </c>
      <c r="O94" s="929" t="s">
        <v>152</v>
      </c>
      <c r="P94" s="930"/>
      <c r="Q94" s="930"/>
      <c r="R94" s="930"/>
      <c r="S94" s="930"/>
      <c r="T94" s="930"/>
      <c r="U94" s="930"/>
      <c r="V94" s="930"/>
      <c r="W94" s="930"/>
      <c r="X94" s="164"/>
      <c r="Y94" s="136"/>
      <c r="Z94" s="136"/>
      <c r="AA94" s="139"/>
      <c r="AB94" s="431">
        <v>247</v>
      </c>
    </row>
    <row r="95" spans="1:34" ht="12.6" customHeight="1" x14ac:dyDescent="0.2">
      <c r="A95" s="98"/>
      <c r="B95" s="690" t="s">
        <v>516</v>
      </c>
      <c r="C95" s="698"/>
      <c r="D95" s="698"/>
      <c r="E95" s="699"/>
      <c r="F95" s="393">
        <f>2.631*X2</f>
        <v>2728.3469999999998</v>
      </c>
      <c r="G95" s="320">
        <f>+F95*$X$1</f>
        <v>2728.3469999999998</v>
      </c>
      <c r="H95" s="285"/>
      <c r="I95" s="285"/>
      <c r="J95" s="492">
        <f>F95+180</f>
        <v>2908.3469999999998</v>
      </c>
      <c r="K95" s="294">
        <f t="shared" ref="K95" si="165">+J95*$X$1</f>
        <v>2908.3469999999998</v>
      </c>
      <c r="L95" s="492">
        <f t="shared" ref="L95" si="166">F95+120</f>
        <v>2848.3469999999998</v>
      </c>
      <c r="M95" s="294">
        <f>+L95*$X$1</f>
        <v>2848.3469999999998</v>
      </c>
      <c r="N95" s="492">
        <f>F95+63</f>
        <v>2791.3469999999998</v>
      </c>
      <c r="O95" s="294">
        <f t="shared" ref="O95" si="167">+N95*$X$1</f>
        <v>2791.3469999999998</v>
      </c>
      <c r="P95" s="492">
        <f t="shared" ref="P95" si="168">F95+54</f>
        <v>2782.3469999999998</v>
      </c>
      <c r="Q95" s="294">
        <f>+P95*$X$1</f>
        <v>2782.3469999999998</v>
      </c>
      <c r="R95" s="492">
        <f>F95+45</f>
        <v>2773.3469999999998</v>
      </c>
      <c r="S95" s="294">
        <f t="shared" ref="S95" si="169">+R95*$X$1</f>
        <v>2773.3469999999998</v>
      </c>
      <c r="T95" s="103">
        <f>F95+37</f>
        <v>2765.3469999999998</v>
      </c>
      <c r="U95" s="313">
        <f t="shared" ref="U95" si="170">+T95*$X$1</f>
        <v>2765.3469999999998</v>
      </c>
      <c r="V95" s="103">
        <f>F95+32</f>
        <v>2760.3469999999998</v>
      </c>
      <c r="W95" s="313">
        <f>+V95*$X$1</f>
        <v>2760.3469999999998</v>
      </c>
      <c r="X95" s="164"/>
      <c r="Y95" s="136"/>
      <c r="Z95" s="136"/>
      <c r="AA95" s="139"/>
      <c r="AB95" s="431">
        <v>249</v>
      </c>
    </row>
    <row r="96" spans="1:34" ht="12.6" customHeight="1" x14ac:dyDescent="0.2">
      <c r="A96" s="105"/>
      <c r="B96" s="942" t="s">
        <v>402</v>
      </c>
      <c r="C96" s="943"/>
      <c r="D96" s="943"/>
      <c r="E96" s="943"/>
      <c r="F96" s="600">
        <v>80</v>
      </c>
      <c r="G96" s="606">
        <f t="shared" si="163"/>
        <v>80</v>
      </c>
      <c r="H96" s="607"/>
      <c r="I96" s="607"/>
      <c r="J96" s="603">
        <f>F96+200</f>
        <v>280</v>
      </c>
      <c r="K96" s="600">
        <f t="shared" ref="K96" si="171">+J96*$X$1</f>
        <v>280</v>
      </c>
      <c r="L96" s="602">
        <f>F96+140</f>
        <v>220</v>
      </c>
      <c r="M96" s="600">
        <f t="shared" si="164"/>
        <v>220</v>
      </c>
      <c r="N96" s="602">
        <f>F96+90</f>
        <v>170</v>
      </c>
      <c r="O96" s="600">
        <f t="shared" ref="O96" si="172">+N96*$X$1</f>
        <v>170</v>
      </c>
      <c r="P96" s="602">
        <f>F96+80</f>
        <v>160</v>
      </c>
      <c r="Q96" s="600">
        <f t="shared" ref="Q96" si="173">+P96*$X$1</f>
        <v>160</v>
      </c>
      <c r="R96" s="602">
        <f>F96+70</f>
        <v>150</v>
      </c>
      <c r="S96" s="600">
        <f t="shared" ref="S96" si="174">+R96*$X$1</f>
        <v>150</v>
      </c>
      <c r="T96" s="602">
        <f>F96+65</f>
        <v>145</v>
      </c>
      <c r="U96" s="600">
        <f t="shared" ref="U96" si="175">+T96*$X$1</f>
        <v>145</v>
      </c>
      <c r="V96" s="602">
        <f>F96+60</f>
        <v>140</v>
      </c>
      <c r="W96" s="600">
        <f t="shared" ref="W96" si="176">+V96*$X$1</f>
        <v>140</v>
      </c>
      <c r="X96" s="165"/>
      <c r="Y96" s="136"/>
      <c r="Z96" s="136"/>
      <c r="AA96" s="139"/>
      <c r="AB96" s="432">
        <v>251</v>
      </c>
    </row>
    <row r="97" spans="1:30" ht="12.6" customHeight="1" x14ac:dyDescent="0.2">
      <c r="A97" s="18"/>
      <c r="B97" s="704" t="s">
        <v>371</v>
      </c>
      <c r="C97" s="705"/>
      <c r="D97" s="705"/>
      <c r="E97" s="705"/>
      <c r="F97" s="294">
        <v>690</v>
      </c>
      <c r="G97" s="294">
        <f t="shared" si="163"/>
        <v>690</v>
      </c>
      <c r="H97" s="285"/>
      <c r="I97" s="285"/>
      <c r="J97" s="116">
        <f t="shared" ref="J97" si="177">F97+150</f>
        <v>840</v>
      </c>
      <c r="K97" s="294">
        <f t="shared" ref="K97:K103" si="178">+J97*$X$1</f>
        <v>840</v>
      </c>
      <c r="L97" s="492"/>
      <c r="M97" s="492"/>
      <c r="N97" s="492">
        <f>F97+23</f>
        <v>713</v>
      </c>
      <c r="O97" s="492"/>
      <c r="P97" s="285"/>
      <c r="Q97" s="285"/>
      <c r="R97" s="492">
        <f>F97+15</f>
        <v>705</v>
      </c>
      <c r="S97" s="492"/>
      <c r="T97" s="492">
        <f>F97+12</f>
        <v>702</v>
      </c>
      <c r="U97" s="492"/>
      <c r="V97" s="492">
        <f>F97+10</f>
        <v>700</v>
      </c>
      <c r="W97" s="492"/>
      <c r="X97" s="165"/>
      <c r="Y97" s="136"/>
      <c r="Z97" s="136"/>
      <c r="AA97" s="139"/>
      <c r="AB97" s="432" t="s">
        <v>153</v>
      </c>
    </row>
    <row r="98" spans="1:30" ht="12.6" customHeight="1" x14ac:dyDescent="0.2">
      <c r="A98" s="18"/>
      <c r="B98" s="693" t="s">
        <v>506</v>
      </c>
      <c r="C98" s="694"/>
      <c r="D98" s="694"/>
      <c r="E98" s="695"/>
      <c r="F98" s="392">
        <f>12.097*X2</f>
        <v>12544.589</v>
      </c>
      <c r="G98" s="293">
        <f t="shared" si="163"/>
        <v>12544.589</v>
      </c>
      <c r="H98" s="598">
        <f t="shared" ref="H98:H103" si="179">F98+420</f>
        <v>12964.589</v>
      </c>
      <c r="I98" s="293">
        <f t="shared" ref="I98:I103" si="180">+H98*$X$1</f>
        <v>12964.589</v>
      </c>
      <c r="J98" s="598">
        <f t="shared" ref="J98:J104" si="181">F98+180</f>
        <v>12724.589</v>
      </c>
      <c r="K98" s="293">
        <f t="shared" si="178"/>
        <v>12724.589</v>
      </c>
      <c r="L98" s="598">
        <f t="shared" ref="L98:L103" si="182">F98+120</f>
        <v>12664.589</v>
      </c>
      <c r="M98" s="293">
        <f t="shared" ref="M98:M104" si="183">+L98*$X$1</f>
        <v>12664.589</v>
      </c>
      <c r="N98" s="598">
        <f t="shared" ref="N98:N104" si="184">F98+63</f>
        <v>12607.589</v>
      </c>
      <c r="O98" s="293">
        <f t="shared" ref="O98:O103" si="185">+N98*$X$1</f>
        <v>12607.589</v>
      </c>
      <c r="P98" s="598">
        <f t="shared" ref="P98:P103" si="186">F98+54</f>
        <v>12598.589</v>
      </c>
      <c r="Q98" s="293">
        <f t="shared" ref="Q98:Q104" si="187">+P98*$X$1</f>
        <v>12598.589</v>
      </c>
      <c r="R98" s="598">
        <f t="shared" ref="R98:R104" si="188">F98+45</f>
        <v>12589.589</v>
      </c>
      <c r="S98" s="293">
        <f t="shared" ref="S98:S103" si="189">+R98*$X$1</f>
        <v>12589.589</v>
      </c>
      <c r="T98" s="104">
        <f t="shared" ref="T98:T104" si="190">F98+37</f>
        <v>12581.589</v>
      </c>
      <c r="U98" s="260">
        <f t="shared" ref="U98:U103" si="191">+T98*$X$1</f>
        <v>12581.589</v>
      </c>
      <c r="V98" s="104">
        <f t="shared" ref="V98:V104" si="192">F98+32</f>
        <v>12576.589</v>
      </c>
      <c r="W98" s="260">
        <f t="shared" ref="W98:W104" si="193">+V98*$X$1</f>
        <v>12576.589</v>
      </c>
      <c r="X98" s="166"/>
      <c r="Y98" s="136"/>
      <c r="Z98" s="136"/>
      <c r="AA98" s="139"/>
      <c r="AB98" s="432">
        <v>268</v>
      </c>
    </row>
    <row r="99" spans="1:30" ht="12.6" customHeight="1" x14ac:dyDescent="0.2">
      <c r="A99" s="18"/>
      <c r="B99" s="704" t="s">
        <v>682</v>
      </c>
      <c r="C99" s="705"/>
      <c r="D99" s="705"/>
      <c r="E99" s="705"/>
      <c r="F99" s="393">
        <f>4.502*X2</f>
        <v>4668.5739999999996</v>
      </c>
      <c r="G99" s="294">
        <f t="shared" si="163"/>
        <v>4668.5739999999996</v>
      </c>
      <c r="H99" s="492">
        <f t="shared" si="179"/>
        <v>5088.5739999999996</v>
      </c>
      <c r="I99" s="294">
        <f t="shared" si="180"/>
        <v>5088.5739999999996</v>
      </c>
      <c r="J99" s="492">
        <f t="shared" si="181"/>
        <v>4848.5739999999996</v>
      </c>
      <c r="K99" s="294">
        <f t="shared" si="178"/>
        <v>4848.5739999999996</v>
      </c>
      <c r="L99" s="492">
        <f t="shared" si="182"/>
        <v>4788.5739999999996</v>
      </c>
      <c r="M99" s="294">
        <f t="shared" si="183"/>
        <v>4788.5739999999996</v>
      </c>
      <c r="N99" s="492">
        <f t="shared" si="184"/>
        <v>4731.5739999999996</v>
      </c>
      <c r="O99" s="294">
        <f t="shared" si="185"/>
        <v>4731.5739999999996</v>
      </c>
      <c r="P99" s="492">
        <f t="shared" si="186"/>
        <v>4722.5739999999996</v>
      </c>
      <c r="Q99" s="294">
        <f t="shared" si="187"/>
        <v>4722.5739999999996</v>
      </c>
      <c r="R99" s="492">
        <f t="shared" si="188"/>
        <v>4713.5739999999996</v>
      </c>
      <c r="S99" s="294">
        <f t="shared" si="189"/>
        <v>4713.5739999999996</v>
      </c>
      <c r="T99" s="103">
        <f t="shared" si="190"/>
        <v>4705.5739999999996</v>
      </c>
      <c r="U99" s="313">
        <f t="shared" si="191"/>
        <v>4705.5739999999996</v>
      </c>
      <c r="V99" s="103">
        <f t="shared" si="192"/>
        <v>4700.5739999999996</v>
      </c>
      <c r="W99" s="313">
        <f t="shared" si="193"/>
        <v>4700.5739999999996</v>
      </c>
      <c r="X99" s="166"/>
      <c r="Y99" s="140"/>
      <c r="Z99" s="136"/>
      <c r="AA99" s="139"/>
      <c r="AB99" s="432">
        <v>270</v>
      </c>
      <c r="AC99" s="30"/>
    </row>
    <row r="100" spans="1:30" ht="12.6" customHeight="1" x14ac:dyDescent="0.2">
      <c r="A100" s="18"/>
      <c r="B100" s="683" t="s">
        <v>154</v>
      </c>
      <c r="C100" s="712"/>
      <c r="D100" s="712"/>
      <c r="E100" s="712"/>
      <c r="F100" s="392">
        <f>13.2*X2</f>
        <v>13688.4</v>
      </c>
      <c r="G100" s="293">
        <f t="shared" ref="G100:G102" si="194">+F100*$X$1</f>
        <v>13688.4</v>
      </c>
      <c r="H100" s="598">
        <f t="shared" si="179"/>
        <v>14108.4</v>
      </c>
      <c r="I100" s="293">
        <f t="shared" si="180"/>
        <v>14108.4</v>
      </c>
      <c r="J100" s="598">
        <f t="shared" si="181"/>
        <v>13868.4</v>
      </c>
      <c r="K100" s="293">
        <f t="shared" si="178"/>
        <v>13868.4</v>
      </c>
      <c r="L100" s="598">
        <f t="shared" si="182"/>
        <v>13808.4</v>
      </c>
      <c r="M100" s="293">
        <f t="shared" si="183"/>
        <v>13808.4</v>
      </c>
      <c r="N100" s="598">
        <f t="shared" si="184"/>
        <v>13751.4</v>
      </c>
      <c r="O100" s="293">
        <f t="shared" si="185"/>
        <v>13751.4</v>
      </c>
      <c r="P100" s="598">
        <f t="shared" si="186"/>
        <v>13742.4</v>
      </c>
      <c r="Q100" s="293">
        <f t="shared" si="187"/>
        <v>13742.4</v>
      </c>
      <c r="R100" s="598">
        <f t="shared" si="188"/>
        <v>13733.4</v>
      </c>
      <c r="S100" s="293">
        <f t="shared" si="189"/>
        <v>13733.4</v>
      </c>
      <c r="T100" s="104">
        <f t="shared" si="190"/>
        <v>13725.4</v>
      </c>
      <c r="U100" s="260">
        <f t="shared" si="191"/>
        <v>13725.4</v>
      </c>
      <c r="V100" s="104">
        <f t="shared" si="192"/>
        <v>13720.4</v>
      </c>
      <c r="W100" s="260">
        <f t="shared" si="193"/>
        <v>13720.4</v>
      </c>
      <c r="X100" s="165"/>
      <c r="Y100" s="136"/>
      <c r="Z100" s="136"/>
      <c r="AA100" s="139"/>
      <c r="AB100" s="432">
        <v>273</v>
      </c>
      <c r="AC100" s="30"/>
    </row>
    <row r="101" spans="1:30" ht="12.6" customHeight="1" x14ac:dyDescent="0.2">
      <c r="A101" s="18"/>
      <c r="B101" s="704" t="s">
        <v>155</v>
      </c>
      <c r="C101" s="705"/>
      <c r="D101" s="705"/>
      <c r="E101" s="705"/>
      <c r="F101" s="393">
        <f>10*X2</f>
        <v>10370</v>
      </c>
      <c r="G101" s="294">
        <f t="shared" si="194"/>
        <v>10370</v>
      </c>
      <c r="H101" s="492">
        <f t="shared" si="179"/>
        <v>10790</v>
      </c>
      <c r="I101" s="294">
        <f t="shared" si="180"/>
        <v>10790</v>
      </c>
      <c r="J101" s="492">
        <f t="shared" si="181"/>
        <v>10550</v>
      </c>
      <c r="K101" s="294">
        <f t="shared" si="178"/>
        <v>10550</v>
      </c>
      <c r="L101" s="492">
        <f t="shared" si="182"/>
        <v>10490</v>
      </c>
      <c r="M101" s="294">
        <f t="shared" si="183"/>
        <v>10490</v>
      </c>
      <c r="N101" s="492">
        <f t="shared" si="184"/>
        <v>10433</v>
      </c>
      <c r="O101" s="294">
        <f t="shared" si="185"/>
        <v>10433</v>
      </c>
      <c r="P101" s="492">
        <f t="shared" si="186"/>
        <v>10424</v>
      </c>
      <c r="Q101" s="294">
        <f t="shared" si="187"/>
        <v>10424</v>
      </c>
      <c r="R101" s="492">
        <f t="shared" si="188"/>
        <v>10415</v>
      </c>
      <c r="S101" s="294">
        <f t="shared" si="189"/>
        <v>10415</v>
      </c>
      <c r="T101" s="103">
        <f t="shared" si="190"/>
        <v>10407</v>
      </c>
      <c r="U101" s="313">
        <f t="shared" si="191"/>
        <v>10407</v>
      </c>
      <c r="V101" s="103">
        <f t="shared" si="192"/>
        <v>10402</v>
      </c>
      <c r="W101" s="313">
        <f t="shared" si="193"/>
        <v>10402</v>
      </c>
      <c r="X101" s="166"/>
      <c r="Y101" s="140"/>
      <c r="Z101" s="136"/>
      <c r="AA101" s="139"/>
      <c r="AB101" s="432" t="s">
        <v>156</v>
      </c>
      <c r="AC101" s="30"/>
    </row>
    <row r="102" spans="1:30" ht="12.6" customHeight="1" x14ac:dyDescent="0.2">
      <c r="A102" s="18"/>
      <c r="B102" s="683" t="s">
        <v>157</v>
      </c>
      <c r="C102" s="712"/>
      <c r="D102" s="712"/>
      <c r="E102" s="712"/>
      <c r="F102" s="392">
        <f>8.73*X2</f>
        <v>9053.01</v>
      </c>
      <c r="G102" s="293">
        <f t="shared" si="194"/>
        <v>9053.01</v>
      </c>
      <c r="H102" s="598">
        <f t="shared" si="179"/>
        <v>9473.01</v>
      </c>
      <c r="I102" s="293">
        <f t="shared" si="180"/>
        <v>9473.01</v>
      </c>
      <c r="J102" s="598">
        <f t="shared" si="181"/>
        <v>9233.01</v>
      </c>
      <c r="K102" s="293">
        <f t="shared" si="178"/>
        <v>9233.01</v>
      </c>
      <c r="L102" s="598">
        <f t="shared" si="182"/>
        <v>9173.01</v>
      </c>
      <c r="M102" s="293">
        <f t="shared" si="183"/>
        <v>9173.01</v>
      </c>
      <c r="N102" s="598">
        <f t="shared" si="184"/>
        <v>9116.01</v>
      </c>
      <c r="O102" s="293">
        <f t="shared" si="185"/>
        <v>9116.01</v>
      </c>
      <c r="P102" s="598">
        <f t="shared" si="186"/>
        <v>9107.01</v>
      </c>
      <c r="Q102" s="293">
        <f t="shared" si="187"/>
        <v>9107.01</v>
      </c>
      <c r="R102" s="598">
        <f t="shared" si="188"/>
        <v>9098.01</v>
      </c>
      <c r="S102" s="293">
        <f t="shared" si="189"/>
        <v>9098.01</v>
      </c>
      <c r="T102" s="104">
        <f t="shared" si="190"/>
        <v>9090.01</v>
      </c>
      <c r="U102" s="260">
        <f t="shared" si="191"/>
        <v>9090.01</v>
      </c>
      <c r="V102" s="104">
        <f t="shared" si="192"/>
        <v>9085.01</v>
      </c>
      <c r="W102" s="260">
        <f t="shared" si="193"/>
        <v>9085.01</v>
      </c>
      <c r="X102" s="166"/>
      <c r="Y102" s="140"/>
      <c r="Z102" s="136"/>
      <c r="AA102" s="139"/>
      <c r="AB102" s="432">
        <v>278</v>
      </c>
      <c r="AC102" s="30"/>
    </row>
    <row r="103" spans="1:30" ht="12.6" customHeight="1" x14ac:dyDescent="0.2">
      <c r="A103" s="18"/>
      <c r="B103" s="931" t="s">
        <v>158</v>
      </c>
      <c r="C103" s="932"/>
      <c r="D103" s="932"/>
      <c r="E103" s="932"/>
      <c r="F103" s="393">
        <f>2.02*X2</f>
        <v>2094.7400000000002</v>
      </c>
      <c r="G103" s="294">
        <f>+F103*$X$1</f>
        <v>2094.7400000000002</v>
      </c>
      <c r="H103" s="492">
        <f t="shared" si="179"/>
        <v>2514.7400000000002</v>
      </c>
      <c r="I103" s="294">
        <f t="shared" si="180"/>
        <v>2514.7400000000002</v>
      </c>
      <c r="J103" s="492">
        <f t="shared" si="181"/>
        <v>2274.7400000000002</v>
      </c>
      <c r="K103" s="294">
        <f t="shared" si="178"/>
        <v>2274.7400000000002</v>
      </c>
      <c r="L103" s="492">
        <f t="shared" si="182"/>
        <v>2214.7400000000002</v>
      </c>
      <c r="M103" s="294">
        <f t="shared" si="183"/>
        <v>2214.7400000000002</v>
      </c>
      <c r="N103" s="492">
        <f t="shared" si="184"/>
        <v>2157.7400000000002</v>
      </c>
      <c r="O103" s="294">
        <f t="shared" si="185"/>
        <v>2157.7400000000002</v>
      </c>
      <c r="P103" s="492">
        <f t="shared" si="186"/>
        <v>2148.7400000000002</v>
      </c>
      <c r="Q103" s="294">
        <f t="shared" si="187"/>
        <v>2148.7400000000002</v>
      </c>
      <c r="R103" s="492">
        <f t="shared" si="188"/>
        <v>2139.7400000000002</v>
      </c>
      <c r="S103" s="294">
        <f t="shared" si="189"/>
        <v>2139.7400000000002</v>
      </c>
      <c r="T103" s="103">
        <f t="shared" si="190"/>
        <v>2131.7400000000002</v>
      </c>
      <c r="U103" s="313">
        <f t="shared" si="191"/>
        <v>2131.7400000000002</v>
      </c>
      <c r="V103" s="103">
        <f t="shared" si="192"/>
        <v>2126.7400000000002</v>
      </c>
      <c r="W103" s="313">
        <f t="shared" si="193"/>
        <v>2126.7400000000002</v>
      </c>
      <c r="X103" s="163"/>
      <c r="Y103" s="140"/>
      <c r="Z103" s="136"/>
      <c r="AA103" s="139"/>
      <c r="AB103" s="432">
        <v>288</v>
      </c>
      <c r="AC103" s="30"/>
    </row>
    <row r="104" spans="1:30" ht="12.6" customHeight="1" x14ac:dyDescent="0.2">
      <c r="A104" s="18"/>
      <c r="B104" s="683" t="s">
        <v>159</v>
      </c>
      <c r="C104" s="712"/>
      <c r="D104" s="712"/>
      <c r="E104" s="712"/>
      <c r="F104" s="293">
        <v>398</v>
      </c>
      <c r="G104" s="293">
        <f>+F104*$X$1</f>
        <v>398</v>
      </c>
      <c r="H104" s="72"/>
      <c r="I104" s="293"/>
      <c r="J104" s="598">
        <f t="shared" si="181"/>
        <v>578</v>
      </c>
      <c r="K104" s="293">
        <f t="shared" ref="K104" si="195">+J104*$X$1</f>
        <v>578</v>
      </c>
      <c r="L104" s="598">
        <f t="shared" ref="L104" si="196">F104+120</f>
        <v>518</v>
      </c>
      <c r="M104" s="293">
        <f t="shared" si="183"/>
        <v>518</v>
      </c>
      <c r="N104" s="598">
        <f t="shared" si="184"/>
        <v>461</v>
      </c>
      <c r="O104" s="293">
        <f t="shared" ref="O104" si="197">+N104*$X$1</f>
        <v>461</v>
      </c>
      <c r="P104" s="598">
        <f t="shared" ref="P104" si="198">F104+54</f>
        <v>452</v>
      </c>
      <c r="Q104" s="293">
        <f t="shared" si="187"/>
        <v>452</v>
      </c>
      <c r="R104" s="598">
        <f t="shared" si="188"/>
        <v>443</v>
      </c>
      <c r="S104" s="293">
        <f>+R104*$X$1</f>
        <v>443</v>
      </c>
      <c r="T104" s="104">
        <f t="shared" si="190"/>
        <v>435</v>
      </c>
      <c r="U104" s="260">
        <f>+T104*$X$1</f>
        <v>435</v>
      </c>
      <c r="V104" s="104">
        <f t="shared" si="192"/>
        <v>430</v>
      </c>
      <c r="W104" s="260">
        <f t="shared" si="193"/>
        <v>430</v>
      </c>
      <c r="X104" s="163"/>
      <c r="Y104" s="140"/>
      <c r="Z104" s="136"/>
      <c r="AA104" s="139"/>
      <c r="AB104" s="432">
        <v>289</v>
      </c>
      <c r="AC104" s="30"/>
    </row>
    <row r="105" spans="1:30" ht="12.6" customHeight="1" x14ac:dyDescent="0.2">
      <c r="A105" s="18"/>
      <c r="B105" s="704" t="s">
        <v>160</v>
      </c>
      <c r="C105" s="705"/>
      <c r="D105" s="705"/>
      <c r="E105" s="705"/>
      <c r="F105" s="294"/>
      <c r="G105" s="766" t="s">
        <v>602</v>
      </c>
      <c r="H105" s="767"/>
      <c r="I105" s="767"/>
      <c r="J105" s="767"/>
      <c r="K105" s="767"/>
      <c r="L105" s="767"/>
      <c r="M105" s="767"/>
      <c r="N105" s="767"/>
      <c r="O105" s="768"/>
      <c r="P105" s="287">
        <v>383</v>
      </c>
      <c r="Q105" s="294">
        <f t="shared" ref="Q105:Q109" si="199">+P105*$X$1</f>
        <v>383</v>
      </c>
      <c r="R105" s="114">
        <v>380</v>
      </c>
      <c r="S105" s="313">
        <f t="shared" ref="S105:S108" si="200">+R105*$X$1</f>
        <v>380</v>
      </c>
      <c r="T105" s="103">
        <v>370</v>
      </c>
      <c r="U105" s="313">
        <f t="shared" ref="U105:U108" si="201">+T105*$X$1</f>
        <v>370</v>
      </c>
      <c r="V105" s="103">
        <v>361</v>
      </c>
      <c r="W105" s="313">
        <f t="shared" ref="W105:W108" si="202">+V105*$X$1</f>
        <v>361</v>
      </c>
      <c r="X105" s="763"/>
      <c r="Y105" s="764"/>
      <c r="Z105" s="764"/>
      <c r="AA105" s="765"/>
      <c r="AB105" s="432">
        <v>290</v>
      </c>
    </row>
    <row r="106" spans="1:30" ht="12.6" customHeight="1" x14ac:dyDescent="0.2">
      <c r="A106" s="18"/>
      <c r="B106" s="683" t="s">
        <v>418</v>
      </c>
      <c r="C106" s="712"/>
      <c r="D106" s="712"/>
      <c r="E106" s="712"/>
      <c r="F106" s="293"/>
      <c r="G106" s="766" t="s">
        <v>603</v>
      </c>
      <c r="H106" s="767"/>
      <c r="I106" s="767"/>
      <c r="J106" s="767"/>
      <c r="K106" s="767"/>
      <c r="L106" s="767"/>
      <c r="M106" s="767"/>
      <c r="N106" s="767"/>
      <c r="O106" s="768"/>
      <c r="P106" s="288">
        <v>504</v>
      </c>
      <c r="Q106" s="293">
        <f t="shared" si="199"/>
        <v>504</v>
      </c>
      <c r="R106" s="417">
        <v>501</v>
      </c>
      <c r="S106" s="260">
        <f t="shared" si="200"/>
        <v>501</v>
      </c>
      <c r="T106" s="501">
        <v>488</v>
      </c>
      <c r="U106" s="260">
        <f t="shared" si="201"/>
        <v>488</v>
      </c>
      <c r="V106" s="501">
        <v>479</v>
      </c>
      <c r="W106" s="260">
        <f t="shared" si="202"/>
        <v>479</v>
      </c>
      <c r="X106" s="763"/>
      <c r="Y106" s="764"/>
      <c r="Z106" s="764"/>
      <c r="AA106" s="765"/>
      <c r="AB106" s="432" t="s">
        <v>161</v>
      </c>
    </row>
    <row r="107" spans="1:30" ht="12.6" customHeight="1" x14ac:dyDescent="0.2">
      <c r="A107" s="18"/>
      <c r="B107" s="704" t="s">
        <v>419</v>
      </c>
      <c r="C107" s="705"/>
      <c r="D107" s="705"/>
      <c r="E107" s="705"/>
      <c r="F107" s="294"/>
      <c r="G107" s="766" t="s">
        <v>604</v>
      </c>
      <c r="H107" s="767"/>
      <c r="I107" s="767"/>
      <c r="J107" s="767"/>
      <c r="K107" s="767"/>
      <c r="L107" s="767"/>
      <c r="M107" s="768"/>
      <c r="N107" s="287">
        <v>565</v>
      </c>
      <c r="O107" s="294">
        <f t="shared" ref="O107:O108" si="203">+N107*$X$1</f>
        <v>565</v>
      </c>
      <c r="P107" s="287">
        <v>474</v>
      </c>
      <c r="Q107" s="294">
        <f t="shared" si="199"/>
        <v>474</v>
      </c>
      <c r="R107" s="498">
        <v>471</v>
      </c>
      <c r="S107" s="313">
        <f t="shared" si="200"/>
        <v>471</v>
      </c>
      <c r="T107" s="492">
        <v>462</v>
      </c>
      <c r="U107" s="313">
        <f t="shared" si="201"/>
        <v>462</v>
      </c>
      <c r="V107" s="492">
        <v>453</v>
      </c>
      <c r="W107" s="313">
        <f t="shared" si="202"/>
        <v>453</v>
      </c>
      <c r="X107" s="763"/>
      <c r="Y107" s="764"/>
      <c r="Z107" s="764"/>
      <c r="AA107" s="765"/>
      <c r="AB107" s="432">
        <v>291</v>
      </c>
    </row>
    <row r="108" spans="1:30" ht="12.6" customHeight="1" x14ac:dyDescent="0.2">
      <c r="A108" s="18"/>
      <c r="B108" s="683" t="s">
        <v>420</v>
      </c>
      <c r="C108" s="712"/>
      <c r="D108" s="712"/>
      <c r="E108" s="712"/>
      <c r="F108" s="293"/>
      <c r="G108" s="766" t="s">
        <v>605</v>
      </c>
      <c r="H108" s="767"/>
      <c r="I108" s="767"/>
      <c r="J108" s="767"/>
      <c r="K108" s="767"/>
      <c r="L108" s="767"/>
      <c r="M108" s="768"/>
      <c r="N108" s="288">
        <v>781</v>
      </c>
      <c r="O108" s="293">
        <f t="shared" si="203"/>
        <v>781</v>
      </c>
      <c r="P108" s="288">
        <v>654</v>
      </c>
      <c r="Q108" s="293">
        <f t="shared" si="199"/>
        <v>654</v>
      </c>
      <c r="R108" s="417">
        <v>651</v>
      </c>
      <c r="S108" s="260">
        <f t="shared" si="200"/>
        <v>651</v>
      </c>
      <c r="T108" s="501">
        <v>641</v>
      </c>
      <c r="U108" s="260">
        <f t="shared" si="201"/>
        <v>641</v>
      </c>
      <c r="V108" s="501">
        <v>631</v>
      </c>
      <c r="W108" s="260">
        <f t="shared" si="202"/>
        <v>631</v>
      </c>
      <c r="X108" s="763"/>
      <c r="Y108" s="764"/>
      <c r="Z108" s="764"/>
      <c r="AA108" s="765"/>
      <c r="AB108" s="432" t="s">
        <v>162</v>
      </c>
    </row>
    <row r="109" spans="1:30" ht="12.6" customHeight="1" x14ac:dyDescent="0.2">
      <c r="A109" s="18"/>
      <c r="B109" s="704" t="s">
        <v>163</v>
      </c>
      <c r="C109" s="704"/>
      <c r="D109" s="704"/>
      <c r="E109" s="704"/>
      <c r="F109" s="350">
        <v>253</v>
      </c>
      <c r="G109" s="294">
        <f t="shared" ref="G109:G110" si="204">+F109*$X$1</f>
        <v>253</v>
      </c>
      <c r="H109" s="759" t="s">
        <v>417</v>
      </c>
      <c r="I109" s="760"/>
      <c r="J109" s="760"/>
      <c r="K109" s="760"/>
      <c r="L109" s="740"/>
      <c r="M109" s="741"/>
      <c r="N109" s="114">
        <f>F109+55</f>
        <v>308</v>
      </c>
      <c r="O109" s="328">
        <f>+N109*$X$1</f>
        <v>308</v>
      </c>
      <c r="P109" s="114">
        <f>F109+50</f>
        <v>303</v>
      </c>
      <c r="Q109" s="294">
        <f t="shared" si="199"/>
        <v>303</v>
      </c>
      <c r="R109" s="541"/>
      <c r="S109" s="313"/>
      <c r="T109" s="492"/>
      <c r="U109" s="313"/>
      <c r="V109" s="492"/>
      <c r="W109" s="313"/>
      <c r="X109" s="763"/>
      <c r="Y109" s="764"/>
      <c r="Z109" s="764"/>
      <c r="AA109" s="765"/>
      <c r="AB109" s="197">
        <v>296</v>
      </c>
      <c r="AD109" s="65"/>
    </row>
    <row r="110" spans="1:30" ht="12.6" customHeight="1" x14ac:dyDescent="0.2">
      <c r="A110" s="18"/>
      <c r="B110" s="683" t="s">
        <v>164</v>
      </c>
      <c r="C110" s="683"/>
      <c r="D110" s="683"/>
      <c r="E110" s="683"/>
      <c r="F110" s="315">
        <v>341</v>
      </c>
      <c r="G110" s="293">
        <f t="shared" si="204"/>
        <v>341</v>
      </c>
      <c r="H110" s="761"/>
      <c r="I110" s="762"/>
      <c r="J110" s="762"/>
      <c r="K110" s="762"/>
      <c r="L110" s="744"/>
      <c r="M110" s="745"/>
      <c r="N110" s="297">
        <f>F110+55</f>
        <v>396</v>
      </c>
      <c r="O110" s="314">
        <f>+N110*$X$1</f>
        <v>396</v>
      </c>
      <c r="P110" s="297">
        <f>F110+50</f>
        <v>391</v>
      </c>
      <c r="Q110" s="293">
        <f t="shared" ref="Q110" si="205">+P110*$X$1</f>
        <v>391</v>
      </c>
      <c r="R110" s="216"/>
      <c r="S110" s="260"/>
      <c r="T110" s="537"/>
      <c r="U110" s="260"/>
      <c r="V110" s="537"/>
      <c r="W110" s="260"/>
      <c r="X110" s="763"/>
      <c r="Y110" s="764"/>
      <c r="Z110" s="764"/>
      <c r="AA110" s="765"/>
      <c r="AB110" s="197">
        <v>297</v>
      </c>
    </row>
    <row r="111" spans="1:30" ht="12.6" customHeight="1" x14ac:dyDescent="0.2">
      <c r="A111" s="18"/>
      <c r="B111" s="706" t="s">
        <v>362</v>
      </c>
      <c r="C111" s="713"/>
      <c r="D111" s="713"/>
      <c r="E111" s="713"/>
      <c r="F111" s="328"/>
      <c r="G111" s="328"/>
      <c r="H111" s="94"/>
      <c r="I111" s="920" t="s">
        <v>363</v>
      </c>
      <c r="J111" s="921"/>
      <c r="K111" s="921"/>
      <c r="L111" s="921"/>
      <c r="M111" s="921"/>
      <c r="N111" s="921"/>
      <c r="O111" s="921"/>
      <c r="P111" s="921"/>
      <c r="Q111" s="921"/>
      <c r="R111" s="921"/>
      <c r="S111" s="921"/>
      <c r="T111" s="921"/>
      <c r="U111" s="921"/>
      <c r="V111" s="921"/>
      <c r="W111" s="922"/>
      <c r="X111" s="750"/>
      <c r="Y111" s="716"/>
      <c r="Z111" s="716"/>
      <c r="AA111" s="717"/>
      <c r="AB111" s="432"/>
    </row>
    <row r="112" spans="1:30" ht="12.6" customHeight="1" x14ac:dyDescent="0.2">
      <c r="A112" s="18"/>
      <c r="B112" s="937" t="s">
        <v>364</v>
      </c>
      <c r="C112" s="814"/>
      <c r="D112" s="814"/>
      <c r="E112" s="814"/>
      <c r="F112" s="314"/>
      <c r="G112" s="362"/>
      <c r="H112" s="119"/>
      <c r="I112" s="923"/>
      <c r="J112" s="924"/>
      <c r="K112" s="924"/>
      <c r="L112" s="925"/>
      <c r="M112" s="925"/>
      <c r="N112" s="925"/>
      <c r="O112" s="924"/>
      <c r="P112" s="924"/>
      <c r="Q112" s="924"/>
      <c r="R112" s="924"/>
      <c r="S112" s="924"/>
      <c r="T112" s="925"/>
      <c r="U112" s="925"/>
      <c r="V112" s="925"/>
      <c r="W112" s="926"/>
      <c r="X112" s="750"/>
      <c r="Y112" s="716"/>
      <c r="Z112" s="716"/>
      <c r="AA112" s="717"/>
      <c r="AB112" s="432"/>
    </row>
    <row r="113" spans="1:28" ht="12.6" customHeight="1" x14ac:dyDescent="0.2">
      <c r="A113" s="18"/>
      <c r="B113" s="704" t="s">
        <v>798</v>
      </c>
      <c r="C113" s="705"/>
      <c r="D113" s="705"/>
      <c r="E113" s="705"/>
      <c r="F113" s="366"/>
      <c r="G113" s="766" t="s">
        <v>416</v>
      </c>
      <c r="H113" s="767"/>
      <c r="I113" s="767"/>
      <c r="J113" s="767"/>
      <c r="K113" s="768"/>
      <c r="L113" s="500">
        <v>1565</v>
      </c>
      <c r="M113" s="294">
        <f t="shared" ref="M113:O126" si="206">+L113*$X$1</f>
        <v>1565</v>
      </c>
      <c r="N113" s="125">
        <v>1333</v>
      </c>
      <c r="O113" s="294">
        <f t="shared" si="206"/>
        <v>1333</v>
      </c>
      <c r="P113" s="405">
        <v>1110</v>
      </c>
      <c r="Q113" s="294">
        <f t="shared" ref="Q113:Q125" si="207">+P113*$X$1</f>
        <v>1110</v>
      </c>
      <c r="R113" s="492">
        <v>1105</v>
      </c>
      <c r="S113" s="294">
        <f t="shared" ref="S113:S126" si="208">+R113*$X$1</f>
        <v>1105</v>
      </c>
      <c r="T113" s="492">
        <v>1093</v>
      </c>
      <c r="U113" s="328">
        <f t="shared" ref="U113:U123" si="209">+T113*$X$1</f>
        <v>1093</v>
      </c>
      <c r="V113" s="492">
        <v>827</v>
      </c>
      <c r="W113" s="328">
        <f t="shared" ref="W113:W123" si="210">+V113*$X$1</f>
        <v>827</v>
      </c>
      <c r="X113" s="763"/>
      <c r="Y113" s="764"/>
      <c r="Z113" s="764"/>
      <c r="AA113" s="765"/>
      <c r="AB113" s="432">
        <v>301</v>
      </c>
    </row>
    <row r="114" spans="1:28" ht="12.6" customHeight="1" x14ac:dyDescent="0.2">
      <c r="A114" s="18"/>
      <c r="B114" s="683" t="s">
        <v>799</v>
      </c>
      <c r="C114" s="712"/>
      <c r="D114" s="712"/>
      <c r="E114" s="712"/>
      <c r="F114" s="367"/>
      <c r="G114" s="766" t="s">
        <v>416</v>
      </c>
      <c r="H114" s="767"/>
      <c r="I114" s="767"/>
      <c r="J114" s="767"/>
      <c r="K114" s="768"/>
      <c r="L114" s="311">
        <v>1722</v>
      </c>
      <c r="M114" s="504">
        <f t="shared" si="206"/>
        <v>1722</v>
      </c>
      <c r="N114" s="417">
        <v>1468</v>
      </c>
      <c r="O114" s="504">
        <f t="shared" si="206"/>
        <v>1468</v>
      </c>
      <c r="P114" s="312">
        <v>1221</v>
      </c>
      <c r="Q114" s="293">
        <f t="shared" si="207"/>
        <v>1221</v>
      </c>
      <c r="R114" s="119">
        <v>1217</v>
      </c>
      <c r="S114" s="504">
        <f t="shared" si="208"/>
        <v>1217</v>
      </c>
      <c r="T114" s="501">
        <v>1205</v>
      </c>
      <c r="U114" s="314">
        <f t="shared" si="209"/>
        <v>1205</v>
      </c>
      <c r="V114" s="501">
        <v>949</v>
      </c>
      <c r="W114" s="314">
        <f t="shared" si="210"/>
        <v>949</v>
      </c>
      <c r="X114" s="763"/>
      <c r="Y114" s="764"/>
      <c r="Z114" s="764"/>
      <c r="AA114" s="765"/>
      <c r="AB114" s="432" t="s">
        <v>165</v>
      </c>
    </row>
    <row r="115" spans="1:28" ht="12.6" customHeight="1" x14ac:dyDescent="0.2">
      <c r="A115" s="18"/>
      <c r="B115" s="704" t="s">
        <v>800</v>
      </c>
      <c r="C115" s="705"/>
      <c r="D115" s="705"/>
      <c r="E115" s="705"/>
      <c r="F115" s="366"/>
      <c r="G115" s="766" t="s">
        <v>416</v>
      </c>
      <c r="H115" s="767"/>
      <c r="I115" s="767"/>
      <c r="J115" s="767"/>
      <c r="K115" s="768"/>
      <c r="L115" s="500">
        <v>4142</v>
      </c>
      <c r="M115" s="294">
        <f t="shared" ref="M115" si="211">+L115*$X$1</f>
        <v>4142</v>
      </c>
      <c r="N115" s="125">
        <v>3532</v>
      </c>
      <c r="O115" s="294">
        <f t="shared" ref="O115" si="212">+N115*$X$1</f>
        <v>3532</v>
      </c>
      <c r="P115" s="405">
        <v>3227</v>
      </c>
      <c r="Q115" s="294">
        <f t="shared" ref="Q115" si="213">+P115*$X$1</f>
        <v>3227</v>
      </c>
      <c r="R115" s="492">
        <v>3221</v>
      </c>
      <c r="S115" s="294">
        <f t="shared" ref="S115" si="214">+R115*$X$1</f>
        <v>3221</v>
      </c>
      <c r="T115" s="492">
        <v>3197</v>
      </c>
      <c r="U115" s="328">
        <f t="shared" ref="U115" si="215">+T115*$X$1</f>
        <v>3197</v>
      </c>
      <c r="V115" s="492">
        <v>2811</v>
      </c>
      <c r="W115" s="328">
        <f t="shared" ref="W115" si="216">+V115*$X$1</f>
        <v>2811</v>
      </c>
      <c r="X115" s="763"/>
      <c r="Y115" s="764"/>
      <c r="Z115" s="764"/>
      <c r="AA115" s="765"/>
      <c r="AB115" s="432" t="s">
        <v>166</v>
      </c>
    </row>
    <row r="116" spans="1:28" ht="12.6" customHeight="1" x14ac:dyDescent="0.2">
      <c r="A116" s="18"/>
      <c r="B116" s="683" t="s">
        <v>824</v>
      </c>
      <c r="C116" s="927"/>
      <c r="D116" s="927"/>
      <c r="E116" s="927"/>
      <c r="F116" s="367"/>
      <c r="G116" s="766" t="s">
        <v>416</v>
      </c>
      <c r="H116" s="767"/>
      <c r="I116" s="767"/>
      <c r="J116" s="767"/>
      <c r="K116" s="768"/>
      <c r="L116" s="500">
        <v>2895</v>
      </c>
      <c r="M116" s="293">
        <f t="shared" ref="M116" si="217">+L116*$X$1</f>
        <v>2895</v>
      </c>
      <c r="N116" s="72">
        <v>2467</v>
      </c>
      <c r="O116" s="293">
        <f t="shared" ref="O116" si="218">+N116*$X$1</f>
        <v>2467</v>
      </c>
      <c r="P116" s="330">
        <v>2270</v>
      </c>
      <c r="Q116" s="293">
        <f t="shared" ref="Q116" si="219">+P116*$X$1</f>
        <v>2270</v>
      </c>
      <c r="R116" s="501">
        <v>2250</v>
      </c>
      <c r="S116" s="293">
        <f t="shared" ref="S116" si="220">+R116*$X$1</f>
        <v>2250</v>
      </c>
      <c r="T116" s="501">
        <v>2232</v>
      </c>
      <c r="U116" s="293">
        <f t="shared" ref="U116" si="221">+T116*$X$1</f>
        <v>2232</v>
      </c>
      <c r="V116" s="501">
        <v>1851</v>
      </c>
      <c r="W116" s="293">
        <f t="shared" ref="W116" si="222">+V116*$X$1</f>
        <v>1851</v>
      </c>
      <c r="X116" s="763"/>
      <c r="Y116" s="764"/>
      <c r="Z116" s="764"/>
      <c r="AA116" s="765"/>
      <c r="AB116" s="432" t="s">
        <v>827</v>
      </c>
    </row>
    <row r="117" spans="1:28" ht="12.6" customHeight="1" x14ac:dyDescent="0.2">
      <c r="A117" s="18"/>
      <c r="B117" s="708" t="s">
        <v>826</v>
      </c>
      <c r="C117" s="788"/>
      <c r="D117" s="788"/>
      <c r="E117" s="788"/>
      <c r="F117" s="366"/>
      <c r="G117" s="766" t="s">
        <v>416</v>
      </c>
      <c r="H117" s="767"/>
      <c r="I117" s="767"/>
      <c r="J117" s="767"/>
      <c r="K117" s="768"/>
      <c r="L117" s="500">
        <v>2258</v>
      </c>
      <c r="M117" s="294">
        <f t="shared" ref="M117" si="223">+L117*$X$1</f>
        <v>2258</v>
      </c>
      <c r="N117" s="90">
        <v>1922</v>
      </c>
      <c r="O117" s="294">
        <f t="shared" ref="O117" si="224">+N117*$X$1</f>
        <v>1922</v>
      </c>
      <c r="P117" s="287">
        <v>1614</v>
      </c>
      <c r="Q117" s="294">
        <f t="shared" ref="Q117" si="225">+P117*$X$1</f>
        <v>1614</v>
      </c>
      <c r="R117" s="492">
        <v>1594</v>
      </c>
      <c r="S117" s="294">
        <f t="shared" ref="S117" si="226">+R117*$X$1</f>
        <v>1594</v>
      </c>
      <c r="T117" s="492">
        <v>1579</v>
      </c>
      <c r="U117" s="294">
        <f t="shared" ref="U117" si="227">+T117*$X$1</f>
        <v>1579</v>
      </c>
      <c r="V117" s="492">
        <v>1201</v>
      </c>
      <c r="W117" s="294">
        <f t="shared" ref="W117" si="228">+V117*$X$1</f>
        <v>1201</v>
      </c>
      <c r="X117" s="763"/>
      <c r="Y117" s="764"/>
      <c r="Z117" s="764"/>
      <c r="AA117" s="765"/>
      <c r="AB117" s="432" t="s">
        <v>830</v>
      </c>
    </row>
    <row r="118" spans="1:28" ht="12.6" customHeight="1" x14ac:dyDescent="0.2">
      <c r="A118" s="18"/>
      <c r="B118" s="683" t="s">
        <v>421</v>
      </c>
      <c r="C118" s="712"/>
      <c r="D118" s="712"/>
      <c r="E118" s="712"/>
      <c r="F118" s="356"/>
      <c r="G118" s="766" t="s">
        <v>415</v>
      </c>
      <c r="H118" s="767"/>
      <c r="I118" s="767"/>
      <c r="J118" s="767"/>
      <c r="K118" s="768"/>
      <c r="L118" s="502">
        <v>1060</v>
      </c>
      <c r="M118" s="293">
        <f t="shared" si="206"/>
        <v>1060</v>
      </c>
      <c r="N118" s="72">
        <v>901</v>
      </c>
      <c r="O118" s="293">
        <f t="shared" si="206"/>
        <v>901</v>
      </c>
      <c r="P118" s="330">
        <v>751</v>
      </c>
      <c r="Q118" s="293">
        <f t="shared" si="207"/>
        <v>751</v>
      </c>
      <c r="R118" s="501">
        <v>747</v>
      </c>
      <c r="S118" s="293">
        <f t="shared" si="208"/>
        <v>747</v>
      </c>
      <c r="T118" s="501">
        <v>737</v>
      </c>
      <c r="U118" s="293">
        <f t="shared" si="209"/>
        <v>737</v>
      </c>
      <c r="V118" s="501">
        <v>621</v>
      </c>
      <c r="W118" s="293">
        <f t="shared" si="210"/>
        <v>621</v>
      </c>
      <c r="X118" s="763"/>
      <c r="Y118" s="764"/>
      <c r="Z118" s="764"/>
      <c r="AA118" s="765"/>
      <c r="AB118" s="432">
        <v>302</v>
      </c>
    </row>
    <row r="119" spans="1:28" ht="12.6" customHeight="1" x14ac:dyDescent="0.2">
      <c r="A119" s="18"/>
      <c r="B119" s="704" t="s">
        <v>422</v>
      </c>
      <c r="C119" s="705"/>
      <c r="D119" s="705"/>
      <c r="E119" s="705"/>
      <c r="F119" s="294"/>
      <c r="G119" s="766" t="s">
        <v>415</v>
      </c>
      <c r="H119" s="767"/>
      <c r="I119" s="767"/>
      <c r="J119" s="767"/>
      <c r="K119" s="768"/>
      <c r="L119" s="500">
        <v>1215</v>
      </c>
      <c r="M119" s="294">
        <f t="shared" si="206"/>
        <v>1215</v>
      </c>
      <c r="N119" s="90">
        <v>1036</v>
      </c>
      <c r="O119" s="294">
        <f t="shared" si="206"/>
        <v>1036</v>
      </c>
      <c r="P119" s="287">
        <v>863</v>
      </c>
      <c r="Q119" s="294">
        <f t="shared" si="207"/>
        <v>863</v>
      </c>
      <c r="R119" s="492">
        <v>859</v>
      </c>
      <c r="S119" s="294">
        <f t="shared" si="208"/>
        <v>859</v>
      </c>
      <c r="T119" s="492">
        <v>848</v>
      </c>
      <c r="U119" s="294">
        <f t="shared" si="209"/>
        <v>848</v>
      </c>
      <c r="V119" s="492">
        <v>744</v>
      </c>
      <c r="W119" s="294">
        <f t="shared" si="210"/>
        <v>744</v>
      </c>
      <c r="X119" s="763"/>
      <c r="Y119" s="764"/>
      <c r="Z119" s="764"/>
      <c r="AA119" s="765"/>
      <c r="AB119" s="432" t="s">
        <v>167</v>
      </c>
    </row>
    <row r="120" spans="1:28" ht="12.6" customHeight="1" x14ac:dyDescent="0.2">
      <c r="A120" s="18"/>
      <c r="B120" s="683" t="s">
        <v>385</v>
      </c>
      <c r="C120" s="712"/>
      <c r="D120" s="712"/>
      <c r="E120" s="712"/>
      <c r="F120" s="356"/>
      <c r="G120" s="766" t="s">
        <v>415</v>
      </c>
      <c r="H120" s="767"/>
      <c r="I120" s="767"/>
      <c r="J120" s="767"/>
      <c r="K120" s="768"/>
      <c r="L120" s="502">
        <v>3635</v>
      </c>
      <c r="M120" s="293">
        <f t="shared" ref="M120" si="229">+L120*$X$1</f>
        <v>3635</v>
      </c>
      <c r="N120" s="72">
        <v>3100</v>
      </c>
      <c r="O120" s="293">
        <f t="shared" ref="O120" si="230">+N120*$X$1</f>
        <v>3100</v>
      </c>
      <c r="P120" s="330">
        <v>2833</v>
      </c>
      <c r="Q120" s="293">
        <f t="shared" ref="Q120" si="231">+P120*$X$1</f>
        <v>2833</v>
      </c>
      <c r="R120" s="501">
        <v>2827</v>
      </c>
      <c r="S120" s="293">
        <f t="shared" ref="S120" si="232">+R120*$X$1</f>
        <v>2827</v>
      </c>
      <c r="T120" s="501">
        <v>2806</v>
      </c>
      <c r="U120" s="293">
        <f t="shared" ref="U120" si="233">+T120*$X$1</f>
        <v>2806</v>
      </c>
      <c r="V120" s="501">
        <v>2606</v>
      </c>
      <c r="W120" s="293">
        <f t="shared" ref="W120" si="234">+V120*$X$1</f>
        <v>2606</v>
      </c>
      <c r="X120" s="763"/>
      <c r="Y120" s="764"/>
      <c r="Z120" s="764"/>
      <c r="AA120" s="765"/>
      <c r="AB120" s="432" t="s">
        <v>168</v>
      </c>
    </row>
    <row r="121" spans="1:28" ht="12.6" customHeight="1" x14ac:dyDescent="0.2">
      <c r="A121" s="18"/>
      <c r="B121" s="704" t="s">
        <v>825</v>
      </c>
      <c r="C121" s="928"/>
      <c r="D121" s="928"/>
      <c r="E121" s="928"/>
      <c r="F121" s="355"/>
      <c r="G121" s="766" t="s">
        <v>415</v>
      </c>
      <c r="H121" s="767"/>
      <c r="I121" s="767"/>
      <c r="J121" s="767"/>
      <c r="K121" s="768"/>
      <c r="L121" s="500">
        <v>2390</v>
      </c>
      <c r="M121" s="294">
        <f t="shared" ref="M121" si="235">+L121*$X$1</f>
        <v>2390</v>
      </c>
      <c r="N121" s="90">
        <v>2035</v>
      </c>
      <c r="O121" s="294">
        <f t="shared" ref="O121" si="236">+N121*$X$1</f>
        <v>2035</v>
      </c>
      <c r="P121" s="287">
        <v>1875</v>
      </c>
      <c r="Q121" s="294">
        <f t="shared" ref="Q121" si="237">+P121*$X$1</f>
        <v>1875</v>
      </c>
      <c r="R121" s="492">
        <v>1855</v>
      </c>
      <c r="S121" s="294">
        <f t="shared" ref="S121" si="238">+R121*$X$1</f>
        <v>1855</v>
      </c>
      <c r="T121" s="492">
        <v>1840</v>
      </c>
      <c r="U121" s="294">
        <f t="shared" ref="U121" si="239">+T121*$X$1</f>
        <v>1840</v>
      </c>
      <c r="V121" s="492">
        <v>1645</v>
      </c>
      <c r="W121" s="294">
        <f t="shared" ref="W121" si="240">+V121*$X$1</f>
        <v>1645</v>
      </c>
      <c r="X121" s="763"/>
      <c r="Y121" s="764"/>
      <c r="Z121" s="764"/>
      <c r="AA121" s="765"/>
      <c r="AB121" s="432" t="s">
        <v>828</v>
      </c>
    </row>
    <row r="122" spans="1:28" ht="12.6" customHeight="1" x14ac:dyDescent="0.2">
      <c r="A122" s="18"/>
      <c r="B122" s="708" t="s">
        <v>829</v>
      </c>
      <c r="C122" s="788"/>
      <c r="D122" s="788"/>
      <c r="E122" s="788"/>
      <c r="F122" s="356"/>
      <c r="G122" s="766" t="s">
        <v>415</v>
      </c>
      <c r="H122" s="767"/>
      <c r="I122" s="767"/>
      <c r="J122" s="767"/>
      <c r="K122" s="768"/>
      <c r="L122" s="502">
        <v>1701</v>
      </c>
      <c r="M122" s="293">
        <f t="shared" ref="M122" si="241">+L122*$X$1</f>
        <v>1701</v>
      </c>
      <c r="N122" s="72">
        <v>1447</v>
      </c>
      <c r="O122" s="293">
        <f t="shared" ref="O122" si="242">+N122*$X$1</f>
        <v>1447</v>
      </c>
      <c r="P122" s="330">
        <v>1220</v>
      </c>
      <c r="Q122" s="293">
        <f t="shared" ref="Q122" si="243">+P122*$X$1</f>
        <v>1220</v>
      </c>
      <c r="R122" s="501">
        <v>1200</v>
      </c>
      <c r="S122" s="293">
        <f t="shared" ref="S122" si="244">+R122*$X$1</f>
        <v>1200</v>
      </c>
      <c r="T122" s="598">
        <v>1188</v>
      </c>
      <c r="U122" s="293">
        <f t="shared" ref="U122" si="245">+T122*$X$1</f>
        <v>1188</v>
      </c>
      <c r="V122" s="598">
        <v>996</v>
      </c>
      <c r="W122" s="293">
        <f t="shared" ref="W122" si="246">+V122*$X$1</f>
        <v>996</v>
      </c>
      <c r="X122" s="763"/>
      <c r="Y122" s="764"/>
      <c r="Z122" s="764"/>
      <c r="AA122" s="765"/>
      <c r="AB122" s="432" t="s">
        <v>832</v>
      </c>
    </row>
    <row r="123" spans="1:28" ht="12.6" customHeight="1" x14ac:dyDescent="0.2">
      <c r="A123" s="18"/>
      <c r="B123" s="706" t="s">
        <v>656</v>
      </c>
      <c r="C123" s="713"/>
      <c r="D123" s="713"/>
      <c r="E123" s="713"/>
      <c r="F123" s="328"/>
      <c r="G123" s="766" t="s">
        <v>416</v>
      </c>
      <c r="H123" s="767"/>
      <c r="I123" s="767"/>
      <c r="J123" s="767"/>
      <c r="K123" s="768"/>
      <c r="L123" s="500">
        <v>1717</v>
      </c>
      <c r="M123" s="294">
        <f t="shared" si="206"/>
        <v>1717</v>
      </c>
      <c r="N123" s="418">
        <v>1465</v>
      </c>
      <c r="O123" s="294">
        <f t="shared" si="206"/>
        <v>1465</v>
      </c>
      <c r="P123" s="405">
        <v>1220</v>
      </c>
      <c r="Q123" s="294">
        <f t="shared" si="207"/>
        <v>1220</v>
      </c>
      <c r="R123" s="492">
        <v>1215</v>
      </c>
      <c r="S123" s="294">
        <f t="shared" si="208"/>
        <v>1215</v>
      </c>
      <c r="T123" s="492">
        <v>1201</v>
      </c>
      <c r="U123" s="294">
        <f t="shared" si="209"/>
        <v>1201</v>
      </c>
      <c r="V123" s="492">
        <v>1189</v>
      </c>
      <c r="W123" s="294">
        <f t="shared" si="210"/>
        <v>1189</v>
      </c>
      <c r="X123" s="763"/>
      <c r="Y123" s="764"/>
      <c r="Z123" s="764"/>
      <c r="AA123" s="765"/>
      <c r="AB123" s="432">
        <v>303</v>
      </c>
    </row>
    <row r="124" spans="1:28" ht="12.6" customHeight="1" x14ac:dyDescent="0.2">
      <c r="A124" s="18"/>
      <c r="B124" s="708" t="s">
        <v>881</v>
      </c>
      <c r="C124" s="709"/>
      <c r="D124" s="709"/>
      <c r="E124" s="709"/>
      <c r="F124" s="392">
        <v>1970</v>
      </c>
      <c r="G124" s="293">
        <f>+F124*$X$1</f>
        <v>1970</v>
      </c>
      <c r="H124" s="72"/>
      <c r="I124" s="293"/>
      <c r="J124" s="598">
        <f>F124+180</f>
        <v>2150</v>
      </c>
      <c r="K124" s="293">
        <f t="shared" ref="K124" si="247">+J124*$X$1</f>
        <v>2150</v>
      </c>
      <c r="L124" s="598">
        <f t="shared" ref="L124" si="248">F124+120</f>
        <v>2090</v>
      </c>
      <c r="M124" s="293">
        <f>+L124*$X$1</f>
        <v>2090</v>
      </c>
      <c r="N124" s="598">
        <f>F124+63</f>
        <v>2033</v>
      </c>
      <c r="O124" s="293">
        <f t="shared" si="206"/>
        <v>2033</v>
      </c>
      <c r="P124" s="598">
        <f t="shared" ref="P124" si="249">F124+54</f>
        <v>2024</v>
      </c>
      <c r="Q124" s="293">
        <f>+P124*$X$1</f>
        <v>2024</v>
      </c>
      <c r="R124" s="598">
        <f>F124+45</f>
        <v>2015</v>
      </c>
      <c r="S124" s="293">
        <f>+R124*$X$1</f>
        <v>2015</v>
      </c>
      <c r="T124" s="598">
        <f>F124+37</f>
        <v>2007</v>
      </c>
      <c r="U124" s="293">
        <f>+T124*$X$1</f>
        <v>2007</v>
      </c>
      <c r="V124" s="598">
        <f>F124+32</f>
        <v>2002</v>
      </c>
      <c r="W124" s="293">
        <f>+V124*$X$1</f>
        <v>2002</v>
      </c>
      <c r="X124" s="750"/>
      <c r="Y124" s="716"/>
      <c r="Z124" s="716"/>
      <c r="AA124" s="717"/>
      <c r="AB124" s="432">
        <v>304</v>
      </c>
    </row>
    <row r="125" spans="1:28" ht="12.6" customHeight="1" x14ac:dyDescent="0.2">
      <c r="A125" s="18"/>
      <c r="B125" s="704" t="s">
        <v>797</v>
      </c>
      <c r="C125" s="705"/>
      <c r="D125" s="705"/>
      <c r="E125" s="705"/>
      <c r="F125" s="339">
        <v>2270</v>
      </c>
      <c r="G125" s="294">
        <f t="shared" ref="G125" si="250">+F125*$X$1</f>
        <v>2270</v>
      </c>
      <c r="H125" s="492"/>
      <c r="I125" s="294"/>
      <c r="J125" s="492"/>
      <c r="K125" s="294"/>
      <c r="L125" s="492">
        <f>F125+90</f>
        <v>2360</v>
      </c>
      <c r="M125" s="294">
        <f t="shared" si="206"/>
        <v>2360</v>
      </c>
      <c r="N125" s="492">
        <f>F125+55</f>
        <v>2325</v>
      </c>
      <c r="O125" s="294">
        <f>+N125*$X$1</f>
        <v>2325</v>
      </c>
      <c r="P125" s="492">
        <f>F125+49</f>
        <v>2319</v>
      </c>
      <c r="Q125" s="294">
        <f t="shared" si="207"/>
        <v>2319</v>
      </c>
      <c r="R125" s="492">
        <f>F125+42</f>
        <v>2312</v>
      </c>
      <c r="S125" s="294">
        <f>+R125*$X$1</f>
        <v>2312</v>
      </c>
      <c r="T125" s="492">
        <f>F125+36</f>
        <v>2306</v>
      </c>
      <c r="U125" s="294">
        <f t="shared" ref="U125:U130" si="251">+T125*$X$1</f>
        <v>2306</v>
      </c>
      <c r="V125" s="492">
        <f>F125+32</f>
        <v>2302</v>
      </c>
      <c r="W125" s="294">
        <f t="shared" ref="W125:W130" si="252">+V125*$X$1</f>
        <v>2302</v>
      </c>
      <c r="X125" s="750"/>
      <c r="Y125" s="716"/>
      <c r="Z125" s="716"/>
      <c r="AA125" s="717"/>
      <c r="AB125" s="432">
        <v>307</v>
      </c>
    </row>
    <row r="126" spans="1:28" ht="12.6" customHeight="1" x14ac:dyDescent="0.2">
      <c r="A126" s="18"/>
      <c r="B126" s="683" t="s">
        <v>564</v>
      </c>
      <c r="C126" s="712"/>
      <c r="D126" s="712"/>
      <c r="E126" s="712"/>
      <c r="F126" s="314">
        <v>1340</v>
      </c>
      <c r="G126" s="293">
        <f>+F126*$X$1</f>
        <v>1340</v>
      </c>
      <c r="H126" s="286"/>
      <c r="I126" s="353"/>
      <c r="J126" s="556"/>
      <c r="K126" s="293"/>
      <c r="L126" s="556">
        <v>2595</v>
      </c>
      <c r="M126" s="293">
        <f>+L126*$X$1</f>
        <v>2595</v>
      </c>
      <c r="N126" s="556">
        <v>2162</v>
      </c>
      <c r="O126" s="293">
        <f t="shared" si="206"/>
        <v>2162</v>
      </c>
      <c r="P126" s="330">
        <v>2001</v>
      </c>
      <c r="Q126" s="293">
        <f t="shared" ref="Q126" si="253">+P126*$X$1</f>
        <v>2001</v>
      </c>
      <c r="R126" s="556">
        <v>1853</v>
      </c>
      <c r="S126" s="293">
        <f t="shared" si="208"/>
        <v>1853</v>
      </c>
      <c r="T126" s="556">
        <v>1737</v>
      </c>
      <c r="U126" s="293">
        <f t="shared" si="251"/>
        <v>1737</v>
      </c>
      <c r="V126" s="556">
        <v>1664</v>
      </c>
      <c r="W126" s="293">
        <f t="shared" si="252"/>
        <v>1664</v>
      </c>
      <c r="X126" s="750"/>
      <c r="Y126" s="716"/>
      <c r="Z126" s="716"/>
      <c r="AA126" s="717"/>
      <c r="AB126" s="432">
        <v>308</v>
      </c>
    </row>
    <row r="127" spans="1:28" ht="12.6" customHeight="1" x14ac:dyDescent="0.2">
      <c r="A127" s="18"/>
      <c r="B127" s="704" t="s">
        <v>563</v>
      </c>
      <c r="C127" s="705"/>
      <c r="D127" s="705"/>
      <c r="E127" s="705"/>
      <c r="F127" s="328">
        <v>1340</v>
      </c>
      <c r="G127" s="294">
        <f>+F127*$X$1</f>
        <v>1340</v>
      </c>
      <c r="H127" s="285"/>
      <c r="I127" s="354"/>
      <c r="J127" s="492"/>
      <c r="K127" s="294"/>
      <c r="L127" s="492">
        <v>2595</v>
      </c>
      <c r="M127" s="294">
        <f>+L127*$X$1</f>
        <v>2595</v>
      </c>
      <c r="N127" s="492">
        <v>2162</v>
      </c>
      <c r="O127" s="294">
        <f t="shared" ref="O127" si="254">+N127*$X$1</f>
        <v>2162</v>
      </c>
      <c r="P127" s="287">
        <v>2001</v>
      </c>
      <c r="Q127" s="294">
        <f t="shared" ref="Q127:Q128" si="255">+P127*$X$1</f>
        <v>2001</v>
      </c>
      <c r="R127" s="492">
        <v>1853</v>
      </c>
      <c r="S127" s="294">
        <f t="shared" ref="S127" si="256">+R127*$X$1</f>
        <v>1853</v>
      </c>
      <c r="T127" s="492">
        <v>1737</v>
      </c>
      <c r="U127" s="294">
        <f t="shared" si="251"/>
        <v>1737</v>
      </c>
      <c r="V127" s="492">
        <v>1664</v>
      </c>
      <c r="W127" s="294">
        <f t="shared" si="252"/>
        <v>1664</v>
      </c>
      <c r="X127" s="750"/>
      <c r="Y127" s="716"/>
      <c r="Z127" s="716"/>
      <c r="AA127" s="717"/>
      <c r="AB127" s="432">
        <v>309</v>
      </c>
    </row>
    <row r="128" spans="1:28" ht="12.6" customHeight="1" x14ac:dyDescent="0.2">
      <c r="A128" s="18"/>
      <c r="B128" s="708" t="s">
        <v>897</v>
      </c>
      <c r="C128" s="709"/>
      <c r="D128" s="709"/>
      <c r="E128" s="709"/>
      <c r="F128" s="392">
        <f>0.78*X2</f>
        <v>808.86</v>
      </c>
      <c r="G128" s="293">
        <f>+F128*$X$1</f>
        <v>808.86</v>
      </c>
      <c r="H128" s="573"/>
      <c r="I128" s="293"/>
      <c r="J128" s="573">
        <f>F128+120</f>
        <v>928.86</v>
      </c>
      <c r="K128" s="293">
        <f t="shared" ref="K128" si="257">+J128*$X$1</f>
        <v>928.86</v>
      </c>
      <c r="L128" s="573">
        <f>F128+90</f>
        <v>898.86</v>
      </c>
      <c r="M128" s="293">
        <f t="shared" ref="M128" si="258">+L128*$X$1</f>
        <v>898.86</v>
      </c>
      <c r="N128" s="573">
        <f>F128+55</f>
        <v>863.86</v>
      </c>
      <c r="O128" s="293">
        <f>+N128*$X$1</f>
        <v>863.86</v>
      </c>
      <c r="P128" s="573">
        <f>F128+49</f>
        <v>857.86</v>
      </c>
      <c r="Q128" s="293">
        <f t="shared" si="255"/>
        <v>857.86</v>
      </c>
      <c r="R128" s="573">
        <f>F128+42</f>
        <v>850.86</v>
      </c>
      <c r="S128" s="293">
        <f>+R128*$X$1</f>
        <v>850.86</v>
      </c>
      <c r="T128" s="573">
        <f>F128+36</f>
        <v>844.86</v>
      </c>
      <c r="U128" s="293">
        <f t="shared" si="251"/>
        <v>844.86</v>
      </c>
      <c r="V128" s="573">
        <f>F128+32</f>
        <v>840.86</v>
      </c>
      <c r="W128" s="293">
        <f t="shared" si="252"/>
        <v>840.86</v>
      </c>
      <c r="X128" s="750"/>
      <c r="Y128" s="716"/>
      <c r="Z128" s="716"/>
      <c r="AA128" s="717"/>
      <c r="AB128" s="432">
        <v>310</v>
      </c>
    </row>
    <row r="129" spans="1:33" ht="12.6" customHeight="1" x14ac:dyDescent="0.2">
      <c r="A129" s="18"/>
      <c r="B129" s="708" t="s">
        <v>839</v>
      </c>
      <c r="C129" s="709"/>
      <c r="D129" s="709"/>
      <c r="E129" s="709"/>
      <c r="F129" s="393">
        <f>0.85*X2</f>
        <v>881.44999999999993</v>
      </c>
      <c r="G129" s="294">
        <f>+F129*$X$1</f>
        <v>881.44999999999993</v>
      </c>
      <c r="H129" s="492"/>
      <c r="I129" s="294"/>
      <c r="J129" s="492">
        <f>F129+120</f>
        <v>1001.4499999999999</v>
      </c>
      <c r="K129" s="294">
        <f t="shared" ref="K129" si="259">+J129*$X$1</f>
        <v>1001.4499999999999</v>
      </c>
      <c r="L129" s="492">
        <f>F129+90</f>
        <v>971.44999999999993</v>
      </c>
      <c r="M129" s="294">
        <f t="shared" ref="M129:M130" si="260">+L129*$X$1</f>
        <v>971.44999999999993</v>
      </c>
      <c r="N129" s="492">
        <f>F129+55</f>
        <v>936.44999999999993</v>
      </c>
      <c r="O129" s="294">
        <f>+N129*$X$1</f>
        <v>936.44999999999993</v>
      </c>
      <c r="P129" s="492">
        <f>F129+49</f>
        <v>930.44999999999993</v>
      </c>
      <c r="Q129" s="294">
        <f t="shared" ref="Q129:Q130" si="261">+P129*$X$1</f>
        <v>930.44999999999993</v>
      </c>
      <c r="R129" s="492">
        <f>F129+42</f>
        <v>923.44999999999993</v>
      </c>
      <c r="S129" s="294">
        <f>+R129*$X$1</f>
        <v>923.44999999999993</v>
      </c>
      <c r="T129" s="492">
        <f>F129+36</f>
        <v>917.44999999999993</v>
      </c>
      <c r="U129" s="294">
        <f t="shared" si="251"/>
        <v>917.44999999999993</v>
      </c>
      <c r="V129" s="492">
        <f>F129+32</f>
        <v>913.44999999999993</v>
      </c>
      <c r="W129" s="294">
        <f t="shared" si="252"/>
        <v>913.44999999999993</v>
      </c>
      <c r="X129" s="750"/>
      <c r="Y129" s="716"/>
      <c r="Z129" s="716"/>
      <c r="AA129" s="717"/>
      <c r="AB129" s="432">
        <v>311</v>
      </c>
    </row>
    <row r="130" spans="1:33" ht="12.6" customHeight="1" x14ac:dyDescent="0.2">
      <c r="A130" s="18"/>
      <c r="B130" s="683" t="s">
        <v>501</v>
      </c>
      <c r="C130" s="712"/>
      <c r="D130" s="712"/>
      <c r="E130" s="712"/>
      <c r="F130" s="392">
        <f>1.4*X2</f>
        <v>1451.8</v>
      </c>
      <c r="G130" s="293">
        <f t="shared" ref="G130" si="262">+F130*$X$1</f>
        <v>1451.8</v>
      </c>
      <c r="H130" s="573"/>
      <c r="I130" s="293"/>
      <c r="J130" s="573">
        <f>F130+120</f>
        <v>1571.8</v>
      </c>
      <c r="K130" s="293">
        <f t="shared" ref="K130" si="263">+J130*$X$1</f>
        <v>1571.8</v>
      </c>
      <c r="L130" s="573">
        <f>F130+90</f>
        <v>1541.8</v>
      </c>
      <c r="M130" s="293">
        <f t="shared" si="260"/>
        <v>1541.8</v>
      </c>
      <c r="N130" s="573">
        <f>F130+55</f>
        <v>1506.8</v>
      </c>
      <c r="O130" s="293">
        <f>+N130*$X$1</f>
        <v>1506.8</v>
      </c>
      <c r="P130" s="573">
        <f>F130+49</f>
        <v>1500.8</v>
      </c>
      <c r="Q130" s="293">
        <f t="shared" si="261"/>
        <v>1500.8</v>
      </c>
      <c r="R130" s="573">
        <f>F130+42</f>
        <v>1493.8</v>
      </c>
      <c r="S130" s="293">
        <f>+R130*$X$1</f>
        <v>1493.8</v>
      </c>
      <c r="T130" s="573">
        <f>F130+36</f>
        <v>1487.8</v>
      </c>
      <c r="U130" s="293">
        <f t="shared" si="251"/>
        <v>1487.8</v>
      </c>
      <c r="V130" s="573">
        <f>F130+32</f>
        <v>1483.8</v>
      </c>
      <c r="W130" s="293">
        <f t="shared" si="252"/>
        <v>1483.8</v>
      </c>
      <c r="X130" s="750"/>
      <c r="Y130" s="716"/>
      <c r="Z130" s="716"/>
      <c r="AA130" s="717"/>
      <c r="AB130" s="432">
        <v>312</v>
      </c>
    </row>
    <row r="131" spans="1:33" ht="12.6" customHeight="1" x14ac:dyDescent="0.2">
      <c r="A131" s="18"/>
      <c r="B131" s="690" t="s">
        <v>169</v>
      </c>
      <c r="C131" s="698"/>
      <c r="D131" s="698"/>
      <c r="E131" s="699"/>
      <c r="F131" s="294"/>
      <c r="G131" s="294"/>
      <c r="H131" s="492"/>
      <c r="I131" s="294"/>
      <c r="J131" s="90"/>
      <c r="K131" s="294"/>
      <c r="L131" s="492"/>
      <c r="M131" s="294"/>
      <c r="N131" s="492"/>
      <c r="O131" s="294"/>
      <c r="P131" s="492"/>
      <c r="Q131" s="294"/>
      <c r="R131" s="492"/>
      <c r="S131" s="294"/>
      <c r="T131" s="492"/>
      <c r="U131" s="294"/>
      <c r="V131" s="492"/>
      <c r="W131" s="294"/>
      <c r="X131" s="750"/>
      <c r="Y131" s="716"/>
      <c r="Z131" s="716"/>
      <c r="AA131" s="717"/>
      <c r="AB131" s="432" t="s">
        <v>170</v>
      </c>
    </row>
    <row r="132" spans="1:33" ht="12.6" customHeight="1" x14ac:dyDescent="0.2">
      <c r="A132" s="18"/>
      <c r="B132" s="939" t="s">
        <v>171</v>
      </c>
      <c r="C132" s="940"/>
      <c r="D132" s="940"/>
      <c r="E132" s="941"/>
      <c r="F132" s="314"/>
      <c r="G132" s="293"/>
      <c r="H132" s="573"/>
      <c r="I132" s="293"/>
      <c r="J132" s="72"/>
      <c r="K132" s="293"/>
      <c r="L132" s="573"/>
      <c r="M132" s="293"/>
      <c r="N132" s="573"/>
      <c r="O132" s="293"/>
      <c r="P132" s="573"/>
      <c r="Q132" s="293"/>
      <c r="R132" s="573"/>
      <c r="S132" s="293"/>
      <c r="T132" s="573"/>
      <c r="U132" s="293"/>
      <c r="V132" s="573"/>
      <c r="W132" s="293"/>
      <c r="X132" s="680"/>
      <c r="Y132" s="798"/>
      <c r="Z132" s="798"/>
      <c r="AA132" s="682"/>
      <c r="AB132" s="476" t="s">
        <v>172</v>
      </c>
    </row>
    <row r="133" spans="1:33" ht="12.6" customHeight="1" x14ac:dyDescent="0.2">
      <c r="A133" s="18"/>
      <c r="B133" s="690" t="s">
        <v>173</v>
      </c>
      <c r="C133" s="698"/>
      <c r="D133" s="698"/>
      <c r="E133" s="699"/>
      <c r="F133" s="294"/>
      <c r="G133" s="294"/>
      <c r="H133" s="492"/>
      <c r="I133" s="294"/>
      <c r="J133" s="90"/>
      <c r="K133" s="294"/>
      <c r="L133" s="492"/>
      <c r="M133" s="294"/>
      <c r="N133" s="492"/>
      <c r="O133" s="294"/>
      <c r="P133" s="492"/>
      <c r="Q133" s="294"/>
      <c r="R133" s="492"/>
      <c r="S133" s="294"/>
      <c r="T133" s="492"/>
      <c r="U133" s="294"/>
      <c r="V133" s="492"/>
      <c r="W133" s="294"/>
      <c r="X133" s="798"/>
      <c r="Y133" s="798"/>
      <c r="Z133" s="798"/>
      <c r="AA133" s="798"/>
      <c r="AB133" s="197" t="s">
        <v>174</v>
      </c>
    </row>
    <row r="134" spans="1:33" ht="12.6" customHeight="1" x14ac:dyDescent="0.2">
      <c r="A134" s="18"/>
      <c r="B134" s="693" t="s">
        <v>175</v>
      </c>
      <c r="C134" s="696"/>
      <c r="D134" s="696"/>
      <c r="E134" s="697"/>
      <c r="F134" s="293"/>
      <c r="G134" s="293"/>
      <c r="H134" s="573"/>
      <c r="I134" s="293"/>
      <c r="J134" s="72"/>
      <c r="K134" s="293"/>
      <c r="L134" s="573"/>
      <c r="M134" s="293"/>
      <c r="N134" s="573"/>
      <c r="O134" s="293"/>
      <c r="P134" s="573"/>
      <c r="Q134" s="293"/>
      <c r="R134" s="573"/>
      <c r="S134" s="293"/>
      <c r="T134" s="573"/>
      <c r="U134" s="293"/>
      <c r="V134" s="573"/>
      <c r="W134" s="293"/>
      <c r="X134" s="798"/>
      <c r="Y134" s="798"/>
      <c r="Z134" s="798"/>
      <c r="AA134" s="798"/>
      <c r="AB134" s="197" t="s">
        <v>176</v>
      </c>
    </row>
    <row r="135" spans="1:33" ht="12.6" customHeight="1" x14ac:dyDescent="0.2">
      <c r="A135" s="98"/>
      <c r="B135" s="690" t="s">
        <v>375</v>
      </c>
      <c r="C135" s="935"/>
      <c r="D135" s="935"/>
      <c r="E135" s="936"/>
      <c r="F135" s="294"/>
      <c r="G135" s="294"/>
      <c r="H135" s="90"/>
      <c r="I135" s="492"/>
      <c r="J135" s="492"/>
      <c r="K135" s="492"/>
      <c r="L135" s="492"/>
      <c r="M135" s="294"/>
      <c r="N135" s="492"/>
      <c r="O135" s="294"/>
      <c r="P135" s="492"/>
      <c r="Q135" s="294"/>
      <c r="R135" s="492"/>
      <c r="S135" s="294"/>
      <c r="T135" s="492"/>
      <c r="U135" s="294"/>
      <c r="V135" s="492"/>
      <c r="W135" s="294"/>
      <c r="X135" s="701"/>
      <c r="Y135" s="799"/>
      <c r="Z135" s="799"/>
      <c r="AA135" s="800"/>
      <c r="AB135" s="197"/>
    </row>
    <row r="136" spans="1:33" ht="12.6" customHeight="1" x14ac:dyDescent="0.2">
      <c r="A136" s="98"/>
      <c r="B136" s="683" t="s">
        <v>177</v>
      </c>
      <c r="C136" s="712"/>
      <c r="D136" s="712"/>
      <c r="E136" s="712"/>
      <c r="F136" s="293"/>
      <c r="G136" s="293"/>
      <c r="H136" s="72"/>
      <c r="I136" s="573"/>
      <c r="J136" s="573"/>
      <c r="K136" s="573"/>
      <c r="L136" s="573"/>
      <c r="M136" s="293"/>
      <c r="N136" s="573"/>
      <c r="O136" s="293"/>
      <c r="P136" s="573"/>
      <c r="Q136" s="293"/>
      <c r="R136" s="573"/>
      <c r="S136" s="293"/>
      <c r="T136" s="573"/>
      <c r="U136" s="293"/>
      <c r="V136" s="573"/>
      <c r="W136" s="293"/>
      <c r="X136" s="701"/>
      <c r="Y136" s="702"/>
      <c r="Z136" s="702"/>
      <c r="AA136" s="703"/>
      <c r="AB136" s="197">
        <v>316</v>
      </c>
      <c r="AC136" s="61"/>
      <c r="AD136" s="61"/>
      <c r="AE136" s="61"/>
      <c r="AF136" s="61"/>
    </row>
    <row r="137" spans="1:33" ht="12.6" customHeight="1" x14ac:dyDescent="0.2">
      <c r="A137" s="98"/>
      <c r="B137" s="704" t="s">
        <v>178</v>
      </c>
      <c r="C137" s="705"/>
      <c r="D137" s="705"/>
      <c r="E137" s="705"/>
      <c r="F137" s="294"/>
      <c r="G137" s="581"/>
      <c r="H137" s="90"/>
      <c r="I137" s="582"/>
      <c r="J137" s="492"/>
      <c r="K137" s="582"/>
      <c r="L137" s="492"/>
      <c r="M137" s="583"/>
      <c r="N137" s="492"/>
      <c r="O137" s="583"/>
      <c r="P137" s="492"/>
      <c r="Q137" s="583"/>
      <c r="R137" s="492"/>
      <c r="S137" s="583"/>
      <c r="T137" s="492"/>
      <c r="U137" s="294"/>
      <c r="V137" s="492"/>
      <c r="W137" s="294"/>
      <c r="X137" s="701"/>
      <c r="Y137" s="702"/>
      <c r="Z137" s="702"/>
      <c r="AA137" s="703"/>
      <c r="AB137" s="197">
        <v>318</v>
      </c>
      <c r="AC137" s="61"/>
      <c r="AD137" s="61"/>
      <c r="AE137" s="61"/>
      <c r="AF137" s="61"/>
    </row>
    <row r="138" spans="1:33" ht="12.6" customHeight="1" x14ac:dyDescent="0.2">
      <c r="A138" s="18"/>
      <c r="B138" s="933" t="s">
        <v>343</v>
      </c>
      <c r="C138" s="934"/>
      <c r="D138" s="934"/>
      <c r="E138" s="934"/>
      <c r="F138" s="293">
        <v>1092</v>
      </c>
      <c r="G138" s="321">
        <f>+F138*$X$1</f>
        <v>1092</v>
      </c>
      <c r="H138" s="198" t="s">
        <v>179</v>
      </c>
      <c r="I138" s="201"/>
      <c r="J138" s="86"/>
      <c r="K138" s="86"/>
      <c r="L138" s="170"/>
      <c r="M138" s="86"/>
      <c r="N138" s="86"/>
      <c r="O138" s="86"/>
      <c r="P138" s="83">
        <v>80</v>
      </c>
      <c r="Q138" s="200">
        <f>+P138*$X$1</f>
        <v>80</v>
      </c>
      <c r="R138" s="577"/>
      <c r="S138" s="578"/>
      <c r="T138" s="72"/>
      <c r="U138" s="293"/>
      <c r="V138" s="573"/>
      <c r="W138" s="293"/>
      <c r="X138" s="701"/>
      <c r="Y138" s="702"/>
      <c r="Z138" s="702"/>
      <c r="AA138" s="703"/>
      <c r="AB138" s="435"/>
      <c r="AC138" s="769"/>
      <c r="AD138" s="770"/>
      <c r="AE138" s="770"/>
      <c r="AF138" s="770"/>
      <c r="AG138" s="4"/>
    </row>
    <row r="139" spans="1:33" ht="12.6" customHeight="1" x14ac:dyDescent="0.2">
      <c r="A139" s="18"/>
      <c r="B139" s="944" t="s">
        <v>344</v>
      </c>
      <c r="C139" s="945"/>
      <c r="D139" s="945"/>
      <c r="E139" s="945"/>
      <c r="F139" s="294">
        <v>1177</v>
      </c>
      <c r="G139" s="363">
        <f>+F139*$X$1</f>
        <v>1177</v>
      </c>
      <c r="H139" s="269" t="s">
        <v>179</v>
      </c>
      <c r="I139" s="270"/>
      <c r="J139" s="271"/>
      <c r="K139" s="271"/>
      <c r="L139" s="272"/>
      <c r="M139" s="271"/>
      <c r="N139" s="271"/>
      <c r="O139" s="271"/>
      <c r="P139" s="273">
        <v>80</v>
      </c>
      <c r="Q139" s="274">
        <f>+P139*$X$1</f>
        <v>80</v>
      </c>
      <c r="R139" s="586"/>
      <c r="S139" s="584"/>
      <c r="T139" s="585"/>
      <c r="U139" s="296"/>
      <c r="V139" s="96"/>
      <c r="W139" s="296"/>
      <c r="X139" s="701"/>
      <c r="Y139" s="702"/>
      <c r="Z139" s="702"/>
      <c r="AA139" s="703"/>
      <c r="AB139" s="435"/>
    </row>
    <row r="140" spans="1:33" ht="12.6" customHeight="1" x14ac:dyDescent="0.2">
      <c r="A140" s="18"/>
      <c r="B140" s="933" t="s">
        <v>871</v>
      </c>
      <c r="C140" s="934"/>
      <c r="D140" s="934"/>
      <c r="E140" s="934"/>
      <c r="F140" s="340"/>
      <c r="G140" s="293"/>
      <c r="H140" s="276"/>
      <c r="I140" s="293"/>
      <c r="J140" s="573">
        <f>F139+170</f>
        <v>1347</v>
      </c>
      <c r="K140" s="293">
        <f t="shared" ref="K140:K141" si="264">+J140*$X$1</f>
        <v>1347</v>
      </c>
      <c r="L140" s="573">
        <f>F139+120</f>
        <v>1297</v>
      </c>
      <c r="M140" s="293">
        <f>+L140*$X$1</f>
        <v>1297</v>
      </c>
      <c r="N140" s="573">
        <f>F139+75</f>
        <v>1252</v>
      </c>
      <c r="O140" s="293">
        <f>+N140*$X$1</f>
        <v>1252</v>
      </c>
      <c r="P140" s="573">
        <f>F139+60</f>
        <v>1237</v>
      </c>
      <c r="Q140" s="293">
        <f t="shared" ref="Q140:Q141" si="265">+P140*$X$1</f>
        <v>1237</v>
      </c>
      <c r="R140" s="573">
        <f>F139+52</f>
        <v>1229</v>
      </c>
      <c r="S140" s="293">
        <f>+R140*$X$1</f>
        <v>1229</v>
      </c>
      <c r="T140" s="573">
        <f>F139+47</f>
        <v>1224</v>
      </c>
      <c r="U140" s="293">
        <f t="shared" ref="U140:U141" si="266">+T140*$X$1</f>
        <v>1224</v>
      </c>
      <c r="V140" s="573">
        <f>F139+43</f>
        <v>1220</v>
      </c>
      <c r="W140" s="293">
        <f>+V140*$X$1</f>
        <v>1220</v>
      </c>
      <c r="X140" s="701"/>
      <c r="Y140" s="702"/>
      <c r="Z140" s="702"/>
      <c r="AA140" s="703"/>
      <c r="AB140" s="432">
        <v>321</v>
      </c>
    </row>
    <row r="141" spans="1:33" ht="12.6" customHeight="1" x14ac:dyDescent="0.2">
      <c r="A141" s="18"/>
      <c r="B141" s="944" t="s">
        <v>559</v>
      </c>
      <c r="C141" s="945"/>
      <c r="D141" s="945"/>
      <c r="E141" s="945"/>
      <c r="F141" s="339"/>
      <c r="G141" s="294"/>
      <c r="H141" s="307"/>
      <c r="I141" s="294"/>
      <c r="J141" s="492">
        <f>F139+340</f>
        <v>1517</v>
      </c>
      <c r="K141" s="294">
        <f t="shared" si="264"/>
        <v>1517</v>
      </c>
      <c r="L141" s="492">
        <f>F139+220</f>
        <v>1397</v>
      </c>
      <c r="M141" s="294">
        <f>+L141*$X$1</f>
        <v>1397</v>
      </c>
      <c r="N141" s="492">
        <f>F139+160</f>
        <v>1337</v>
      </c>
      <c r="O141" s="294">
        <f>+N141*$X$1</f>
        <v>1337</v>
      </c>
      <c r="P141" s="492">
        <f>F139+141</f>
        <v>1318</v>
      </c>
      <c r="Q141" s="294">
        <f t="shared" si="265"/>
        <v>1318</v>
      </c>
      <c r="R141" s="492">
        <f>F139+120</f>
        <v>1297</v>
      </c>
      <c r="S141" s="294">
        <f>+R141*$X$1</f>
        <v>1297</v>
      </c>
      <c r="T141" s="492">
        <f>F139+110</f>
        <v>1287</v>
      </c>
      <c r="U141" s="294">
        <f t="shared" si="266"/>
        <v>1287</v>
      </c>
      <c r="V141" s="492">
        <f>F139+103</f>
        <v>1280</v>
      </c>
      <c r="W141" s="294">
        <f>+V141*$X$1</f>
        <v>1280</v>
      </c>
      <c r="X141" s="701"/>
      <c r="Y141" s="702"/>
      <c r="Z141" s="702"/>
      <c r="AA141" s="703"/>
      <c r="AB141" s="432">
        <v>322</v>
      </c>
    </row>
    <row r="142" spans="1:33" ht="12.6" customHeight="1" x14ac:dyDescent="0.2">
      <c r="A142" s="18"/>
      <c r="B142" s="933" t="s">
        <v>345</v>
      </c>
      <c r="C142" s="934"/>
      <c r="D142" s="934"/>
      <c r="E142" s="934"/>
      <c r="F142" s="293">
        <v>1366</v>
      </c>
      <c r="G142" s="321">
        <f>+F142*$X$1</f>
        <v>1366</v>
      </c>
      <c r="H142" s="491" t="s">
        <v>179</v>
      </c>
      <c r="I142" s="199"/>
      <c r="J142" s="84"/>
      <c r="K142" s="84"/>
      <c r="L142" s="84"/>
      <c r="M142" s="84"/>
      <c r="N142" s="84"/>
      <c r="O142" s="84"/>
      <c r="P142" s="85">
        <v>110</v>
      </c>
      <c r="Q142" s="275">
        <f>+P142*$X$1</f>
        <v>110</v>
      </c>
      <c r="R142" s="66"/>
      <c r="S142" s="359"/>
      <c r="T142" s="278"/>
      <c r="U142" s="364"/>
      <c r="V142" s="87"/>
      <c r="W142" s="579"/>
      <c r="X142" s="701"/>
      <c r="Y142" s="702"/>
      <c r="Z142" s="702"/>
      <c r="AA142" s="703"/>
      <c r="AB142" s="435"/>
    </row>
    <row r="143" spans="1:33" ht="12.6" customHeight="1" x14ac:dyDescent="0.2">
      <c r="A143" s="18"/>
      <c r="B143" s="704" t="s">
        <v>180</v>
      </c>
      <c r="C143" s="705"/>
      <c r="D143" s="705"/>
      <c r="E143" s="705"/>
      <c r="F143" s="296">
        <v>1456</v>
      </c>
      <c r="G143" s="363">
        <f>+F143*$X$1</f>
        <v>1456</v>
      </c>
      <c r="H143" s="269" t="s">
        <v>179</v>
      </c>
      <c r="I143" s="279"/>
      <c r="J143" s="84"/>
      <c r="K143" s="84"/>
      <c r="L143" s="84"/>
      <c r="M143" s="84"/>
      <c r="N143" s="84"/>
      <c r="O143" s="84"/>
      <c r="P143" s="85">
        <v>110</v>
      </c>
      <c r="Q143" s="200">
        <f>+P143*$X$1</f>
        <v>110</v>
      </c>
      <c r="R143" s="264"/>
      <c r="S143" s="352"/>
      <c r="T143" s="277"/>
      <c r="U143" s="365"/>
      <c r="V143" s="90"/>
      <c r="W143" s="328"/>
      <c r="X143" s="701"/>
      <c r="Y143" s="702"/>
      <c r="Z143" s="702"/>
      <c r="AA143" s="703"/>
      <c r="AB143" s="435"/>
    </row>
    <row r="144" spans="1:33" ht="12.6" customHeight="1" x14ac:dyDescent="0.2">
      <c r="A144" s="18"/>
      <c r="B144" s="683" t="s">
        <v>870</v>
      </c>
      <c r="C144" s="712"/>
      <c r="D144" s="712"/>
      <c r="E144" s="712"/>
      <c r="F144" s="356"/>
      <c r="G144" s="356"/>
      <c r="H144" s="286"/>
      <c r="I144" s="353"/>
      <c r="J144" s="573">
        <f>F143+170</f>
        <v>1626</v>
      </c>
      <c r="K144" s="293">
        <f t="shared" ref="K144" si="267">+J144*$X$1</f>
        <v>1626</v>
      </c>
      <c r="L144" s="573">
        <f>F143+120</f>
        <v>1576</v>
      </c>
      <c r="M144" s="293">
        <f>+L144*$X$1</f>
        <v>1576</v>
      </c>
      <c r="N144" s="573">
        <f>F143+75</f>
        <v>1531</v>
      </c>
      <c r="O144" s="293">
        <f>+N144*$X$1</f>
        <v>1531</v>
      </c>
      <c r="P144" s="573">
        <f>F143+60</f>
        <v>1516</v>
      </c>
      <c r="Q144" s="293">
        <f t="shared" ref="Q144" si="268">+P144*$X$1</f>
        <v>1516</v>
      </c>
      <c r="R144" s="573">
        <f>F143+52</f>
        <v>1508</v>
      </c>
      <c r="S144" s="293">
        <f>+R144*$X$1</f>
        <v>1508</v>
      </c>
      <c r="T144" s="573">
        <f>F143+47</f>
        <v>1503</v>
      </c>
      <c r="U144" s="293">
        <f t="shared" ref="U144" si="269">+T144*$X$1</f>
        <v>1503</v>
      </c>
      <c r="V144" s="573">
        <f>F143+43</f>
        <v>1499</v>
      </c>
      <c r="W144" s="293">
        <f>+V144*$X$1</f>
        <v>1499</v>
      </c>
      <c r="X144" s="701"/>
      <c r="Y144" s="702"/>
      <c r="Z144" s="702"/>
      <c r="AA144" s="703"/>
      <c r="AB144" s="432">
        <v>325</v>
      </c>
    </row>
    <row r="145" spans="1:34" ht="12.6" customHeight="1" x14ac:dyDescent="0.2">
      <c r="A145" s="18"/>
      <c r="B145" s="704" t="s">
        <v>558</v>
      </c>
      <c r="C145" s="705"/>
      <c r="D145" s="705"/>
      <c r="E145" s="705"/>
      <c r="F145" s="355"/>
      <c r="G145" s="355"/>
      <c r="H145" s="285"/>
      <c r="I145" s="354"/>
      <c r="J145" s="492">
        <f>F143+360</f>
        <v>1816</v>
      </c>
      <c r="K145" s="294">
        <f t="shared" ref="K145" si="270">+J145*$X$1</f>
        <v>1816</v>
      </c>
      <c r="L145" s="492">
        <f>F143+240</f>
        <v>1696</v>
      </c>
      <c r="M145" s="294">
        <f>+L145*$X$1</f>
        <v>1696</v>
      </c>
      <c r="N145" s="492">
        <f>F143+170</f>
        <v>1626</v>
      </c>
      <c r="O145" s="294">
        <f>+N145*$X$1</f>
        <v>1626</v>
      </c>
      <c r="P145" s="492">
        <f>F143+150</f>
        <v>1606</v>
      </c>
      <c r="Q145" s="294">
        <f t="shared" ref="Q145" si="271">+P145*$X$1</f>
        <v>1606</v>
      </c>
      <c r="R145" s="492">
        <f>F143+130</f>
        <v>1586</v>
      </c>
      <c r="S145" s="294">
        <f>+R145*$X$1</f>
        <v>1586</v>
      </c>
      <c r="T145" s="492">
        <f>F143+120</f>
        <v>1576</v>
      </c>
      <c r="U145" s="294">
        <f t="shared" ref="U145" si="272">+T145*$X$1</f>
        <v>1576</v>
      </c>
      <c r="V145" s="492">
        <f>F143+110</f>
        <v>1566</v>
      </c>
      <c r="W145" s="294">
        <f>+V145*$X$1</f>
        <v>1566</v>
      </c>
      <c r="X145" s="701"/>
      <c r="Y145" s="702"/>
      <c r="Z145" s="702"/>
      <c r="AA145" s="703"/>
      <c r="AB145" s="432">
        <v>326</v>
      </c>
    </row>
    <row r="146" spans="1:34" ht="12.6" customHeight="1" x14ac:dyDescent="0.2">
      <c r="A146" s="18"/>
      <c r="B146" s="683" t="s">
        <v>365</v>
      </c>
      <c r="C146" s="712"/>
      <c r="D146" s="712"/>
      <c r="E146" s="712"/>
      <c r="F146" s="392">
        <f>8.3*X2</f>
        <v>8607.1</v>
      </c>
      <c r="G146" s="293">
        <f>+F146*$X$1</f>
        <v>8607.1</v>
      </c>
      <c r="H146" s="573">
        <f>F146+400</f>
        <v>9007.1</v>
      </c>
      <c r="I146" s="293">
        <f t="shared" ref="I146" si="273">+H146*$X$1</f>
        <v>9007.1</v>
      </c>
      <c r="J146" s="573">
        <f>F146+150</f>
        <v>8757.1</v>
      </c>
      <c r="K146" s="293">
        <f t="shared" ref="K146" si="274">+J146*$X$1</f>
        <v>8757.1</v>
      </c>
      <c r="L146" s="573">
        <f>F146+90</f>
        <v>8697.1</v>
      </c>
      <c r="M146" s="293">
        <f t="shared" ref="M146" si="275">+L146*$X$1</f>
        <v>8697.1</v>
      </c>
      <c r="N146" s="573">
        <f>F146+63</f>
        <v>8670.1</v>
      </c>
      <c r="O146" s="293">
        <f>+N146*$X$1</f>
        <v>8670.1</v>
      </c>
      <c r="P146" s="573">
        <f>F146+55</f>
        <v>8662.1</v>
      </c>
      <c r="Q146" s="293">
        <f t="shared" ref="Q146" si="276">+P146*$X$1</f>
        <v>8662.1</v>
      </c>
      <c r="R146" s="573">
        <f>F146+49</f>
        <v>8656.1</v>
      </c>
      <c r="S146" s="293">
        <f>+R146*$X$1</f>
        <v>8656.1</v>
      </c>
      <c r="T146" s="573">
        <f>F146+43</f>
        <v>8650.1</v>
      </c>
      <c r="U146" s="293">
        <f>+T146*$X$1</f>
        <v>8650.1</v>
      </c>
      <c r="V146" s="573">
        <f>F146+38</f>
        <v>8645.1</v>
      </c>
      <c r="W146" s="293">
        <f>+V146*$X$1</f>
        <v>8645.1</v>
      </c>
      <c r="X146" s="685"/>
      <c r="Y146" s="686"/>
      <c r="Z146" s="686"/>
      <c r="AA146" s="687"/>
      <c r="AB146" s="197">
        <v>332</v>
      </c>
    </row>
    <row r="147" spans="1:34" ht="12.6" customHeight="1" x14ac:dyDescent="0.2">
      <c r="A147" s="18"/>
      <c r="B147" s="704" t="s">
        <v>683</v>
      </c>
      <c r="C147" s="705"/>
      <c r="D147" s="705"/>
      <c r="E147" s="705"/>
      <c r="F147" s="393">
        <f>4.2*X2</f>
        <v>4355.4000000000005</v>
      </c>
      <c r="G147" s="294">
        <f>+F147*$X$1</f>
        <v>4355.4000000000005</v>
      </c>
      <c r="H147" s="492">
        <f>F147+400</f>
        <v>4755.4000000000005</v>
      </c>
      <c r="I147" s="294">
        <f t="shared" ref="I147" si="277">+H147*$X$1</f>
        <v>4755.4000000000005</v>
      </c>
      <c r="J147" s="492">
        <f>F147+150</f>
        <v>4505.4000000000005</v>
      </c>
      <c r="K147" s="294">
        <f t="shared" ref="K147" si="278">+J147*$X$1</f>
        <v>4505.4000000000005</v>
      </c>
      <c r="L147" s="492">
        <f>F147+90</f>
        <v>4445.4000000000005</v>
      </c>
      <c r="M147" s="294">
        <f t="shared" ref="M147" si="279">+L147*$X$1</f>
        <v>4445.4000000000005</v>
      </c>
      <c r="N147" s="492">
        <f>F147+63</f>
        <v>4418.4000000000005</v>
      </c>
      <c r="O147" s="294">
        <f>+N147*$X$1</f>
        <v>4418.4000000000005</v>
      </c>
      <c r="P147" s="492">
        <f>F147+55</f>
        <v>4410.4000000000005</v>
      </c>
      <c r="Q147" s="294">
        <f t="shared" ref="Q147" si="280">+P147*$X$1</f>
        <v>4410.4000000000005</v>
      </c>
      <c r="R147" s="492">
        <f>F147+49</f>
        <v>4404.4000000000005</v>
      </c>
      <c r="S147" s="294">
        <f>+R147*$X$1</f>
        <v>4404.4000000000005</v>
      </c>
      <c r="T147" s="492">
        <f>F147+43</f>
        <v>4398.4000000000005</v>
      </c>
      <c r="U147" s="294">
        <f>+T147*$X$1</f>
        <v>4398.4000000000005</v>
      </c>
      <c r="V147" s="492">
        <f>F147+38</f>
        <v>4393.4000000000005</v>
      </c>
      <c r="W147" s="294">
        <f>+V147*$X$1</f>
        <v>4393.4000000000005</v>
      </c>
      <c r="X147" s="685"/>
      <c r="Y147" s="686"/>
      <c r="Z147" s="686"/>
      <c r="AA147" s="687"/>
      <c r="AB147" s="197">
        <v>337</v>
      </c>
    </row>
    <row r="148" spans="1:34" ht="12.6" customHeight="1" x14ac:dyDescent="0.2">
      <c r="A148" s="20"/>
      <c r="B148" s="1094" t="s">
        <v>181</v>
      </c>
      <c r="C148" s="1095"/>
      <c r="D148" s="1095"/>
      <c r="E148" s="1095"/>
      <c r="F148" s="293">
        <v>430</v>
      </c>
      <c r="G148" s="293">
        <f t="shared" ref="G148" si="281">+F148*$X$1</f>
        <v>430</v>
      </c>
      <c r="H148" s="580"/>
      <c r="I148" s="580"/>
      <c r="J148" s="573">
        <f>F148+300</f>
        <v>730</v>
      </c>
      <c r="K148" s="293">
        <f t="shared" ref="K148" si="282">+J148*$X$1</f>
        <v>730</v>
      </c>
      <c r="L148" s="573">
        <f>F148+240</f>
        <v>670</v>
      </c>
      <c r="M148" s="293">
        <f>+L148*$X$1</f>
        <v>670</v>
      </c>
      <c r="N148" s="573">
        <f>F148+204</f>
        <v>634</v>
      </c>
      <c r="O148" s="293">
        <f>+N148*$X$1</f>
        <v>634</v>
      </c>
      <c r="P148" s="573">
        <f>F148+170</f>
        <v>600</v>
      </c>
      <c r="Q148" s="293">
        <f t="shared" ref="Q148" si="283">+P148*$X$1</f>
        <v>600</v>
      </c>
      <c r="R148" s="573">
        <f>F148+150</f>
        <v>580</v>
      </c>
      <c r="S148" s="293">
        <f>+R148*$X$1</f>
        <v>580</v>
      </c>
      <c r="T148" s="573">
        <f>F148+135</f>
        <v>565</v>
      </c>
      <c r="U148" s="293">
        <f t="shared" ref="U148" si="284">+T148*$X$1</f>
        <v>565</v>
      </c>
      <c r="V148" s="573">
        <f>F148+120</f>
        <v>550</v>
      </c>
      <c r="W148" s="293">
        <f>+V148*$X$1</f>
        <v>550</v>
      </c>
      <c r="X148" s="152"/>
      <c r="Y148" s="152"/>
      <c r="Z148" s="152"/>
      <c r="AA148" s="152"/>
      <c r="AB148" s="197">
        <v>347</v>
      </c>
    </row>
    <row r="149" spans="1:34" ht="12.6" customHeight="1" x14ac:dyDescent="0.2">
      <c r="A149" s="20"/>
      <c r="B149" s="704" t="s">
        <v>653</v>
      </c>
      <c r="C149" s="705"/>
      <c r="D149" s="705"/>
      <c r="E149" s="705"/>
      <c r="F149" s="305"/>
      <c r="G149" s="571"/>
      <c r="H149" s="492"/>
      <c r="I149" s="492"/>
      <c r="J149" s="492"/>
      <c r="K149" s="492"/>
      <c r="L149" s="265"/>
      <c r="M149" s="265"/>
      <c r="N149" s="290"/>
      <c r="O149" s="492"/>
      <c r="P149" s="265"/>
      <c r="Q149" s="265"/>
      <c r="R149" s="492"/>
      <c r="S149" s="492"/>
      <c r="T149" s="492"/>
      <c r="U149" s="95"/>
      <c r="V149" s="492"/>
      <c r="W149" s="95"/>
      <c r="X149" s="152"/>
      <c r="Y149" s="152"/>
      <c r="Z149" s="152"/>
      <c r="AA149" s="152"/>
      <c r="AB149" s="197">
        <v>348</v>
      </c>
    </row>
    <row r="150" spans="1:34" ht="12.6" customHeight="1" x14ac:dyDescent="0.2">
      <c r="A150" s="20"/>
      <c r="B150" s="683" t="s">
        <v>182</v>
      </c>
      <c r="C150" s="712"/>
      <c r="D150" s="712"/>
      <c r="E150" s="712"/>
      <c r="F150" s="306"/>
      <c r="G150" s="572"/>
      <c r="H150" s="573"/>
      <c r="I150" s="573"/>
      <c r="J150" s="573"/>
      <c r="K150" s="573"/>
      <c r="L150" s="267"/>
      <c r="M150" s="267"/>
      <c r="N150" s="283"/>
      <c r="O150" s="573"/>
      <c r="P150" s="267"/>
      <c r="Q150" s="267"/>
      <c r="R150" s="573"/>
      <c r="S150" s="573"/>
      <c r="T150" s="573"/>
      <c r="U150" s="97"/>
      <c r="V150" s="573"/>
      <c r="W150" s="97"/>
      <c r="X150" s="152"/>
      <c r="Y150" s="152"/>
      <c r="Z150" s="152"/>
      <c r="AA150" s="152"/>
      <c r="AB150" s="197">
        <v>349</v>
      </c>
    </row>
    <row r="151" spans="1:34" ht="12.6" customHeight="1" x14ac:dyDescent="0.2">
      <c r="A151" s="20"/>
      <c r="B151" s="704" t="s">
        <v>183</v>
      </c>
      <c r="C151" s="705"/>
      <c r="D151" s="705"/>
      <c r="E151" s="705"/>
      <c r="F151" s="305"/>
      <c r="G151" s="571"/>
      <c r="H151" s="492"/>
      <c r="I151" s="492"/>
      <c r="J151" s="492"/>
      <c r="K151" s="492"/>
      <c r="L151" s="265"/>
      <c r="M151" s="265"/>
      <c r="N151" s="290"/>
      <c r="O151" s="492"/>
      <c r="P151" s="265"/>
      <c r="Q151" s="265"/>
      <c r="R151" s="492"/>
      <c r="S151" s="492"/>
      <c r="T151" s="492"/>
      <c r="U151" s="95"/>
      <c r="V151" s="492"/>
      <c r="W151" s="95"/>
      <c r="X151" s="152"/>
      <c r="Y151" s="152"/>
      <c r="Z151" s="152"/>
      <c r="AA151" s="152"/>
      <c r="AB151" s="197">
        <v>350</v>
      </c>
    </row>
    <row r="152" spans="1:34" ht="12.6" customHeight="1" x14ac:dyDescent="0.2">
      <c r="A152" s="20"/>
      <c r="B152" s="683" t="s">
        <v>184</v>
      </c>
      <c r="C152" s="712"/>
      <c r="D152" s="712"/>
      <c r="E152" s="712"/>
      <c r="F152" s="306"/>
      <c r="G152" s="572"/>
      <c r="H152" s="573"/>
      <c r="I152" s="573"/>
      <c r="J152" s="573"/>
      <c r="K152" s="573"/>
      <c r="L152" s="267"/>
      <c r="M152" s="267"/>
      <c r="N152" s="283"/>
      <c r="O152" s="573"/>
      <c r="P152" s="267"/>
      <c r="Q152" s="267"/>
      <c r="R152" s="573"/>
      <c r="S152" s="573"/>
      <c r="T152" s="573"/>
      <c r="U152" s="97"/>
      <c r="V152" s="573"/>
      <c r="W152" s="97"/>
      <c r="X152" s="152"/>
      <c r="Y152" s="152"/>
      <c r="Z152" s="152"/>
      <c r="AA152" s="152"/>
      <c r="AB152" s="197">
        <v>351</v>
      </c>
    </row>
    <row r="153" spans="1:34" ht="12.6" customHeight="1" x14ac:dyDescent="0.2">
      <c r="A153" s="20"/>
      <c r="B153" s="704" t="s">
        <v>185</v>
      </c>
      <c r="C153" s="705"/>
      <c r="D153" s="705"/>
      <c r="E153" s="705"/>
      <c r="F153" s="305"/>
      <c r="G153" s="571"/>
      <c r="H153" s="492"/>
      <c r="I153" s="492"/>
      <c r="J153" s="492"/>
      <c r="K153" s="492"/>
      <c r="L153" s="265"/>
      <c r="M153" s="265"/>
      <c r="N153" s="103"/>
      <c r="O153" s="492"/>
      <c r="P153" s="265"/>
      <c r="Q153" s="265"/>
      <c r="R153" s="492"/>
      <c r="S153" s="492"/>
      <c r="T153" s="103"/>
      <c r="U153" s="587"/>
      <c r="V153" s="103"/>
      <c r="W153" s="587"/>
      <c r="X153" s="152"/>
      <c r="Y153" s="152"/>
      <c r="Z153" s="152"/>
      <c r="AA153" s="152"/>
      <c r="AB153" s="197">
        <v>352</v>
      </c>
    </row>
    <row r="154" spans="1:34" ht="12.6" customHeight="1" x14ac:dyDescent="0.2">
      <c r="A154" s="20"/>
      <c r="B154" s="693" t="s">
        <v>382</v>
      </c>
      <c r="C154" s="696"/>
      <c r="D154" s="696"/>
      <c r="E154" s="697"/>
      <c r="F154" s="397">
        <f>0.65*X2</f>
        <v>674.05000000000007</v>
      </c>
      <c r="G154" s="260">
        <f t="shared" ref="G154" si="285">+F154*$X$1</f>
        <v>674.05000000000007</v>
      </c>
      <c r="H154" s="574"/>
      <c r="I154" s="293"/>
      <c r="J154" s="573"/>
      <c r="K154" s="293"/>
      <c r="L154" s="596">
        <f>F154+120</f>
        <v>794.05000000000007</v>
      </c>
      <c r="M154" s="293">
        <f>+L154*$X$1</f>
        <v>794.05000000000007</v>
      </c>
      <c r="N154" s="596">
        <f>F154+63</f>
        <v>737.05000000000007</v>
      </c>
      <c r="O154" s="293">
        <f>+N154*$X$1</f>
        <v>737.05000000000007</v>
      </c>
      <c r="P154" s="596">
        <f>F154+54</f>
        <v>728.05000000000007</v>
      </c>
      <c r="Q154" s="293">
        <f>+P154*$X$1</f>
        <v>728.05000000000007</v>
      </c>
      <c r="R154" s="596">
        <f>F154+45</f>
        <v>719.05000000000007</v>
      </c>
      <c r="S154" s="293">
        <f>+R154*$X$1</f>
        <v>719.05000000000007</v>
      </c>
      <c r="T154" s="104">
        <f>F154+37</f>
        <v>711.05000000000007</v>
      </c>
      <c r="U154" s="260">
        <f>+T154*$X$1</f>
        <v>711.05000000000007</v>
      </c>
      <c r="V154" s="104">
        <f>F154+32</f>
        <v>706.05000000000007</v>
      </c>
      <c r="W154" s="260">
        <f>+V154*$X$1</f>
        <v>706.05000000000007</v>
      </c>
      <c r="X154" s="680"/>
      <c r="Y154" s="772"/>
      <c r="Z154" s="772"/>
      <c r="AA154" s="773"/>
      <c r="AB154" s="197">
        <v>370</v>
      </c>
    </row>
    <row r="155" spans="1:34" ht="12.75" customHeight="1" x14ac:dyDescent="0.2">
      <c r="A155" s="18"/>
      <c r="B155" s="3"/>
      <c r="C155" s="3"/>
      <c r="D155" s="3"/>
      <c r="E155" s="3"/>
      <c r="F155" s="129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29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718" t="s">
        <v>11</v>
      </c>
      <c r="C158" s="815" t="s">
        <v>12</v>
      </c>
      <c r="D158" s="816"/>
      <c r="E158" s="816"/>
      <c r="F158" s="671" t="s">
        <v>13</v>
      </c>
      <c r="G158" s="671" t="s">
        <v>13</v>
      </c>
      <c r="H158" s="673" t="s">
        <v>836</v>
      </c>
      <c r="I158" s="673"/>
      <c r="J158" s="674"/>
      <c r="K158" s="674"/>
      <c r="L158" s="674"/>
      <c r="M158" s="674"/>
      <c r="N158" s="674"/>
      <c r="O158" s="674"/>
      <c r="P158" s="674"/>
      <c r="Q158" s="674"/>
      <c r="R158" s="674"/>
      <c r="S158" s="674"/>
      <c r="T158" s="674"/>
      <c r="U158" s="674"/>
      <c r="V158" s="674"/>
      <c r="W158" s="674"/>
      <c r="X158" s="657" t="s">
        <v>14</v>
      </c>
      <c r="Y158" s="658"/>
      <c r="Z158" s="658"/>
      <c r="AA158" s="659"/>
      <c r="AB158" s="663" t="s">
        <v>15</v>
      </c>
      <c r="AF158" s="645" t="s">
        <v>3</v>
      </c>
      <c r="AG158" s="646"/>
      <c r="AH158" s="646"/>
    </row>
    <row r="159" spans="1:34" ht="12.6" customHeight="1" x14ac:dyDescent="0.2">
      <c r="A159" s="18"/>
      <c r="B159" s="718"/>
      <c r="C159" s="816"/>
      <c r="D159" s="816"/>
      <c r="E159" s="816"/>
      <c r="F159" s="672"/>
      <c r="G159" s="672"/>
      <c r="H159" s="511"/>
      <c r="I159" s="509" t="s">
        <v>293</v>
      </c>
      <c r="J159" s="511"/>
      <c r="K159" s="509" t="s">
        <v>17</v>
      </c>
      <c r="L159" s="512"/>
      <c r="M159" s="512" t="s">
        <v>18</v>
      </c>
      <c r="N159" s="512"/>
      <c r="O159" s="509" t="s">
        <v>19</v>
      </c>
      <c r="P159" s="512"/>
      <c r="Q159" s="512" t="s">
        <v>295</v>
      </c>
      <c r="R159" s="512"/>
      <c r="S159" s="512" t="s">
        <v>20</v>
      </c>
      <c r="T159" s="512"/>
      <c r="U159" s="512" t="s">
        <v>21</v>
      </c>
      <c r="V159" s="512"/>
      <c r="W159" s="512" t="s">
        <v>22</v>
      </c>
      <c r="X159" s="660"/>
      <c r="Y159" s="661"/>
      <c r="Z159" s="661"/>
      <c r="AA159" s="662"/>
      <c r="AB159" s="664"/>
      <c r="AG159" s="33"/>
    </row>
    <row r="160" spans="1:34" ht="12.6" customHeight="1" x14ac:dyDescent="0.2">
      <c r="A160" s="20"/>
      <c r="B160" s="727" t="s">
        <v>562</v>
      </c>
      <c r="C160" s="728"/>
      <c r="D160" s="728"/>
      <c r="E160" s="729"/>
      <c r="F160" s="328">
        <v>1033</v>
      </c>
      <c r="G160" s="313">
        <f t="shared" ref="G160" si="286">+F160*$X$1</f>
        <v>1033</v>
      </c>
      <c r="H160" s="622"/>
      <c r="I160" s="294"/>
      <c r="J160" s="492"/>
      <c r="K160" s="294"/>
      <c r="L160" s="492">
        <f t="shared" ref="L160:L173" si="287">F160+120</f>
        <v>1153</v>
      </c>
      <c r="M160" s="294">
        <f>+L160*$X$1</f>
        <v>1153</v>
      </c>
      <c r="N160" s="492">
        <f>F160+63</f>
        <v>1096</v>
      </c>
      <c r="O160" s="294">
        <f t="shared" ref="O160:O173" si="288">+N160*$X$1</f>
        <v>1096</v>
      </c>
      <c r="P160" s="492">
        <f t="shared" ref="P160:P173" si="289">F160+54</f>
        <v>1087</v>
      </c>
      <c r="Q160" s="294">
        <f>+P160*$X$1</f>
        <v>1087</v>
      </c>
      <c r="R160" s="492">
        <f>F160+45</f>
        <v>1078</v>
      </c>
      <c r="S160" s="294">
        <f>+R160*$X$1</f>
        <v>1078</v>
      </c>
      <c r="T160" s="103">
        <f>F160+37</f>
        <v>1070</v>
      </c>
      <c r="U160" s="313">
        <f>+T160*$X$1</f>
        <v>1070</v>
      </c>
      <c r="V160" s="103">
        <f>F160+32</f>
        <v>1065</v>
      </c>
      <c r="W160" s="313">
        <f>+V160*$X$1</f>
        <v>1065</v>
      </c>
      <c r="X160" s="680"/>
      <c r="Y160" s="772"/>
      <c r="Z160" s="772"/>
      <c r="AA160" s="773"/>
      <c r="AB160" s="421">
        <v>373</v>
      </c>
    </row>
    <row r="161" spans="1:28" ht="12.6" customHeight="1" x14ac:dyDescent="0.2">
      <c r="A161" s="20"/>
      <c r="B161" s="693" t="s">
        <v>186</v>
      </c>
      <c r="C161" s="696"/>
      <c r="D161" s="696"/>
      <c r="E161" s="697"/>
      <c r="F161" s="392">
        <f>1.36*X2</f>
        <v>1410.3200000000002</v>
      </c>
      <c r="G161" s="260">
        <f>+F161*$X$1</f>
        <v>1410.3200000000002</v>
      </c>
      <c r="H161" s="620"/>
      <c r="I161" s="293"/>
      <c r="J161" s="620">
        <f>F161+180</f>
        <v>1590.3200000000002</v>
      </c>
      <c r="K161" s="293">
        <f t="shared" ref="K161" si="290">+J161*$X$1</f>
        <v>1590.3200000000002</v>
      </c>
      <c r="L161" s="620">
        <f t="shared" si="287"/>
        <v>1530.3200000000002</v>
      </c>
      <c r="M161" s="293">
        <f>+L161*$X$1</f>
        <v>1530.3200000000002</v>
      </c>
      <c r="N161" s="620">
        <f>F161+63</f>
        <v>1473.3200000000002</v>
      </c>
      <c r="O161" s="293">
        <f t="shared" si="288"/>
        <v>1473.3200000000002</v>
      </c>
      <c r="P161" s="620">
        <f t="shared" si="289"/>
        <v>1464.3200000000002</v>
      </c>
      <c r="Q161" s="293">
        <f>+P161*$X$1</f>
        <v>1464.3200000000002</v>
      </c>
      <c r="R161" s="620">
        <f>F161+45</f>
        <v>1455.3200000000002</v>
      </c>
      <c r="S161" s="293">
        <f>+R161*$X$1</f>
        <v>1455.3200000000002</v>
      </c>
      <c r="T161" s="104">
        <f>F161+37</f>
        <v>1447.3200000000002</v>
      </c>
      <c r="U161" s="260">
        <f>+T161*$X$1</f>
        <v>1447.3200000000002</v>
      </c>
      <c r="V161" s="104">
        <f>F161+32</f>
        <v>1442.3200000000002</v>
      </c>
      <c r="W161" s="260">
        <f>+V161*$X$1</f>
        <v>1442.3200000000002</v>
      </c>
      <c r="X161" s="680"/>
      <c r="Y161" s="772"/>
      <c r="Z161" s="772"/>
      <c r="AA161" s="773"/>
      <c r="AB161" s="197">
        <v>375</v>
      </c>
    </row>
    <row r="162" spans="1:28" ht="12.6" customHeight="1" x14ac:dyDescent="0.2">
      <c r="A162" s="20"/>
      <c r="B162" s="690" t="s">
        <v>187</v>
      </c>
      <c r="C162" s="698"/>
      <c r="D162" s="698"/>
      <c r="E162" s="699"/>
      <c r="F162" s="393">
        <f>4.67*X2</f>
        <v>4842.79</v>
      </c>
      <c r="G162" s="313">
        <f>+F162*$X$1</f>
        <v>4842.79</v>
      </c>
      <c r="H162" s="492">
        <f>F162+400</f>
        <v>5242.79</v>
      </c>
      <c r="I162" s="294">
        <f t="shared" ref="I162" si="291">+H162*$X$1</f>
        <v>5242.79</v>
      </c>
      <c r="J162" s="492">
        <f>F162+150</f>
        <v>4992.79</v>
      </c>
      <c r="K162" s="294">
        <f t="shared" ref="K162:K166" si="292">+J162*$X$1</f>
        <v>4992.79</v>
      </c>
      <c r="L162" s="492">
        <f t="shared" si="287"/>
        <v>4962.79</v>
      </c>
      <c r="M162" s="294">
        <f t="shared" ref="M162" si="293">+L162*$X$1</f>
        <v>4962.79</v>
      </c>
      <c r="N162" s="492">
        <f>F162+60</f>
        <v>4902.79</v>
      </c>
      <c r="O162" s="294">
        <f t="shared" si="288"/>
        <v>4902.79</v>
      </c>
      <c r="P162" s="492">
        <f t="shared" si="289"/>
        <v>4896.79</v>
      </c>
      <c r="Q162" s="294">
        <f t="shared" ref="Q162" si="294">+P162*$X$1</f>
        <v>4896.79</v>
      </c>
      <c r="R162" s="492">
        <f>F162+47</f>
        <v>4889.79</v>
      </c>
      <c r="S162" s="294">
        <f>+R162*$X$1</f>
        <v>4889.79</v>
      </c>
      <c r="T162" s="492">
        <f>F162+39</f>
        <v>4881.79</v>
      </c>
      <c r="U162" s="294">
        <f>+T162*$X$1</f>
        <v>4881.79</v>
      </c>
      <c r="V162" s="492">
        <f>F162+34</f>
        <v>4876.79</v>
      </c>
      <c r="W162" s="294">
        <f>+V162*$X$1</f>
        <v>4876.79</v>
      </c>
      <c r="X162" s="685"/>
      <c r="Y162" s="686"/>
      <c r="Z162" s="686"/>
      <c r="AA162" s="687"/>
      <c r="AB162" s="197">
        <v>376</v>
      </c>
    </row>
    <row r="163" spans="1:28" ht="12.6" customHeight="1" x14ac:dyDescent="0.2">
      <c r="A163" s="20"/>
      <c r="B163" s="693" t="s">
        <v>188</v>
      </c>
      <c r="C163" s="696"/>
      <c r="D163" s="696"/>
      <c r="E163" s="697"/>
      <c r="F163" s="392">
        <f>3.56*X2</f>
        <v>3691.7200000000003</v>
      </c>
      <c r="G163" s="260">
        <f t="shared" ref="G163:G165" si="295">+F163*$X$1</f>
        <v>3691.7200000000003</v>
      </c>
      <c r="H163" s="327"/>
      <c r="I163" s="353"/>
      <c r="J163" s="620">
        <f>F163+180</f>
        <v>3871.7200000000003</v>
      </c>
      <c r="K163" s="293">
        <f t="shared" si="292"/>
        <v>3871.7200000000003</v>
      </c>
      <c r="L163" s="620">
        <f t="shared" si="287"/>
        <v>3811.7200000000003</v>
      </c>
      <c r="M163" s="293">
        <f>+L163*$X$1</f>
        <v>3811.7200000000003</v>
      </c>
      <c r="N163" s="620">
        <f>F163+63</f>
        <v>3754.7200000000003</v>
      </c>
      <c r="O163" s="293">
        <f t="shared" si="288"/>
        <v>3754.7200000000003</v>
      </c>
      <c r="P163" s="620">
        <f t="shared" si="289"/>
        <v>3745.7200000000003</v>
      </c>
      <c r="Q163" s="293">
        <f>+P163*$X$1</f>
        <v>3745.7200000000003</v>
      </c>
      <c r="R163" s="620"/>
      <c r="S163" s="293"/>
      <c r="T163" s="104"/>
      <c r="U163" s="260"/>
      <c r="V163" s="104"/>
      <c r="W163" s="260"/>
      <c r="X163" s="680"/>
      <c r="Y163" s="772"/>
      <c r="Z163" s="772"/>
      <c r="AA163" s="773"/>
      <c r="AB163" s="197">
        <v>379</v>
      </c>
    </row>
    <row r="164" spans="1:28" ht="12.6" customHeight="1" x14ac:dyDescent="0.2">
      <c r="A164" s="105"/>
      <c r="B164" s="690" t="s">
        <v>404</v>
      </c>
      <c r="C164" s="698"/>
      <c r="D164" s="698"/>
      <c r="E164" s="699"/>
      <c r="F164" s="393">
        <f>1.862*X2</f>
        <v>1930.894</v>
      </c>
      <c r="G164" s="313">
        <f t="shared" si="295"/>
        <v>1930.894</v>
      </c>
      <c r="H164" s="492">
        <f>F164+420</f>
        <v>2350.8940000000002</v>
      </c>
      <c r="I164" s="294">
        <f>+H164*$X$1</f>
        <v>2350.8940000000002</v>
      </c>
      <c r="J164" s="492">
        <f>F164+180</f>
        <v>2110.8940000000002</v>
      </c>
      <c r="K164" s="294">
        <f t="shared" si="292"/>
        <v>2110.8940000000002</v>
      </c>
      <c r="L164" s="492">
        <f t="shared" si="287"/>
        <v>2050.8940000000002</v>
      </c>
      <c r="M164" s="294">
        <f>+L164*$X$1</f>
        <v>2050.8940000000002</v>
      </c>
      <c r="N164" s="492">
        <f>F164+63</f>
        <v>1993.894</v>
      </c>
      <c r="O164" s="294">
        <f t="shared" si="288"/>
        <v>1993.894</v>
      </c>
      <c r="P164" s="492">
        <f t="shared" si="289"/>
        <v>1984.894</v>
      </c>
      <c r="Q164" s="294">
        <f>+P164*$X$1</f>
        <v>1984.894</v>
      </c>
      <c r="R164" s="492">
        <f>F164+45</f>
        <v>1975.894</v>
      </c>
      <c r="S164" s="294">
        <f t="shared" ref="S164:S173" si="296">+R164*$X$1</f>
        <v>1975.894</v>
      </c>
      <c r="T164" s="103">
        <f>F164+37</f>
        <v>1967.894</v>
      </c>
      <c r="U164" s="313">
        <f t="shared" ref="U164:U173" si="297">+T164*$X$1</f>
        <v>1967.894</v>
      </c>
      <c r="V164" s="103">
        <f>F164+32</f>
        <v>1962.894</v>
      </c>
      <c r="W164" s="313">
        <f t="shared" ref="W164:W169" si="298">+V164*$X$1</f>
        <v>1962.894</v>
      </c>
      <c r="X164" s="680"/>
      <c r="Y164" s="772"/>
      <c r="Z164" s="772"/>
      <c r="AA164" s="773"/>
      <c r="AB164" s="197">
        <v>382</v>
      </c>
    </row>
    <row r="165" spans="1:28" ht="12.6" customHeight="1" x14ac:dyDescent="0.2">
      <c r="A165" s="20"/>
      <c r="B165" s="746" t="s">
        <v>927</v>
      </c>
      <c r="C165" s="747"/>
      <c r="D165" s="747"/>
      <c r="E165" s="748"/>
      <c r="F165" s="392">
        <f>23.17*X2</f>
        <v>24027.29</v>
      </c>
      <c r="G165" s="260">
        <f t="shared" si="295"/>
        <v>24027.29</v>
      </c>
      <c r="H165" s="620">
        <f>F165+400</f>
        <v>24427.29</v>
      </c>
      <c r="I165" s="293">
        <f t="shared" ref="I165" si="299">+H165*$X$1</f>
        <v>24427.29</v>
      </c>
      <c r="J165" s="620">
        <f>F165+150</f>
        <v>24177.29</v>
      </c>
      <c r="K165" s="293">
        <f t="shared" si="292"/>
        <v>24177.29</v>
      </c>
      <c r="L165" s="620">
        <f t="shared" ref="L165" si="300">F165+120</f>
        <v>24147.29</v>
      </c>
      <c r="M165" s="293">
        <f t="shared" ref="M165" si="301">+L165*$X$1</f>
        <v>24147.29</v>
      </c>
      <c r="N165" s="620">
        <f>F165+60</f>
        <v>24087.29</v>
      </c>
      <c r="O165" s="293">
        <f t="shared" ref="O165" si="302">+N165*$X$1</f>
        <v>24087.29</v>
      </c>
      <c r="P165" s="620">
        <f t="shared" ref="P165" si="303">F165+54</f>
        <v>24081.29</v>
      </c>
      <c r="Q165" s="293">
        <f t="shared" ref="Q165" si="304">+P165*$X$1</f>
        <v>24081.29</v>
      </c>
      <c r="R165" s="620">
        <f>F165+47</f>
        <v>24074.29</v>
      </c>
      <c r="S165" s="293">
        <f t="shared" ref="S165" si="305">+R165*$X$1</f>
        <v>24074.29</v>
      </c>
      <c r="T165" s="620">
        <f>F165+39</f>
        <v>24066.29</v>
      </c>
      <c r="U165" s="293">
        <f t="shared" ref="U165" si="306">+T165*$X$1</f>
        <v>24066.29</v>
      </c>
      <c r="V165" s="620">
        <f>F165+34</f>
        <v>24061.29</v>
      </c>
      <c r="W165" s="293">
        <f t="shared" si="298"/>
        <v>24061.29</v>
      </c>
      <c r="X165" s="680"/>
      <c r="Y165" s="772"/>
      <c r="Z165" s="772"/>
      <c r="AA165" s="773"/>
      <c r="AB165" s="197">
        <v>392</v>
      </c>
    </row>
    <row r="166" spans="1:28" ht="12.6" customHeight="1" x14ac:dyDescent="0.2">
      <c r="A166" s="20"/>
      <c r="B166" s="690" t="s">
        <v>585</v>
      </c>
      <c r="C166" s="698"/>
      <c r="D166" s="698"/>
      <c r="E166" s="699"/>
      <c r="F166" s="393">
        <f>17.8*X2</f>
        <v>18458.600000000002</v>
      </c>
      <c r="G166" s="313">
        <f t="shared" ref="G166" si="307">+F166*$X$1</f>
        <v>18458.600000000002</v>
      </c>
      <c r="H166" s="492">
        <f>F166+420</f>
        <v>18878.600000000002</v>
      </c>
      <c r="I166" s="294">
        <f>+H166*$X$1</f>
        <v>18878.600000000002</v>
      </c>
      <c r="J166" s="492">
        <f>F166+180</f>
        <v>18638.600000000002</v>
      </c>
      <c r="K166" s="294">
        <f t="shared" si="292"/>
        <v>18638.600000000002</v>
      </c>
      <c r="L166" s="492">
        <f t="shared" si="287"/>
        <v>18578.600000000002</v>
      </c>
      <c r="M166" s="294">
        <f>+L166*$X$1</f>
        <v>18578.600000000002</v>
      </c>
      <c r="N166" s="492">
        <f>F166+63</f>
        <v>18521.600000000002</v>
      </c>
      <c r="O166" s="294">
        <f t="shared" si="288"/>
        <v>18521.600000000002</v>
      </c>
      <c r="P166" s="492">
        <f t="shared" si="289"/>
        <v>18512.600000000002</v>
      </c>
      <c r="Q166" s="294">
        <f>+P166*$X$1</f>
        <v>18512.600000000002</v>
      </c>
      <c r="R166" s="492">
        <f>F166+45</f>
        <v>18503.600000000002</v>
      </c>
      <c r="S166" s="294">
        <f t="shared" si="296"/>
        <v>18503.600000000002</v>
      </c>
      <c r="T166" s="103">
        <f>F166+37</f>
        <v>18495.600000000002</v>
      </c>
      <c r="U166" s="313">
        <f t="shared" si="297"/>
        <v>18495.600000000002</v>
      </c>
      <c r="V166" s="103">
        <f>F166+32</f>
        <v>18490.600000000002</v>
      </c>
      <c r="W166" s="313">
        <f t="shared" si="298"/>
        <v>18490.600000000002</v>
      </c>
      <c r="X166" s="680"/>
      <c r="Y166" s="772"/>
      <c r="Z166" s="772"/>
      <c r="AA166" s="773"/>
      <c r="AB166" s="197">
        <v>395</v>
      </c>
    </row>
    <row r="167" spans="1:28" ht="12.6" customHeight="1" x14ac:dyDescent="0.2">
      <c r="A167" s="20"/>
      <c r="B167" s="693" t="s">
        <v>586</v>
      </c>
      <c r="C167" s="696"/>
      <c r="D167" s="696"/>
      <c r="E167" s="697"/>
      <c r="F167" s="392">
        <f>20.71*X2</f>
        <v>21476.27</v>
      </c>
      <c r="G167" s="260">
        <f t="shared" ref="G167" si="308">+F167*$X$1</f>
        <v>21476.27</v>
      </c>
      <c r="H167" s="596">
        <f>F167+400</f>
        <v>21876.27</v>
      </c>
      <c r="I167" s="293">
        <f t="shared" ref="I167:I169" si="309">+H167*$X$1</f>
        <v>21876.27</v>
      </c>
      <c r="J167" s="596">
        <f>F167+150</f>
        <v>21626.27</v>
      </c>
      <c r="K167" s="293">
        <f t="shared" ref="K167:K169" si="310">+J167*$X$1</f>
        <v>21626.27</v>
      </c>
      <c r="L167" s="596">
        <f t="shared" si="287"/>
        <v>21596.27</v>
      </c>
      <c r="M167" s="293">
        <f t="shared" ref="M167:M169" si="311">+L167*$X$1</f>
        <v>21596.27</v>
      </c>
      <c r="N167" s="596">
        <f>F167+60</f>
        <v>21536.27</v>
      </c>
      <c r="O167" s="293">
        <f t="shared" si="288"/>
        <v>21536.27</v>
      </c>
      <c r="P167" s="596">
        <f t="shared" si="289"/>
        <v>21530.27</v>
      </c>
      <c r="Q167" s="293">
        <f t="shared" ref="Q167:Q169" si="312">+P167*$X$1</f>
        <v>21530.27</v>
      </c>
      <c r="R167" s="596">
        <f>F167+47</f>
        <v>21523.27</v>
      </c>
      <c r="S167" s="293">
        <f t="shared" si="296"/>
        <v>21523.27</v>
      </c>
      <c r="T167" s="596">
        <f>F167+39</f>
        <v>21515.27</v>
      </c>
      <c r="U167" s="293">
        <f t="shared" si="297"/>
        <v>21515.27</v>
      </c>
      <c r="V167" s="596">
        <f>F167+34</f>
        <v>21510.27</v>
      </c>
      <c r="W167" s="293">
        <f t="shared" si="298"/>
        <v>21510.27</v>
      </c>
      <c r="X167" s="680"/>
      <c r="Y167" s="772"/>
      <c r="Z167" s="772"/>
      <c r="AA167" s="773"/>
      <c r="AB167" s="197">
        <v>398</v>
      </c>
    </row>
    <row r="168" spans="1:28" ht="12.6" customHeight="1" x14ac:dyDescent="0.2">
      <c r="A168" s="20"/>
      <c r="B168" s="710" t="s">
        <v>624</v>
      </c>
      <c r="C168" s="711"/>
      <c r="D168" s="711"/>
      <c r="E168" s="711"/>
      <c r="F168" s="393">
        <f>13.317*X2</f>
        <v>13809.728999999999</v>
      </c>
      <c r="G168" s="313">
        <f t="shared" ref="G168" si="313">+F168*$X$1</f>
        <v>13809.728999999999</v>
      </c>
      <c r="H168" s="492">
        <f>F168+400</f>
        <v>14209.728999999999</v>
      </c>
      <c r="I168" s="294">
        <f t="shared" si="309"/>
        <v>14209.728999999999</v>
      </c>
      <c r="J168" s="492">
        <f>F168+150</f>
        <v>13959.728999999999</v>
      </c>
      <c r="K168" s="294">
        <f t="shared" si="310"/>
        <v>13959.728999999999</v>
      </c>
      <c r="L168" s="492">
        <f t="shared" si="287"/>
        <v>13929.728999999999</v>
      </c>
      <c r="M168" s="294">
        <f t="shared" si="311"/>
        <v>13929.728999999999</v>
      </c>
      <c r="N168" s="492">
        <f>F168+60</f>
        <v>13869.728999999999</v>
      </c>
      <c r="O168" s="294">
        <f t="shared" si="288"/>
        <v>13869.728999999999</v>
      </c>
      <c r="P168" s="492">
        <f t="shared" si="289"/>
        <v>13863.728999999999</v>
      </c>
      <c r="Q168" s="294">
        <f t="shared" si="312"/>
        <v>13863.728999999999</v>
      </c>
      <c r="R168" s="492">
        <f>F168+47</f>
        <v>13856.728999999999</v>
      </c>
      <c r="S168" s="294">
        <f t="shared" si="296"/>
        <v>13856.728999999999</v>
      </c>
      <c r="T168" s="492">
        <f>F168+39</f>
        <v>13848.728999999999</v>
      </c>
      <c r="U168" s="294">
        <f t="shared" si="297"/>
        <v>13848.728999999999</v>
      </c>
      <c r="V168" s="492">
        <f>F168+34</f>
        <v>13843.728999999999</v>
      </c>
      <c r="W168" s="294">
        <f t="shared" si="298"/>
        <v>13843.728999999999</v>
      </c>
      <c r="X168" s="700"/>
      <c r="Y168" s="686"/>
      <c r="Z168" s="686"/>
      <c r="AA168" s="687"/>
      <c r="AB168" s="197" t="s">
        <v>625</v>
      </c>
    </row>
    <row r="169" spans="1:28" ht="12.6" customHeight="1" x14ac:dyDescent="0.2">
      <c r="A169" s="20"/>
      <c r="B169" s="979" t="s">
        <v>633</v>
      </c>
      <c r="C169" s="981"/>
      <c r="D169" s="981"/>
      <c r="E169" s="981"/>
      <c r="F169" s="392">
        <f>17.78*X2</f>
        <v>18437.86</v>
      </c>
      <c r="G169" s="260">
        <f t="shared" ref="G169" si="314">+F169*$X$1</f>
        <v>18437.86</v>
      </c>
      <c r="H169" s="596">
        <f>F169+400</f>
        <v>18837.86</v>
      </c>
      <c r="I169" s="293">
        <f t="shared" si="309"/>
        <v>18837.86</v>
      </c>
      <c r="J169" s="596">
        <f>F169+150</f>
        <v>18587.86</v>
      </c>
      <c r="K169" s="293">
        <f t="shared" si="310"/>
        <v>18587.86</v>
      </c>
      <c r="L169" s="596">
        <f t="shared" si="287"/>
        <v>18557.86</v>
      </c>
      <c r="M169" s="293">
        <f t="shared" si="311"/>
        <v>18557.86</v>
      </c>
      <c r="N169" s="596">
        <f>F169+60</f>
        <v>18497.86</v>
      </c>
      <c r="O169" s="293">
        <f t="shared" si="288"/>
        <v>18497.86</v>
      </c>
      <c r="P169" s="596">
        <f t="shared" si="289"/>
        <v>18491.86</v>
      </c>
      <c r="Q169" s="293">
        <f t="shared" si="312"/>
        <v>18491.86</v>
      </c>
      <c r="R169" s="596">
        <f>F169+47</f>
        <v>18484.86</v>
      </c>
      <c r="S169" s="293">
        <f t="shared" si="296"/>
        <v>18484.86</v>
      </c>
      <c r="T169" s="596">
        <f>F169+39</f>
        <v>18476.86</v>
      </c>
      <c r="U169" s="293">
        <f t="shared" si="297"/>
        <v>18476.86</v>
      </c>
      <c r="V169" s="596">
        <f>F169+34</f>
        <v>18471.86</v>
      </c>
      <c r="W169" s="293">
        <f t="shared" si="298"/>
        <v>18471.86</v>
      </c>
      <c r="X169" s="183"/>
      <c r="Y169" s="185"/>
      <c r="Z169" s="185"/>
      <c r="AA169" s="183"/>
      <c r="AB169" s="197" t="s">
        <v>632</v>
      </c>
    </row>
    <row r="170" spans="1:28" ht="12.6" customHeight="1" x14ac:dyDescent="0.2">
      <c r="A170" s="20"/>
      <c r="B170" s="710" t="s">
        <v>627</v>
      </c>
      <c r="C170" s="711"/>
      <c r="D170" s="711"/>
      <c r="E170" s="711"/>
      <c r="F170" s="393">
        <f>12.84*X2</f>
        <v>13315.08</v>
      </c>
      <c r="G170" s="313">
        <f t="shared" ref="G170" si="315">+F170*$X$1</f>
        <v>13315.08</v>
      </c>
      <c r="H170" s="492">
        <f>F170+420</f>
        <v>13735.08</v>
      </c>
      <c r="I170" s="294">
        <f>+H170*$X$1</f>
        <v>13735.08</v>
      </c>
      <c r="J170" s="492">
        <f>F170+180</f>
        <v>13495.08</v>
      </c>
      <c r="K170" s="294">
        <f t="shared" ref="K170" si="316">+J170*$X$1</f>
        <v>13495.08</v>
      </c>
      <c r="L170" s="492">
        <f t="shared" si="287"/>
        <v>13435.08</v>
      </c>
      <c r="M170" s="294">
        <f>+L170*$X$1</f>
        <v>13435.08</v>
      </c>
      <c r="N170" s="492">
        <f>F170+63</f>
        <v>13378.08</v>
      </c>
      <c r="O170" s="294">
        <f t="shared" si="288"/>
        <v>13378.08</v>
      </c>
      <c r="P170" s="492">
        <f t="shared" si="289"/>
        <v>13369.08</v>
      </c>
      <c r="Q170" s="294">
        <f>+P170*$X$1</f>
        <v>13369.08</v>
      </c>
      <c r="R170" s="492">
        <f>F170+45</f>
        <v>13360.08</v>
      </c>
      <c r="S170" s="294">
        <f t="shared" si="296"/>
        <v>13360.08</v>
      </c>
      <c r="T170" s="103">
        <f>F170+37</f>
        <v>13352.08</v>
      </c>
      <c r="U170" s="313">
        <f t="shared" si="297"/>
        <v>13352.08</v>
      </c>
      <c r="V170" s="103"/>
      <c r="W170" s="313"/>
      <c r="X170" s="680"/>
      <c r="Y170" s="772"/>
      <c r="Z170" s="772"/>
      <c r="AA170" s="773"/>
      <c r="AB170" s="197" t="s">
        <v>626</v>
      </c>
    </row>
    <row r="171" spans="1:28" ht="12.6" customHeight="1" x14ac:dyDescent="0.2">
      <c r="A171" s="20"/>
      <c r="B171" s="979" t="s">
        <v>358</v>
      </c>
      <c r="C171" s="981"/>
      <c r="D171" s="981"/>
      <c r="E171" s="981"/>
      <c r="F171" s="392">
        <f>15.93*X2</f>
        <v>16519.41</v>
      </c>
      <c r="G171" s="260">
        <f t="shared" ref="G171:G172" si="317">+F171*$X$1</f>
        <v>16519.41</v>
      </c>
      <c r="H171" s="596"/>
      <c r="I171" s="293"/>
      <c r="J171" s="596">
        <f>F171+180</f>
        <v>16699.41</v>
      </c>
      <c r="K171" s="293">
        <f t="shared" ref="K171:K173" si="318">+J171*$X$1</f>
        <v>16699.41</v>
      </c>
      <c r="L171" s="596">
        <f t="shared" si="287"/>
        <v>16639.41</v>
      </c>
      <c r="M171" s="293">
        <f>+L171*$X$1</f>
        <v>16639.41</v>
      </c>
      <c r="N171" s="596">
        <f>F171+63</f>
        <v>16582.41</v>
      </c>
      <c r="O171" s="293">
        <f t="shared" si="288"/>
        <v>16582.41</v>
      </c>
      <c r="P171" s="596">
        <f t="shared" si="289"/>
        <v>16573.41</v>
      </c>
      <c r="Q171" s="293">
        <f>+P171*$X$1</f>
        <v>16573.41</v>
      </c>
      <c r="R171" s="596">
        <f>F171+45</f>
        <v>16564.41</v>
      </c>
      <c r="S171" s="293">
        <f t="shared" si="296"/>
        <v>16564.41</v>
      </c>
      <c r="T171" s="104">
        <f>F171+37</f>
        <v>16556.41</v>
      </c>
      <c r="U171" s="260">
        <f t="shared" si="297"/>
        <v>16556.41</v>
      </c>
      <c r="V171" s="72"/>
      <c r="W171" s="72"/>
      <c r="X171" s="680"/>
      <c r="Y171" s="772"/>
      <c r="Z171" s="772"/>
      <c r="AA171" s="773"/>
      <c r="AB171" s="197">
        <v>405</v>
      </c>
    </row>
    <row r="172" spans="1:28" ht="12.6" customHeight="1" x14ac:dyDescent="0.2">
      <c r="A172" s="20"/>
      <c r="B172" s="710" t="s">
        <v>631</v>
      </c>
      <c r="C172" s="711"/>
      <c r="D172" s="711"/>
      <c r="E172" s="711"/>
      <c r="F172" s="393">
        <f>15.6*X2</f>
        <v>16177.199999999999</v>
      </c>
      <c r="G172" s="313">
        <f t="shared" si="317"/>
        <v>16177.199999999999</v>
      </c>
      <c r="H172" s="492">
        <f>F172+400</f>
        <v>16577.199999999997</v>
      </c>
      <c r="I172" s="294">
        <f t="shared" ref="I172:I173" si="319">+H172*$X$1</f>
        <v>16577.199999999997</v>
      </c>
      <c r="J172" s="492">
        <f>F172+150</f>
        <v>16327.199999999999</v>
      </c>
      <c r="K172" s="294">
        <f t="shared" si="318"/>
        <v>16327.199999999999</v>
      </c>
      <c r="L172" s="492">
        <f t="shared" si="287"/>
        <v>16297.199999999999</v>
      </c>
      <c r="M172" s="294">
        <f t="shared" ref="M172:M173" si="320">+L172*$X$1</f>
        <v>16297.199999999999</v>
      </c>
      <c r="N172" s="492">
        <f>F172+60</f>
        <v>16237.199999999999</v>
      </c>
      <c r="O172" s="294">
        <f t="shared" si="288"/>
        <v>16237.199999999999</v>
      </c>
      <c r="P172" s="492">
        <f t="shared" si="289"/>
        <v>16231.199999999999</v>
      </c>
      <c r="Q172" s="294">
        <f t="shared" ref="Q172:Q173" si="321">+P172*$X$1</f>
        <v>16231.199999999999</v>
      </c>
      <c r="R172" s="492">
        <f>F172+47</f>
        <v>16224.199999999999</v>
      </c>
      <c r="S172" s="294">
        <f t="shared" si="296"/>
        <v>16224.199999999999</v>
      </c>
      <c r="T172" s="492">
        <f>F172+39</f>
        <v>16216.199999999999</v>
      </c>
      <c r="U172" s="294">
        <f t="shared" si="297"/>
        <v>16216.199999999999</v>
      </c>
      <c r="V172" s="492">
        <f>F172+34</f>
        <v>16211.199999999999</v>
      </c>
      <c r="W172" s="294">
        <f>+V172*$X$1</f>
        <v>16211.199999999999</v>
      </c>
      <c r="X172" s="700"/>
      <c r="Y172" s="686"/>
      <c r="Z172" s="686"/>
      <c r="AA172" s="687"/>
      <c r="AB172" s="197" t="s">
        <v>630</v>
      </c>
    </row>
    <row r="173" spans="1:28" ht="12.6" customHeight="1" x14ac:dyDescent="0.2">
      <c r="A173" s="20"/>
      <c r="B173" s="683" t="s">
        <v>629</v>
      </c>
      <c r="C173" s="712"/>
      <c r="D173" s="712"/>
      <c r="E173" s="712"/>
      <c r="F173" s="392">
        <f>16.54*X2</f>
        <v>17151.98</v>
      </c>
      <c r="G173" s="260">
        <f t="shared" ref="G173" si="322">+F173*$X$1</f>
        <v>17151.98</v>
      </c>
      <c r="H173" s="596">
        <f>F173+400</f>
        <v>17551.98</v>
      </c>
      <c r="I173" s="293">
        <f t="shared" si="319"/>
        <v>17551.98</v>
      </c>
      <c r="J173" s="596">
        <f>F173+150</f>
        <v>17301.98</v>
      </c>
      <c r="K173" s="293">
        <f t="shared" si="318"/>
        <v>17301.98</v>
      </c>
      <c r="L173" s="596">
        <f t="shared" si="287"/>
        <v>17271.98</v>
      </c>
      <c r="M173" s="293">
        <f t="shared" si="320"/>
        <v>17271.98</v>
      </c>
      <c r="N173" s="596">
        <f>F173+60</f>
        <v>17211.98</v>
      </c>
      <c r="O173" s="293">
        <f t="shared" si="288"/>
        <v>17211.98</v>
      </c>
      <c r="P173" s="596">
        <f t="shared" si="289"/>
        <v>17205.98</v>
      </c>
      <c r="Q173" s="293">
        <f t="shared" si="321"/>
        <v>17205.98</v>
      </c>
      <c r="R173" s="596">
        <f>F173+47</f>
        <v>17198.98</v>
      </c>
      <c r="S173" s="293">
        <f t="shared" si="296"/>
        <v>17198.98</v>
      </c>
      <c r="T173" s="596">
        <f>F173+39</f>
        <v>17190.98</v>
      </c>
      <c r="U173" s="293">
        <f t="shared" si="297"/>
        <v>17190.98</v>
      </c>
      <c r="V173" s="596">
        <f>F173+34</f>
        <v>17185.98</v>
      </c>
      <c r="W173" s="293">
        <f>+V173*$X$1</f>
        <v>17185.98</v>
      </c>
      <c r="X173" s="680"/>
      <c r="Y173" s="772"/>
      <c r="Z173" s="772"/>
      <c r="AA173" s="773"/>
      <c r="AB173" s="197" t="s">
        <v>628</v>
      </c>
    </row>
    <row r="174" spans="1:28" ht="12.6" customHeight="1" x14ac:dyDescent="0.2">
      <c r="A174" s="25"/>
      <c r="B174" s="706" t="s">
        <v>654</v>
      </c>
      <c r="C174" s="713"/>
      <c r="D174" s="713"/>
      <c r="E174" s="713"/>
      <c r="F174" s="328">
        <v>171</v>
      </c>
      <c r="G174" s="548"/>
      <c r="H174" s="380"/>
      <c r="I174" s="739" t="s">
        <v>596</v>
      </c>
      <c r="J174" s="740"/>
      <c r="K174" s="740"/>
      <c r="L174" s="740"/>
      <c r="M174" s="741"/>
      <c r="N174" s="492">
        <f>F174+154</f>
        <v>325</v>
      </c>
      <c r="O174" s="294">
        <f t="shared" ref="O174" si="323">+N174*$X$1</f>
        <v>325</v>
      </c>
      <c r="P174" s="492">
        <f>F174+137</f>
        <v>308</v>
      </c>
      <c r="Q174" s="294">
        <f t="shared" ref="Q174" si="324">+P174*$X$1</f>
        <v>308</v>
      </c>
      <c r="R174" s="492">
        <f>F174+127</f>
        <v>298</v>
      </c>
      <c r="S174" s="294">
        <f t="shared" ref="S174" si="325">+R174*$X$1</f>
        <v>298</v>
      </c>
      <c r="T174" s="492">
        <f>F174+105</f>
        <v>276</v>
      </c>
      <c r="U174" s="294">
        <f t="shared" ref="U174" si="326">+T174*$X$1</f>
        <v>276</v>
      </c>
      <c r="V174" s="492">
        <f>F174+94</f>
        <v>265</v>
      </c>
      <c r="W174" s="294">
        <f t="shared" ref="W174" si="327">+V174*$X$1</f>
        <v>265</v>
      </c>
      <c r="X174" s="162"/>
      <c r="Y174" s="152"/>
      <c r="Z174" s="152"/>
      <c r="AA174" s="152"/>
      <c r="AB174" s="197">
        <v>415</v>
      </c>
    </row>
    <row r="175" spans="1:28" ht="12.6" customHeight="1" x14ac:dyDescent="0.2">
      <c r="A175" s="25"/>
      <c r="B175" s="683" t="s">
        <v>542</v>
      </c>
      <c r="C175" s="712"/>
      <c r="D175" s="712"/>
      <c r="E175" s="712"/>
      <c r="F175" s="314">
        <v>191</v>
      </c>
      <c r="G175" s="490"/>
      <c r="H175" s="381"/>
      <c r="I175" s="742"/>
      <c r="J175" s="742"/>
      <c r="K175" s="742"/>
      <c r="L175" s="742"/>
      <c r="M175" s="743"/>
      <c r="N175" s="596">
        <f>F175+154</f>
        <v>345</v>
      </c>
      <c r="O175" s="293">
        <f t="shared" ref="O175:O177" si="328">+N175*$X$1</f>
        <v>345</v>
      </c>
      <c r="P175" s="596">
        <f>F175+137</f>
        <v>328</v>
      </c>
      <c r="Q175" s="293">
        <f t="shared" ref="Q175:Q177" si="329">+P175*$X$1</f>
        <v>328</v>
      </c>
      <c r="R175" s="596">
        <f>F175+127</f>
        <v>318</v>
      </c>
      <c r="S175" s="293">
        <f t="shared" ref="S175:S177" si="330">+R175*$X$1</f>
        <v>318</v>
      </c>
      <c r="T175" s="596">
        <f>F175+105</f>
        <v>296</v>
      </c>
      <c r="U175" s="293">
        <f t="shared" ref="U175:U177" si="331">+T175*$X$1</f>
        <v>296</v>
      </c>
      <c r="V175" s="596">
        <f>F175+94</f>
        <v>285</v>
      </c>
      <c r="W175" s="293">
        <f t="shared" ref="W175:W177" si="332">+V175*$X$1</f>
        <v>285</v>
      </c>
      <c r="X175" s="162"/>
      <c r="Y175" s="152"/>
      <c r="Z175" s="152"/>
      <c r="AA175" s="152"/>
      <c r="AB175" s="197">
        <v>416</v>
      </c>
    </row>
    <row r="176" spans="1:28" ht="12.6" customHeight="1" x14ac:dyDescent="0.2">
      <c r="A176" s="25"/>
      <c r="B176" s="704" t="s">
        <v>543</v>
      </c>
      <c r="C176" s="705"/>
      <c r="D176" s="705"/>
      <c r="E176" s="705"/>
      <c r="F176" s="328">
        <v>183</v>
      </c>
      <c r="G176" s="548"/>
      <c r="H176" s="381"/>
      <c r="I176" s="742"/>
      <c r="J176" s="742"/>
      <c r="K176" s="742"/>
      <c r="L176" s="742"/>
      <c r="M176" s="743"/>
      <c r="N176" s="492">
        <f>F176+154</f>
        <v>337</v>
      </c>
      <c r="O176" s="294">
        <f t="shared" si="328"/>
        <v>337</v>
      </c>
      <c r="P176" s="492">
        <f>F176+137</f>
        <v>320</v>
      </c>
      <c r="Q176" s="294">
        <f t="shared" si="329"/>
        <v>320</v>
      </c>
      <c r="R176" s="492">
        <f>F176+127</f>
        <v>310</v>
      </c>
      <c r="S176" s="294">
        <f t="shared" si="330"/>
        <v>310</v>
      </c>
      <c r="T176" s="492">
        <f>F176+105</f>
        <v>288</v>
      </c>
      <c r="U176" s="294">
        <f t="shared" si="331"/>
        <v>288</v>
      </c>
      <c r="V176" s="492">
        <f>F176+94</f>
        <v>277</v>
      </c>
      <c r="W176" s="294">
        <f t="shared" si="332"/>
        <v>277</v>
      </c>
      <c r="X176" s="162"/>
      <c r="Y176" s="152"/>
      <c r="Z176" s="152"/>
      <c r="AA176" s="152"/>
      <c r="AB176" s="197">
        <v>417</v>
      </c>
    </row>
    <row r="177" spans="1:28" ht="12.6" customHeight="1" x14ac:dyDescent="0.2">
      <c r="A177" s="25"/>
      <c r="B177" s="683" t="s">
        <v>544</v>
      </c>
      <c r="C177" s="712"/>
      <c r="D177" s="712"/>
      <c r="E177" s="712"/>
      <c r="F177" s="314">
        <v>183</v>
      </c>
      <c r="G177" s="546"/>
      <c r="H177" s="382"/>
      <c r="I177" s="744"/>
      <c r="J177" s="744"/>
      <c r="K177" s="744"/>
      <c r="L177" s="744"/>
      <c r="M177" s="745"/>
      <c r="N177" s="596">
        <f>F177+154</f>
        <v>337</v>
      </c>
      <c r="O177" s="293">
        <f t="shared" si="328"/>
        <v>337</v>
      </c>
      <c r="P177" s="596">
        <f>F177+137</f>
        <v>320</v>
      </c>
      <c r="Q177" s="293">
        <f t="shared" si="329"/>
        <v>320</v>
      </c>
      <c r="R177" s="596">
        <f>F177+127</f>
        <v>310</v>
      </c>
      <c r="S177" s="293">
        <f t="shared" si="330"/>
        <v>310</v>
      </c>
      <c r="T177" s="596">
        <f>F177+105</f>
        <v>288</v>
      </c>
      <c r="U177" s="293">
        <f t="shared" si="331"/>
        <v>288</v>
      </c>
      <c r="V177" s="596">
        <f>F177+94</f>
        <v>277</v>
      </c>
      <c r="W177" s="293">
        <f t="shared" si="332"/>
        <v>277</v>
      </c>
      <c r="X177" s="162"/>
      <c r="Y177" s="152"/>
      <c r="Z177" s="152"/>
      <c r="AA177" s="152"/>
      <c r="AB177" s="197">
        <v>418</v>
      </c>
    </row>
    <row r="178" spans="1:28" ht="12.6" customHeight="1" x14ac:dyDescent="0.2">
      <c r="A178" s="25"/>
      <c r="B178" s="704" t="s">
        <v>189</v>
      </c>
      <c r="C178" s="705"/>
      <c r="D178" s="705"/>
      <c r="E178" s="705"/>
      <c r="F178" s="396">
        <v>896</v>
      </c>
      <c r="G178" s="328">
        <f t="shared" ref="G178:G189" si="333">+F178*$X$1</f>
        <v>896</v>
      </c>
      <c r="H178" s="292"/>
      <c r="I178" s="361"/>
      <c r="J178" s="120"/>
      <c r="K178" s="547"/>
      <c r="L178" s="103">
        <f>F178+75</f>
        <v>971</v>
      </c>
      <c r="M178" s="313">
        <f t="shared" ref="M178:M179" si="334">+L178*$X$1</f>
        <v>971</v>
      </c>
      <c r="N178" s="103">
        <f>F178+55</f>
        <v>951</v>
      </c>
      <c r="O178" s="328">
        <f>+N178*$X$1</f>
        <v>951</v>
      </c>
      <c r="P178" s="103">
        <f>F178+49</f>
        <v>945</v>
      </c>
      <c r="Q178" s="328">
        <f>+P178*$X$1</f>
        <v>945</v>
      </c>
      <c r="R178" s="492">
        <f>F178+42</f>
        <v>938</v>
      </c>
      <c r="S178" s="294">
        <f>+R178*$X$1</f>
        <v>938</v>
      </c>
      <c r="T178" s="492">
        <f>F178+34</f>
        <v>930</v>
      </c>
      <c r="U178" s="294">
        <f>+T178*$X$1</f>
        <v>930</v>
      </c>
      <c r="V178" s="492">
        <f>F178+30</f>
        <v>926</v>
      </c>
      <c r="W178" s="294">
        <f>+V178*$X$1</f>
        <v>926</v>
      </c>
      <c r="X178" s="752"/>
      <c r="Y178" s="753"/>
      <c r="Z178" s="753"/>
      <c r="AA178" s="754"/>
      <c r="AB178" s="432">
        <v>421</v>
      </c>
    </row>
    <row r="179" spans="1:28" ht="12.6" customHeight="1" x14ac:dyDescent="0.2">
      <c r="A179" s="25"/>
      <c r="B179" s="708" t="s">
        <v>601</v>
      </c>
      <c r="C179" s="709"/>
      <c r="D179" s="709"/>
      <c r="E179" s="709"/>
      <c r="F179" s="397">
        <v>813</v>
      </c>
      <c r="G179" s="314">
        <f t="shared" si="333"/>
        <v>813</v>
      </c>
      <c r="H179" s="1022" t="s">
        <v>638</v>
      </c>
      <c r="I179" s="1023"/>
      <c r="J179" s="1023"/>
      <c r="K179" s="1024"/>
      <c r="L179" s="596">
        <f>F179+200</f>
        <v>1013</v>
      </c>
      <c r="M179" s="293">
        <f t="shared" si="334"/>
        <v>1013</v>
      </c>
      <c r="N179" s="596">
        <f>F179+110</f>
        <v>923</v>
      </c>
      <c r="O179" s="293">
        <f t="shared" ref="O179" si="335">+N179*$X$1</f>
        <v>923</v>
      </c>
      <c r="P179" s="596">
        <f>F179+80</f>
        <v>893</v>
      </c>
      <c r="Q179" s="293">
        <f t="shared" ref="Q179" si="336">+P179*$X$1</f>
        <v>893</v>
      </c>
      <c r="R179" s="596">
        <f>F179+70</f>
        <v>883</v>
      </c>
      <c r="S179" s="293">
        <f t="shared" ref="S179" si="337">+R179*$X$1</f>
        <v>883</v>
      </c>
      <c r="T179" s="104">
        <f>F179+63</f>
        <v>876</v>
      </c>
      <c r="U179" s="260">
        <f t="shared" ref="U179" si="338">+T179*$X$1</f>
        <v>876</v>
      </c>
      <c r="V179" s="596">
        <f>F179+57</f>
        <v>870</v>
      </c>
      <c r="W179" s="293">
        <f t="shared" ref="W179" si="339">+V179*$X$1</f>
        <v>870</v>
      </c>
      <c r="X179" s="752"/>
      <c r="Y179" s="753"/>
      <c r="Z179" s="753"/>
      <c r="AA179" s="754"/>
      <c r="AB179" s="432" t="s">
        <v>744</v>
      </c>
    </row>
    <row r="180" spans="1:28" ht="12.6" customHeight="1" x14ac:dyDescent="0.2">
      <c r="A180" s="25"/>
      <c r="B180" s="708" t="s">
        <v>598</v>
      </c>
      <c r="C180" s="709"/>
      <c r="D180" s="709"/>
      <c r="E180" s="709"/>
      <c r="F180" s="396">
        <v>813</v>
      </c>
      <c r="G180" s="328">
        <f t="shared" si="333"/>
        <v>813</v>
      </c>
      <c r="H180" s="1025"/>
      <c r="I180" s="1026"/>
      <c r="J180" s="1026"/>
      <c r="K180" s="1027"/>
      <c r="L180" s="492">
        <f>F180+200</f>
        <v>1013</v>
      </c>
      <c r="M180" s="294">
        <f t="shared" ref="M180:M182" si="340">+L180*$X$1</f>
        <v>1013</v>
      </c>
      <c r="N180" s="492">
        <f>F180+110</f>
        <v>923</v>
      </c>
      <c r="O180" s="294">
        <f t="shared" ref="O180:O182" si="341">+N180*$X$1</f>
        <v>923</v>
      </c>
      <c r="P180" s="492">
        <f>F180+80</f>
        <v>893</v>
      </c>
      <c r="Q180" s="294">
        <f t="shared" ref="Q180:Q182" si="342">+P180*$X$1</f>
        <v>893</v>
      </c>
      <c r="R180" s="492">
        <f>F180+70</f>
        <v>883</v>
      </c>
      <c r="S180" s="294">
        <f t="shared" ref="S180:S182" si="343">+R180*$X$1</f>
        <v>883</v>
      </c>
      <c r="T180" s="103">
        <f>F180+63</f>
        <v>876</v>
      </c>
      <c r="U180" s="313">
        <f t="shared" ref="U180:U182" si="344">+T180*$X$1</f>
        <v>876</v>
      </c>
      <c r="V180" s="492">
        <f>F180+57</f>
        <v>870</v>
      </c>
      <c r="W180" s="294">
        <f t="shared" ref="W180:W182" si="345">+V180*$X$1</f>
        <v>870</v>
      </c>
      <c r="X180" s="752"/>
      <c r="Y180" s="753"/>
      <c r="Z180" s="753"/>
      <c r="AA180" s="754"/>
      <c r="AB180" s="432" t="s">
        <v>739</v>
      </c>
    </row>
    <row r="181" spans="1:28" ht="12.6" customHeight="1" x14ac:dyDescent="0.2">
      <c r="A181" s="25"/>
      <c r="B181" s="708" t="s">
        <v>597</v>
      </c>
      <c r="C181" s="709"/>
      <c r="D181" s="709"/>
      <c r="E181" s="709"/>
      <c r="F181" s="397">
        <v>813</v>
      </c>
      <c r="G181" s="314">
        <f t="shared" si="333"/>
        <v>813</v>
      </c>
      <c r="H181" s="1025"/>
      <c r="I181" s="1026"/>
      <c r="J181" s="1026"/>
      <c r="K181" s="1027"/>
      <c r="L181" s="596">
        <f>F181+200</f>
        <v>1013</v>
      </c>
      <c r="M181" s="293">
        <f t="shared" si="340"/>
        <v>1013</v>
      </c>
      <c r="N181" s="596">
        <f>F181+110</f>
        <v>923</v>
      </c>
      <c r="O181" s="293">
        <f t="shared" si="341"/>
        <v>923</v>
      </c>
      <c r="P181" s="596">
        <f>F181+80</f>
        <v>893</v>
      </c>
      <c r="Q181" s="293">
        <f t="shared" si="342"/>
        <v>893</v>
      </c>
      <c r="R181" s="596">
        <f>F181+70</f>
        <v>883</v>
      </c>
      <c r="S181" s="293">
        <f t="shared" si="343"/>
        <v>883</v>
      </c>
      <c r="T181" s="104">
        <f>F181+63</f>
        <v>876</v>
      </c>
      <c r="U181" s="260">
        <f t="shared" si="344"/>
        <v>876</v>
      </c>
      <c r="V181" s="596">
        <f>F181+57</f>
        <v>870</v>
      </c>
      <c r="W181" s="293">
        <f t="shared" si="345"/>
        <v>870</v>
      </c>
      <c r="X181" s="752"/>
      <c r="Y181" s="753"/>
      <c r="Z181" s="753"/>
      <c r="AA181" s="754"/>
      <c r="AB181" s="432" t="s">
        <v>741</v>
      </c>
    </row>
    <row r="182" spans="1:28" ht="12.6" customHeight="1" x14ac:dyDescent="0.2">
      <c r="A182" s="25"/>
      <c r="B182" s="708" t="s">
        <v>600</v>
      </c>
      <c r="C182" s="709"/>
      <c r="D182" s="709"/>
      <c r="E182" s="709"/>
      <c r="F182" s="396">
        <v>813</v>
      </c>
      <c r="G182" s="328">
        <f t="shared" si="333"/>
        <v>813</v>
      </c>
      <c r="H182" s="1025"/>
      <c r="I182" s="1026"/>
      <c r="J182" s="1026"/>
      <c r="K182" s="1027"/>
      <c r="L182" s="492">
        <f>F182+200</f>
        <v>1013</v>
      </c>
      <c r="M182" s="294">
        <f t="shared" si="340"/>
        <v>1013</v>
      </c>
      <c r="N182" s="492">
        <f>F182+110</f>
        <v>923</v>
      </c>
      <c r="O182" s="294">
        <f t="shared" si="341"/>
        <v>923</v>
      </c>
      <c r="P182" s="492">
        <f>F182+80</f>
        <v>893</v>
      </c>
      <c r="Q182" s="294">
        <f t="shared" si="342"/>
        <v>893</v>
      </c>
      <c r="R182" s="492">
        <f>F182+70</f>
        <v>883</v>
      </c>
      <c r="S182" s="294">
        <f t="shared" si="343"/>
        <v>883</v>
      </c>
      <c r="T182" s="103">
        <f>F182+63</f>
        <v>876</v>
      </c>
      <c r="U182" s="313">
        <f t="shared" si="344"/>
        <v>876</v>
      </c>
      <c r="V182" s="492">
        <f>F182+57</f>
        <v>870</v>
      </c>
      <c r="W182" s="294">
        <f t="shared" si="345"/>
        <v>870</v>
      </c>
      <c r="X182" s="1014"/>
      <c r="Y182" s="1015"/>
      <c r="Z182" s="1015"/>
      <c r="AA182" s="1016"/>
      <c r="AB182" s="432" t="s">
        <v>740</v>
      </c>
    </row>
    <row r="183" spans="1:28" ht="12.6" customHeight="1" x14ac:dyDescent="0.2">
      <c r="A183" s="25"/>
      <c r="B183" s="708" t="s">
        <v>743</v>
      </c>
      <c r="C183" s="709"/>
      <c r="D183" s="709"/>
      <c r="E183" s="709"/>
      <c r="F183" s="397">
        <v>890</v>
      </c>
      <c r="G183" s="314">
        <f t="shared" ref="G183" si="346">+F183*$X$1</f>
        <v>890</v>
      </c>
      <c r="H183" s="1025"/>
      <c r="I183" s="1026"/>
      <c r="J183" s="1026"/>
      <c r="K183" s="1027"/>
      <c r="L183" s="596">
        <f>F183+200</f>
        <v>1090</v>
      </c>
      <c r="M183" s="293">
        <f t="shared" ref="M183" si="347">+L183*$X$1</f>
        <v>1090</v>
      </c>
      <c r="N183" s="596">
        <f>F183+110</f>
        <v>1000</v>
      </c>
      <c r="O183" s="293">
        <f t="shared" ref="O183" si="348">+N183*$X$1</f>
        <v>1000</v>
      </c>
      <c r="P183" s="596">
        <f>F183+80</f>
        <v>970</v>
      </c>
      <c r="Q183" s="293">
        <f t="shared" ref="Q183" si="349">+P183*$X$1</f>
        <v>970</v>
      </c>
      <c r="R183" s="596">
        <f>F183+70</f>
        <v>960</v>
      </c>
      <c r="S183" s="293">
        <f t="shared" ref="S183" si="350">+R183*$X$1</f>
        <v>960</v>
      </c>
      <c r="T183" s="104">
        <f>F183+63</f>
        <v>953</v>
      </c>
      <c r="U183" s="260">
        <f t="shared" ref="U183" si="351">+T183*$X$1</f>
        <v>953</v>
      </c>
      <c r="V183" s="596">
        <f>F183+57</f>
        <v>947</v>
      </c>
      <c r="W183" s="293">
        <f t="shared" ref="W183" si="352">+V183*$X$1</f>
        <v>947</v>
      </c>
      <c r="X183" s="752"/>
      <c r="Y183" s="753"/>
      <c r="Z183" s="753"/>
      <c r="AA183" s="754"/>
      <c r="AB183" s="432" t="s">
        <v>742</v>
      </c>
    </row>
    <row r="184" spans="1:28" ht="12.6" customHeight="1" x14ac:dyDescent="0.2">
      <c r="A184" s="25"/>
      <c r="B184" s="708" t="s">
        <v>599</v>
      </c>
      <c r="C184" s="709"/>
      <c r="D184" s="709"/>
      <c r="E184" s="709"/>
      <c r="F184" s="396">
        <v>906</v>
      </c>
      <c r="G184" s="328">
        <f t="shared" si="333"/>
        <v>906</v>
      </c>
      <c r="H184" s="1028"/>
      <c r="I184" s="1029"/>
      <c r="J184" s="1029"/>
      <c r="K184" s="1030"/>
      <c r="L184" s="492">
        <f>F184+230</f>
        <v>1136</v>
      </c>
      <c r="M184" s="294">
        <f t="shared" ref="M184" si="353">+L184*$X$1</f>
        <v>1136</v>
      </c>
      <c r="N184" s="492">
        <f>F184+130</f>
        <v>1036</v>
      </c>
      <c r="O184" s="294">
        <f t="shared" ref="O184" si="354">+N184*$X$1</f>
        <v>1036</v>
      </c>
      <c r="P184" s="492">
        <f>F184+100</f>
        <v>1006</v>
      </c>
      <c r="Q184" s="294">
        <f t="shared" ref="Q184" si="355">+P184*$X$1</f>
        <v>1006</v>
      </c>
      <c r="R184" s="492">
        <f>F184+90</f>
        <v>996</v>
      </c>
      <c r="S184" s="294">
        <f t="shared" ref="S184" si="356">+R184*$X$1</f>
        <v>996</v>
      </c>
      <c r="T184" s="103">
        <f>F184+83</f>
        <v>989</v>
      </c>
      <c r="U184" s="313">
        <f t="shared" ref="U184" si="357">+T184*$X$1</f>
        <v>989</v>
      </c>
      <c r="V184" s="492">
        <f>F184+77</f>
        <v>983</v>
      </c>
      <c r="W184" s="294">
        <f t="shared" ref="W184" si="358">+V184*$X$1</f>
        <v>983</v>
      </c>
      <c r="X184" s="752"/>
      <c r="Y184" s="753"/>
      <c r="Z184" s="753"/>
      <c r="AA184" s="754"/>
      <c r="AB184" s="432" t="s">
        <v>738</v>
      </c>
    </row>
    <row r="185" spans="1:28" ht="12.6" customHeight="1" x14ac:dyDescent="0.2">
      <c r="A185" s="105"/>
      <c r="B185" s="1011" t="s">
        <v>398</v>
      </c>
      <c r="C185" s="1096"/>
      <c r="D185" s="1096"/>
      <c r="E185" s="1096"/>
      <c r="F185" s="545">
        <f>0.9*X2</f>
        <v>933.30000000000007</v>
      </c>
      <c r="G185" s="474">
        <f t="shared" si="333"/>
        <v>933.30000000000007</v>
      </c>
      <c r="H185" s="407"/>
      <c r="I185" s="340"/>
      <c r="J185" s="407"/>
      <c r="K185" s="340"/>
      <c r="L185" s="596">
        <f>F185+120</f>
        <v>1053.3000000000002</v>
      </c>
      <c r="M185" s="293">
        <f>+L185*$X$1</f>
        <v>1053.3000000000002</v>
      </c>
      <c r="N185" s="596">
        <f>F185+63</f>
        <v>996.30000000000007</v>
      </c>
      <c r="O185" s="293">
        <f>+N185*$X$1</f>
        <v>996.30000000000007</v>
      </c>
      <c r="P185" s="596">
        <f>F185+54</f>
        <v>987.30000000000007</v>
      </c>
      <c r="Q185" s="293">
        <f>+P185*$X$1</f>
        <v>987.30000000000007</v>
      </c>
      <c r="R185" s="596">
        <f>F185+45</f>
        <v>978.30000000000007</v>
      </c>
      <c r="S185" s="293">
        <f>+R185*$X$1</f>
        <v>978.30000000000007</v>
      </c>
      <c r="T185" s="104">
        <f>F185+37</f>
        <v>970.30000000000007</v>
      </c>
      <c r="U185" s="260">
        <f>+T185*$X$1</f>
        <v>970.30000000000007</v>
      </c>
      <c r="V185" s="104">
        <f>F185+32</f>
        <v>965.30000000000007</v>
      </c>
      <c r="W185" s="260">
        <f>+V185*$X$1</f>
        <v>965.30000000000007</v>
      </c>
      <c r="X185" s="152"/>
      <c r="Y185" s="161"/>
      <c r="Z185" s="152"/>
      <c r="AA185" s="152"/>
      <c r="AB185" s="197">
        <v>425</v>
      </c>
    </row>
    <row r="186" spans="1:28" ht="12.6" customHeight="1" x14ac:dyDescent="0.2">
      <c r="A186" s="105"/>
      <c r="B186" s="708" t="s">
        <v>877</v>
      </c>
      <c r="C186" s="788"/>
      <c r="D186" s="788"/>
      <c r="E186" s="788"/>
      <c r="F186" s="294">
        <f>0.62*X2</f>
        <v>642.93999999999994</v>
      </c>
      <c r="G186" s="294">
        <f t="shared" ref="G186" si="359">+F186*$X$1</f>
        <v>642.93999999999994</v>
      </c>
      <c r="H186" s="101"/>
      <c r="I186" s="339"/>
      <c r="J186" s="101"/>
      <c r="K186" s="339"/>
      <c r="L186" s="492">
        <f>F186+120</f>
        <v>762.93999999999994</v>
      </c>
      <c r="M186" s="294">
        <f>+L186*$X$1</f>
        <v>762.93999999999994</v>
      </c>
      <c r="N186" s="492">
        <f>F186+63</f>
        <v>705.93999999999994</v>
      </c>
      <c r="O186" s="294">
        <f>+N186*$X$1</f>
        <v>705.93999999999994</v>
      </c>
      <c r="P186" s="492">
        <f>F186+54</f>
        <v>696.93999999999994</v>
      </c>
      <c r="Q186" s="294">
        <f>+P186*$X$1</f>
        <v>696.93999999999994</v>
      </c>
      <c r="R186" s="492">
        <f>F186+45</f>
        <v>687.93999999999994</v>
      </c>
      <c r="S186" s="294">
        <f>+R186*$X$1</f>
        <v>687.93999999999994</v>
      </c>
      <c r="T186" s="103">
        <f>F186+37</f>
        <v>679.93999999999994</v>
      </c>
      <c r="U186" s="313">
        <f>+T186*$X$1</f>
        <v>679.93999999999994</v>
      </c>
      <c r="V186" s="103">
        <f>F186+32</f>
        <v>674.93999999999994</v>
      </c>
      <c r="W186" s="313">
        <f>+V186*$X$1</f>
        <v>674.93999999999994</v>
      </c>
      <c r="X186" s="152"/>
      <c r="Y186" s="161"/>
      <c r="Z186" s="152"/>
      <c r="AA186" s="152"/>
      <c r="AB186" s="197">
        <v>426</v>
      </c>
    </row>
    <row r="187" spans="1:28" ht="12.6" customHeight="1" x14ac:dyDescent="0.2">
      <c r="A187" s="105"/>
      <c r="B187" s="683" t="s">
        <v>510</v>
      </c>
      <c r="C187" s="712"/>
      <c r="D187" s="712"/>
      <c r="E187" s="712"/>
      <c r="F187" s="392">
        <f>1.006*X2</f>
        <v>1043.222</v>
      </c>
      <c r="G187" s="293">
        <f t="shared" si="333"/>
        <v>1043.222</v>
      </c>
      <c r="H187" s="407"/>
      <c r="I187" s="340"/>
      <c r="J187" s="407"/>
      <c r="K187" s="340"/>
      <c r="L187" s="596">
        <f>F187+120</f>
        <v>1163.222</v>
      </c>
      <c r="M187" s="293">
        <f>+L187*$X$1</f>
        <v>1163.222</v>
      </c>
      <c r="N187" s="596">
        <f>F187+63</f>
        <v>1106.222</v>
      </c>
      <c r="O187" s="293">
        <f>+N187*$X$1</f>
        <v>1106.222</v>
      </c>
      <c r="P187" s="596">
        <f>F187+54</f>
        <v>1097.222</v>
      </c>
      <c r="Q187" s="293">
        <f>+P187*$X$1</f>
        <v>1097.222</v>
      </c>
      <c r="R187" s="596">
        <f>F187+45</f>
        <v>1088.222</v>
      </c>
      <c r="S187" s="293">
        <f>+R187*$X$1</f>
        <v>1088.222</v>
      </c>
      <c r="T187" s="104">
        <f>F187+37</f>
        <v>1080.222</v>
      </c>
      <c r="U187" s="260">
        <f>+T187*$X$1</f>
        <v>1080.222</v>
      </c>
      <c r="V187" s="104">
        <f>F187+32</f>
        <v>1075.222</v>
      </c>
      <c r="W187" s="260">
        <f>+V187*$X$1</f>
        <v>1075.222</v>
      </c>
      <c r="X187" s="152"/>
      <c r="Y187" s="161"/>
      <c r="Z187" s="152"/>
      <c r="AA187" s="152"/>
      <c r="AB187" s="197" t="s">
        <v>561</v>
      </c>
    </row>
    <row r="188" spans="1:28" ht="12.6" customHeight="1" x14ac:dyDescent="0.2">
      <c r="A188" s="105"/>
      <c r="B188" s="704" t="s">
        <v>500</v>
      </c>
      <c r="C188" s="705"/>
      <c r="D188" s="705"/>
      <c r="E188" s="705"/>
      <c r="F188" s="393">
        <f>0.74*X2</f>
        <v>767.38</v>
      </c>
      <c r="G188" s="294">
        <f t="shared" ref="G188" si="360">+F188*$X$1</f>
        <v>767.38</v>
      </c>
      <c r="H188" s="101"/>
      <c r="I188" s="339"/>
      <c r="J188" s="101"/>
      <c r="K188" s="339"/>
      <c r="L188" s="492">
        <f>F188+120</f>
        <v>887.38</v>
      </c>
      <c r="M188" s="294">
        <f>+L188*$X$1</f>
        <v>887.38</v>
      </c>
      <c r="N188" s="492">
        <f>F188+63</f>
        <v>830.38</v>
      </c>
      <c r="O188" s="294">
        <f>+N188*$X$1</f>
        <v>830.38</v>
      </c>
      <c r="P188" s="492">
        <f>F188+54</f>
        <v>821.38</v>
      </c>
      <c r="Q188" s="294">
        <f>+P188*$X$1</f>
        <v>821.38</v>
      </c>
      <c r="R188" s="492">
        <f>F188+45</f>
        <v>812.38</v>
      </c>
      <c r="S188" s="294">
        <f>+R188*$X$1</f>
        <v>812.38</v>
      </c>
      <c r="T188" s="103">
        <f>F188+37</f>
        <v>804.38</v>
      </c>
      <c r="U188" s="313">
        <f>+T188*$X$1</f>
        <v>804.38</v>
      </c>
      <c r="V188" s="103">
        <f>F188+32</f>
        <v>799.38</v>
      </c>
      <c r="W188" s="313">
        <f>+V188*$X$1</f>
        <v>799.38</v>
      </c>
      <c r="X188" s="152"/>
      <c r="Y188" s="161"/>
      <c r="Z188" s="152"/>
      <c r="AA188" s="152"/>
      <c r="AB188" s="197">
        <v>428</v>
      </c>
    </row>
    <row r="189" spans="1:28" ht="12.6" customHeight="1" x14ac:dyDescent="0.2">
      <c r="A189" s="18"/>
      <c r="B189" s="683" t="s">
        <v>190</v>
      </c>
      <c r="C189" s="712"/>
      <c r="D189" s="712"/>
      <c r="E189" s="712"/>
      <c r="F189" s="392">
        <f>1.527*X2</f>
        <v>1583.4989999999998</v>
      </c>
      <c r="G189" s="293">
        <f t="shared" si="333"/>
        <v>1583.4989999999998</v>
      </c>
      <c r="H189" s="407">
        <f>F189+420</f>
        <v>2003.4989999999998</v>
      </c>
      <c r="I189" s="293">
        <f>+H189*$X$1</f>
        <v>2003.4989999999998</v>
      </c>
      <c r="J189" s="596">
        <f>F189+180</f>
        <v>1763.4989999999998</v>
      </c>
      <c r="K189" s="293">
        <f t="shared" ref="K189" si="361">+J189*$X$1</f>
        <v>1763.4989999999998</v>
      </c>
      <c r="L189" s="596">
        <f>F189+120</f>
        <v>1703.4989999999998</v>
      </c>
      <c r="M189" s="293">
        <f>+L189*$X$1</f>
        <v>1703.4989999999998</v>
      </c>
      <c r="N189" s="596">
        <f>F189+63</f>
        <v>1646.4989999999998</v>
      </c>
      <c r="O189" s="293">
        <f>+N189*$X$1</f>
        <v>1646.4989999999998</v>
      </c>
      <c r="P189" s="596">
        <f>F189+54</f>
        <v>1637.4989999999998</v>
      </c>
      <c r="Q189" s="293">
        <f>+P189*$X$1</f>
        <v>1637.4989999999998</v>
      </c>
      <c r="R189" s="596">
        <f>F189+45</f>
        <v>1628.4989999999998</v>
      </c>
      <c r="S189" s="293">
        <f>+R189*$X$1</f>
        <v>1628.4989999999998</v>
      </c>
      <c r="T189" s="104">
        <f>F189+37</f>
        <v>1620.4989999999998</v>
      </c>
      <c r="U189" s="260">
        <f>+T189*$X$1</f>
        <v>1620.4989999999998</v>
      </c>
      <c r="V189" s="104">
        <f>F189+32</f>
        <v>1615.4989999999998</v>
      </c>
      <c r="W189" s="260">
        <f>+V189*$X$1</f>
        <v>1615.4989999999998</v>
      </c>
      <c r="X189" s="152"/>
      <c r="Y189" s="161"/>
      <c r="Z189" s="152"/>
      <c r="AA189" s="152"/>
      <c r="AB189" s="197">
        <v>442</v>
      </c>
    </row>
    <row r="190" spans="1:28" ht="12.6" customHeight="1" x14ac:dyDescent="0.2">
      <c r="A190" s="18"/>
      <c r="B190" s="706" t="s">
        <v>191</v>
      </c>
      <c r="C190" s="713"/>
      <c r="D190" s="713"/>
      <c r="E190" s="713"/>
      <c r="F190" s="385"/>
      <c r="G190" s="920" t="s">
        <v>866</v>
      </c>
      <c r="H190" s="921"/>
      <c r="I190" s="921"/>
      <c r="J190" s="921"/>
      <c r="K190" s="921"/>
      <c r="L190" s="921"/>
      <c r="M190" s="921"/>
      <c r="N190" s="921"/>
      <c r="O190" s="921"/>
      <c r="P190" s="954"/>
      <c r="Q190" s="954"/>
      <c r="R190" s="954"/>
      <c r="S190" s="955"/>
      <c r="T190" s="72"/>
      <c r="U190" s="294"/>
      <c r="V190" s="103"/>
      <c r="W190" s="313"/>
      <c r="X190" s="162"/>
      <c r="Y190" s="161"/>
      <c r="Z190" s="152"/>
      <c r="AA190" s="152"/>
      <c r="AB190" s="197">
        <v>450</v>
      </c>
    </row>
    <row r="191" spans="1:28" ht="12.6" customHeight="1" x14ac:dyDescent="0.2">
      <c r="A191" s="18"/>
      <c r="B191" s="683" t="s">
        <v>192</v>
      </c>
      <c r="C191" s="712"/>
      <c r="D191" s="712"/>
      <c r="E191" s="712"/>
      <c r="F191" s="128"/>
      <c r="G191" s="923"/>
      <c r="H191" s="924"/>
      <c r="I191" s="924"/>
      <c r="J191" s="924"/>
      <c r="K191" s="924"/>
      <c r="L191" s="924"/>
      <c r="M191" s="924"/>
      <c r="N191" s="924"/>
      <c r="O191" s="924"/>
      <c r="P191" s="956"/>
      <c r="Q191" s="957"/>
      <c r="R191" s="956"/>
      <c r="S191" s="958"/>
      <c r="T191" s="72"/>
      <c r="U191" s="293"/>
      <c r="V191" s="104"/>
      <c r="W191" s="260"/>
      <c r="X191" s="162"/>
      <c r="Y191" s="161"/>
      <c r="Z191" s="152"/>
      <c r="AA191" s="152"/>
      <c r="AB191" s="197">
        <v>451</v>
      </c>
    </row>
    <row r="192" spans="1:28" ht="12.6" customHeight="1" x14ac:dyDescent="0.2">
      <c r="A192" s="18"/>
      <c r="B192" s="704" t="s">
        <v>193</v>
      </c>
      <c r="C192" s="705"/>
      <c r="D192" s="705"/>
      <c r="E192" s="705"/>
      <c r="F192" s="92"/>
      <c r="G192" s="923"/>
      <c r="H192" s="924"/>
      <c r="I192" s="924"/>
      <c r="J192" s="924"/>
      <c r="K192" s="924"/>
      <c r="L192" s="924"/>
      <c r="M192" s="924"/>
      <c r="N192" s="924"/>
      <c r="O192" s="924"/>
      <c r="P192" s="956"/>
      <c r="Q192" s="957"/>
      <c r="R192" s="956"/>
      <c r="S192" s="958"/>
      <c r="T192" s="72"/>
      <c r="U192" s="294"/>
      <c r="V192" s="103"/>
      <c r="W192" s="313"/>
      <c r="X192" s="162"/>
      <c r="Y192" s="161"/>
      <c r="Z192" s="152"/>
      <c r="AA192" s="152"/>
      <c r="AB192" s="197">
        <v>452</v>
      </c>
    </row>
    <row r="193" spans="1:28" ht="12.6" customHeight="1" x14ac:dyDescent="0.2">
      <c r="A193" s="18"/>
      <c r="B193" s="683" t="s">
        <v>194</v>
      </c>
      <c r="C193" s="712"/>
      <c r="D193" s="712"/>
      <c r="E193" s="712"/>
      <c r="F193" s="128"/>
      <c r="G193" s="923"/>
      <c r="H193" s="924"/>
      <c r="I193" s="924"/>
      <c r="J193" s="924"/>
      <c r="K193" s="924"/>
      <c r="L193" s="924"/>
      <c r="M193" s="924"/>
      <c r="N193" s="924"/>
      <c r="O193" s="924"/>
      <c r="P193" s="956"/>
      <c r="Q193" s="957"/>
      <c r="R193" s="956"/>
      <c r="S193" s="958"/>
      <c r="T193" s="72"/>
      <c r="U193" s="293"/>
      <c r="V193" s="104"/>
      <c r="W193" s="260"/>
      <c r="X193" s="162"/>
      <c r="Y193" s="161"/>
      <c r="Z193" s="152"/>
      <c r="AA193" s="152"/>
      <c r="AB193" s="197">
        <v>453</v>
      </c>
    </row>
    <row r="194" spans="1:28" ht="12.6" customHeight="1" x14ac:dyDescent="0.2">
      <c r="A194" s="18"/>
      <c r="B194" s="704" t="s">
        <v>195</v>
      </c>
      <c r="C194" s="705"/>
      <c r="D194" s="705"/>
      <c r="E194" s="705"/>
      <c r="F194" s="92"/>
      <c r="G194" s="923"/>
      <c r="H194" s="924"/>
      <c r="I194" s="924"/>
      <c r="J194" s="924"/>
      <c r="K194" s="924"/>
      <c r="L194" s="924"/>
      <c r="M194" s="924"/>
      <c r="N194" s="924"/>
      <c r="O194" s="924"/>
      <c r="P194" s="956"/>
      <c r="Q194" s="957"/>
      <c r="R194" s="956"/>
      <c r="S194" s="958"/>
      <c r="T194" s="72"/>
      <c r="U194" s="294"/>
      <c r="V194" s="103"/>
      <c r="W194" s="313"/>
      <c r="X194" s="162"/>
      <c r="Y194" s="161"/>
      <c r="Z194" s="152"/>
      <c r="AA194" s="152"/>
      <c r="AB194" s="197">
        <v>454</v>
      </c>
    </row>
    <row r="195" spans="1:28" ht="12.6" customHeight="1" x14ac:dyDescent="0.2">
      <c r="A195" s="18"/>
      <c r="B195" s="683" t="s">
        <v>196</v>
      </c>
      <c r="C195" s="712"/>
      <c r="D195" s="712"/>
      <c r="E195" s="712"/>
      <c r="F195" s="384"/>
      <c r="G195" s="959"/>
      <c r="H195" s="925"/>
      <c r="I195" s="925"/>
      <c r="J195" s="925"/>
      <c r="K195" s="925"/>
      <c r="L195" s="925"/>
      <c r="M195" s="925"/>
      <c r="N195" s="925"/>
      <c r="O195" s="925"/>
      <c r="P195" s="960"/>
      <c r="Q195" s="960"/>
      <c r="R195" s="960"/>
      <c r="S195" s="961"/>
      <c r="T195" s="72"/>
      <c r="U195" s="293"/>
      <c r="V195" s="104"/>
      <c r="W195" s="260"/>
      <c r="X195" s="162"/>
      <c r="Y195" s="161"/>
      <c r="Z195" s="152"/>
      <c r="AA195" s="152"/>
      <c r="AB195" s="197">
        <v>460</v>
      </c>
    </row>
    <row r="196" spans="1:28" ht="12.6" customHeight="1" x14ac:dyDescent="0.2">
      <c r="A196" s="18"/>
      <c r="B196" s="704" t="s">
        <v>376</v>
      </c>
      <c r="C196" s="751"/>
      <c r="D196" s="751"/>
      <c r="E196" s="751"/>
      <c r="F196" s="393">
        <f>1.974*X2</f>
        <v>2047.038</v>
      </c>
      <c r="G196" s="550">
        <f t="shared" ref="G196:G198" si="362">+F196*$X$1</f>
        <v>2047.038</v>
      </c>
      <c r="H196" s="492"/>
      <c r="I196" s="294"/>
      <c r="J196" s="492">
        <f t="shared" ref="J196:J201" si="363">F196+180</f>
        <v>2227.038</v>
      </c>
      <c r="K196" s="294">
        <f t="shared" ref="K196:K199" si="364">+J196*$X$1</f>
        <v>2227.038</v>
      </c>
      <c r="L196" s="492">
        <f t="shared" ref="L196:L201" si="365">F196+120</f>
        <v>2167.038</v>
      </c>
      <c r="M196" s="294">
        <f t="shared" ref="M196:M201" si="366">+L196*$X$1</f>
        <v>2167.038</v>
      </c>
      <c r="N196" s="492">
        <f t="shared" ref="N196:N202" si="367">F196+63</f>
        <v>2110.038</v>
      </c>
      <c r="O196" s="294">
        <f t="shared" ref="O196:O202" si="368">+N196*$X$1</f>
        <v>2110.038</v>
      </c>
      <c r="P196" s="492">
        <f t="shared" ref="P196:P202" si="369">F196+54</f>
        <v>2101.038</v>
      </c>
      <c r="Q196" s="294">
        <f t="shared" ref="Q196:Q202" si="370">+P196*$X$1</f>
        <v>2101.038</v>
      </c>
      <c r="R196" s="492">
        <f t="shared" ref="R196:R202" si="371">F196+45</f>
        <v>2092.038</v>
      </c>
      <c r="S196" s="294">
        <f t="shared" ref="S196:S202" si="372">+R196*$X$1</f>
        <v>2092.038</v>
      </c>
      <c r="T196" s="103">
        <f t="shared" ref="T196:T205" si="373">F196+37</f>
        <v>2084.038</v>
      </c>
      <c r="U196" s="313">
        <f t="shared" ref="U196:U205" si="374">+T196*$X$1</f>
        <v>2084.038</v>
      </c>
      <c r="V196" s="103">
        <f t="shared" ref="V196:V205" si="375">F196+32</f>
        <v>2079.038</v>
      </c>
      <c r="W196" s="313">
        <f t="shared" ref="W196:W205" si="376">+V196*$X$1</f>
        <v>2079.038</v>
      </c>
      <c r="X196" s="152"/>
      <c r="Y196" s="161"/>
      <c r="Z196" s="152"/>
      <c r="AA196" s="152"/>
      <c r="AB196" s="197">
        <v>465</v>
      </c>
    </row>
    <row r="197" spans="1:28" ht="12.6" customHeight="1" x14ac:dyDescent="0.2">
      <c r="A197" s="18"/>
      <c r="B197" s="708" t="s">
        <v>835</v>
      </c>
      <c r="C197" s="749"/>
      <c r="D197" s="749"/>
      <c r="E197" s="749"/>
      <c r="F197" s="392">
        <f>1.46*X2</f>
        <v>1514.02</v>
      </c>
      <c r="G197" s="349">
        <f t="shared" ref="G197" si="377">+F197*$X$1</f>
        <v>1514.02</v>
      </c>
      <c r="H197" s="596"/>
      <c r="I197" s="293"/>
      <c r="J197" s="596">
        <f t="shared" si="363"/>
        <v>1694.02</v>
      </c>
      <c r="K197" s="293">
        <f t="shared" si="364"/>
        <v>1694.02</v>
      </c>
      <c r="L197" s="596">
        <f t="shared" si="365"/>
        <v>1634.02</v>
      </c>
      <c r="M197" s="293">
        <f t="shared" si="366"/>
        <v>1634.02</v>
      </c>
      <c r="N197" s="596">
        <f t="shared" si="367"/>
        <v>1577.02</v>
      </c>
      <c r="O197" s="293">
        <f t="shared" si="368"/>
        <v>1577.02</v>
      </c>
      <c r="P197" s="596">
        <f t="shared" si="369"/>
        <v>1568.02</v>
      </c>
      <c r="Q197" s="293">
        <f t="shared" si="370"/>
        <v>1568.02</v>
      </c>
      <c r="R197" s="596">
        <f t="shared" si="371"/>
        <v>1559.02</v>
      </c>
      <c r="S197" s="293">
        <f t="shared" si="372"/>
        <v>1559.02</v>
      </c>
      <c r="T197" s="104">
        <f t="shared" si="373"/>
        <v>1551.02</v>
      </c>
      <c r="U197" s="260">
        <f t="shared" si="374"/>
        <v>1551.02</v>
      </c>
      <c r="V197" s="104">
        <f t="shared" si="375"/>
        <v>1546.02</v>
      </c>
      <c r="W197" s="260">
        <f t="shared" si="376"/>
        <v>1546.02</v>
      </c>
      <c r="X197" s="152"/>
      <c r="Y197" s="161"/>
      <c r="Z197" s="152"/>
      <c r="AA197" s="152"/>
      <c r="AB197" s="197">
        <v>466</v>
      </c>
    </row>
    <row r="198" spans="1:28" ht="12.6" customHeight="1" x14ac:dyDescent="0.2">
      <c r="A198" s="18"/>
      <c r="B198" s="706" t="s">
        <v>645</v>
      </c>
      <c r="C198" s="707"/>
      <c r="D198" s="707"/>
      <c r="E198" s="707"/>
      <c r="F198" s="396">
        <f>1.08*X2</f>
        <v>1119.96</v>
      </c>
      <c r="G198" s="350">
        <f t="shared" si="362"/>
        <v>1119.96</v>
      </c>
      <c r="H198" s="492"/>
      <c r="I198" s="294"/>
      <c r="J198" s="492">
        <f t="shared" si="363"/>
        <v>1299.96</v>
      </c>
      <c r="K198" s="294">
        <f t="shared" si="364"/>
        <v>1299.96</v>
      </c>
      <c r="L198" s="492">
        <f t="shared" si="365"/>
        <v>1239.96</v>
      </c>
      <c r="M198" s="294">
        <f t="shared" si="366"/>
        <v>1239.96</v>
      </c>
      <c r="N198" s="492">
        <f t="shared" si="367"/>
        <v>1182.96</v>
      </c>
      <c r="O198" s="294">
        <f t="shared" si="368"/>
        <v>1182.96</v>
      </c>
      <c r="P198" s="492">
        <f t="shared" si="369"/>
        <v>1173.96</v>
      </c>
      <c r="Q198" s="294">
        <f t="shared" si="370"/>
        <v>1173.96</v>
      </c>
      <c r="R198" s="492">
        <f t="shared" si="371"/>
        <v>1164.96</v>
      </c>
      <c r="S198" s="294">
        <f t="shared" si="372"/>
        <v>1164.96</v>
      </c>
      <c r="T198" s="103">
        <f t="shared" si="373"/>
        <v>1156.96</v>
      </c>
      <c r="U198" s="313">
        <f t="shared" si="374"/>
        <v>1156.96</v>
      </c>
      <c r="V198" s="103">
        <f t="shared" si="375"/>
        <v>1151.96</v>
      </c>
      <c r="W198" s="313">
        <f t="shared" si="376"/>
        <v>1151.96</v>
      </c>
      <c r="X198" s="152"/>
      <c r="Y198" s="152"/>
      <c r="Z198" s="152"/>
      <c r="AA198" s="152"/>
      <c r="AB198" s="197">
        <v>528</v>
      </c>
    </row>
    <row r="199" spans="1:28" ht="12.6" customHeight="1" x14ac:dyDescent="0.2">
      <c r="A199" s="18"/>
      <c r="B199" s="693" t="s">
        <v>377</v>
      </c>
      <c r="C199" s="714"/>
      <c r="D199" s="714"/>
      <c r="E199" s="715"/>
      <c r="F199" s="314">
        <v>3705</v>
      </c>
      <c r="G199" s="321">
        <f t="shared" ref="G199:G203" si="378">+F199*$X$1</f>
        <v>3705</v>
      </c>
      <c r="H199" s="596"/>
      <c r="I199" s="293"/>
      <c r="J199" s="596">
        <f t="shared" si="363"/>
        <v>3885</v>
      </c>
      <c r="K199" s="293">
        <f t="shared" si="364"/>
        <v>3885</v>
      </c>
      <c r="L199" s="596">
        <f t="shared" si="365"/>
        <v>3825</v>
      </c>
      <c r="M199" s="293">
        <f t="shared" si="366"/>
        <v>3825</v>
      </c>
      <c r="N199" s="596">
        <f t="shared" si="367"/>
        <v>3768</v>
      </c>
      <c r="O199" s="293">
        <f t="shared" si="368"/>
        <v>3768</v>
      </c>
      <c r="P199" s="596">
        <f t="shared" si="369"/>
        <v>3759</v>
      </c>
      <c r="Q199" s="293">
        <f t="shared" si="370"/>
        <v>3759</v>
      </c>
      <c r="R199" s="596">
        <f t="shared" si="371"/>
        <v>3750</v>
      </c>
      <c r="S199" s="293">
        <f t="shared" si="372"/>
        <v>3750</v>
      </c>
      <c r="T199" s="104">
        <f t="shared" si="373"/>
        <v>3742</v>
      </c>
      <c r="U199" s="260">
        <f t="shared" si="374"/>
        <v>3742</v>
      </c>
      <c r="V199" s="104">
        <f t="shared" si="375"/>
        <v>3737</v>
      </c>
      <c r="W199" s="260">
        <f t="shared" si="376"/>
        <v>3737</v>
      </c>
      <c r="X199" s="152"/>
      <c r="Y199" s="152"/>
      <c r="Z199" s="152"/>
      <c r="AA199" s="152"/>
      <c r="AB199" s="197"/>
    </row>
    <row r="200" spans="1:28" ht="12.6" customHeight="1" x14ac:dyDescent="0.2">
      <c r="A200" s="18"/>
      <c r="B200" s="704" t="s">
        <v>831</v>
      </c>
      <c r="C200" s="751"/>
      <c r="D200" s="751"/>
      <c r="E200" s="751"/>
      <c r="F200" s="393">
        <f>1*X2</f>
        <v>1037</v>
      </c>
      <c r="G200" s="550">
        <f t="shared" si="378"/>
        <v>1037</v>
      </c>
      <c r="H200" s="492">
        <f>F200+420</f>
        <v>1457</v>
      </c>
      <c r="I200" s="294">
        <f>+H200*$X$1</f>
        <v>1457</v>
      </c>
      <c r="J200" s="492">
        <f t="shared" si="363"/>
        <v>1217</v>
      </c>
      <c r="K200" s="294">
        <f t="shared" ref="K200:K201" si="379">+J200*$X$1</f>
        <v>1217</v>
      </c>
      <c r="L200" s="492">
        <f t="shared" si="365"/>
        <v>1157</v>
      </c>
      <c r="M200" s="294">
        <f t="shared" si="366"/>
        <v>1157</v>
      </c>
      <c r="N200" s="492">
        <f t="shared" si="367"/>
        <v>1100</v>
      </c>
      <c r="O200" s="294">
        <f t="shared" si="368"/>
        <v>1100</v>
      </c>
      <c r="P200" s="492">
        <f t="shared" si="369"/>
        <v>1091</v>
      </c>
      <c r="Q200" s="294">
        <f t="shared" si="370"/>
        <v>1091</v>
      </c>
      <c r="R200" s="492">
        <f t="shared" si="371"/>
        <v>1082</v>
      </c>
      <c r="S200" s="294">
        <f t="shared" si="372"/>
        <v>1082</v>
      </c>
      <c r="T200" s="103">
        <f t="shared" si="373"/>
        <v>1074</v>
      </c>
      <c r="U200" s="313">
        <f t="shared" si="374"/>
        <v>1074</v>
      </c>
      <c r="V200" s="103">
        <f t="shared" si="375"/>
        <v>1069</v>
      </c>
      <c r="W200" s="313">
        <f t="shared" si="376"/>
        <v>1069</v>
      </c>
      <c r="X200" s="152"/>
      <c r="Y200" s="161"/>
      <c r="Z200" s="152"/>
      <c r="AA200" s="152"/>
      <c r="AB200" s="197">
        <v>534</v>
      </c>
    </row>
    <row r="201" spans="1:28" ht="12.6" customHeight="1" x14ac:dyDescent="0.2">
      <c r="A201" s="18"/>
      <c r="B201" s="693" t="s">
        <v>378</v>
      </c>
      <c r="C201" s="696"/>
      <c r="D201" s="696"/>
      <c r="E201" s="697"/>
      <c r="F201" s="314">
        <v>1132</v>
      </c>
      <c r="G201" s="321">
        <f t="shared" si="378"/>
        <v>1132</v>
      </c>
      <c r="H201" s="286"/>
      <c r="I201" s="286"/>
      <c r="J201" s="596">
        <f t="shared" si="363"/>
        <v>1312</v>
      </c>
      <c r="K201" s="293">
        <f t="shared" si="379"/>
        <v>1312</v>
      </c>
      <c r="L201" s="596">
        <f t="shared" si="365"/>
        <v>1252</v>
      </c>
      <c r="M201" s="293">
        <f t="shared" si="366"/>
        <v>1252</v>
      </c>
      <c r="N201" s="596">
        <f t="shared" si="367"/>
        <v>1195</v>
      </c>
      <c r="O201" s="293">
        <f t="shared" si="368"/>
        <v>1195</v>
      </c>
      <c r="P201" s="596">
        <f t="shared" si="369"/>
        <v>1186</v>
      </c>
      <c r="Q201" s="293">
        <f t="shared" si="370"/>
        <v>1186</v>
      </c>
      <c r="R201" s="596">
        <f t="shared" si="371"/>
        <v>1177</v>
      </c>
      <c r="S201" s="293">
        <f t="shared" si="372"/>
        <v>1177</v>
      </c>
      <c r="T201" s="104">
        <f t="shared" si="373"/>
        <v>1169</v>
      </c>
      <c r="U201" s="260">
        <f t="shared" si="374"/>
        <v>1169</v>
      </c>
      <c r="V201" s="104">
        <f t="shared" si="375"/>
        <v>1164</v>
      </c>
      <c r="W201" s="260">
        <f t="shared" si="376"/>
        <v>1164</v>
      </c>
      <c r="X201" s="152"/>
      <c r="Y201" s="152"/>
      <c r="Z201" s="152"/>
      <c r="AA201" s="152"/>
      <c r="AB201" s="197"/>
    </row>
    <row r="202" spans="1:28" ht="12.6" customHeight="1" x14ac:dyDescent="0.2">
      <c r="A202" s="18"/>
      <c r="B202" s="706" t="s">
        <v>197</v>
      </c>
      <c r="C202" s="713"/>
      <c r="D202" s="713"/>
      <c r="E202" s="713"/>
      <c r="F202" s="328">
        <v>210</v>
      </c>
      <c r="G202" s="363">
        <f>+F202*$X$1</f>
        <v>210</v>
      </c>
      <c r="H202" s="962" t="s">
        <v>369</v>
      </c>
      <c r="I202" s="962"/>
      <c r="J202" s="963"/>
      <c r="K202" s="963"/>
      <c r="L202" s="963"/>
      <c r="M202" s="964"/>
      <c r="N202" s="492">
        <f t="shared" si="367"/>
        <v>273</v>
      </c>
      <c r="O202" s="294">
        <f t="shared" si="368"/>
        <v>273</v>
      </c>
      <c r="P202" s="492">
        <f t="shared" si="369"/>
        <v>264</v>
      </c>
      <c r="Q202" s="294">
        <f t="shared" si="370"/>
        <v>264</v>
      </c>
      <c r="R202" s="492">
        <f t="shared" si="371"/>
        <v>255</v>
      </c>
      <c r="S202" s="294">
        <f t="shared" si="372"/>
        <v>255</v>
      </c>
      <c r="T202" s="103">
        <f t="shared" si="373"/>
        <v>247</v>
      </c>
      <c r="U202" s="313">
        <f t="shared" si="374"/>
        <v>247</v>
      </c>
      <c r="V202" s="103">
        <f t="shared" si="375"/>
        <v>242</v>
      </c>
      <c r="W202" s="313">
        <f t="shared" si="376"/>
        <v>242</v>
      </c>
      <c r="X202" s="152"/>
      <c r="Y202" s="152"/>
      <c r="Z202" s="152"/>
      <c r="AA202" s="152"/>
      <c r="AB202" s="197">
        <v>539</v>
      </c>
    </row>
    <row r="203" spans="1:28" ht="12.6" customHeight="1" x14ac:dyDescent="0.2">
      <c r="A203" s="18"/>
      <c r="B203" s="937" t="s">
        <v>493</v>
      </c>
      <c r="C203" s="953"/>
      <c r="D203" s="953"/>
      <c r="E203" s="953"/>
      <c r="F203" s="314">
        <v>451</v>
      </c>
      <c r="G203" s="315">
        <f t="shared" si="378"/>
        <v>451</v>
      </c>
      <c r="H203" s="286"/>
      <c r="I203" s="286"/>
      <c r="J203" s="72"/>
      <c r="K203" s="293"/>
      <c r="L203" s="596"/>
      <c r="M203" s="293"/>
      <c r="N203" s="596"/>
      <c r="O203" s="293"/>
      <c r="P203" s="596"/>
      <c r="Q203" s="293"/>
      <c r="R203" s="596"/>
      <c r="S203" s="293"/>
      <c r="T203" s="104">
        <f t="shared" si="373"/>
        <v>488</v>
      </c>
      <c r="U203" s="260">
        <f t="shared" si="374"/>
        <v>488</v>
      </c>
      <c r="V203" s="104">
        <f t="shared" si="375"/>
        <v>483</v>
      </c>
      <c r="W203" s="260">
        <f t="shared" si="376"/>
        <v>483</v>
      </c>
      <c r="X203" s="152"/>
      <c r="Y203" s="152"/>
      <c r="Z203" s="152"/>
      <c r="AA203" s="152"/>
      <c r="AB203" s="197">
        <v>540</v>
      </c>
    </row>
    <row r="204" spans="1:28" ht="12.6" customHeight="1" x14ac:dyDescent="0.2">
      <c r="A204" s="18"/>
      <c r="B204" s="706" t="s">
        <v>495</v>
      </c>
      <c r="C204" s="707"/>
      <c r="D204" s="707"/>
      <c r="E204" s="707"/>
      <c r="F204" s="328">
        <v>780</v>
      </c>
      <c r="G204" s="350">
        <f t="shared" ref="G204" si="380">+F204*$X$1</f>
        <v>780</v>
      </c>
      <c r="H204" s="285"/>
      <c r="I204" s="285"/>
      <c r="J204" s="90"/>
      <c r="K204" s="294"/>
      <c r="L204" s="492"/>
      <c r="M204" s="294"/>
      <c r="N204" s="492"/>
      <c r="O204" s="294"/>
      <c r="P204" s="492"/>
      <c r="Q204" s="294"/>
      <c r="R204" s="492"/>
      <c r="S204" s="294"/>
      <c r="T204" s="103">
        <f t="shared" si="373"/>
        <v>817</v>
      </c>
      <c r="U204" s="313">
        <f t="shared" si="374"/>
        <v>817</v>
      </c>
      <c r="V204" s="103">
        <f t="shared" si="375"/>
        <v>812</v>
      </c>
      <c r="W204" s="313">
        <f t="shared" si="376"/>
        <v>812</v>
      </c>
      <c r="X204" s="152"/>
      <c r="Y204" s="152"/>
      <c r="Z204" s="152"/>
      <c r="AA204" s="152"/>
      <c r="AB204" s="197" t="s">
        <v>578</v>
      </c>
    </row>
    <row r="205" spans="1:28" ht="12.6" customHeight="1" x14ac:dyDescent="0.2">
      <c r="A205" s="18"/>
      <c r="B205" s="693" t="s">
        <v>446</v>
      </c>
      <c r="C205" s="696"/>
      <c r="D205" s="696"/>
      <c r="E205" s="697"/>
      <c r="F205" s="397">
        <f>18.74*X2</f>
        <v>19433.379999999997</v>
      </c>
      <c r="G205" s="315">
        <f t="shared" ref="G205" si="381">+F205*$X$1</f>
        <v>19433.379999999997</v>
      </c>
      <c r="H205" s="596">
        <f>F205+420</f>
        <v>19853.379999999997</v>
      </c>
      <c r="I205" s="293">
        <f>+H205*$X$1</f>
        <v>19853.379999999997</v>
      </c>
      <c r="J205" s="596">
        <f>F205+180</f>
        <v>19613.379999999997</v>
      </c>
      <c r="K205" s="293">
        <f t="shared" ref="K205" si="382">+J205*$X$1</f>
        <v>19613.379999999997</v>
      </c>
      <c r="L205" s="596">
        <f>F205+120</f>
        <v>19553.379999999997</v>
      </c>
      <c r="M205" s="293">
        <f>+L205*$X$1</f>
        <v>19553.379999999997</v>
      </c>
      <c r="N205" s="596">
        <f>F205+63</f>
        <v>19496.379999999997</v>
      </c>
      <c r="O205" s="293">
        <f>+N205*$X$1</f>
        <v>19496.379999999997</v>
      </c>
      <c r="P205" s="596">
        <f>F205+54</f>
        <v>19487.379999999997</v>
      </c>
      <c r="Q205" s="293">
        <f>+P205*$X$1</f>
        <v>19487.379999999997</v>
      </c>
      <c r="R205" s="596">
        <f>F205+45</f>
        <v>19478.379999999997</v>
      </c>
      <c r="S205" s="293">
        <f>+R205*$X$1</f>
        <v>19478.379999999997</v>
      </c>
      <c r="T205" s="104">
        <f t="shared" si="373"/>
        <v>19470.379999999997</v>
      </c>
      <c r="U205" s="260">
        <f t="shared" si="374"/>
        <v>19470.379999999997</v>
      </c>
      <c r="V205" s="104">
        <f t="shared" si="375"/>
        <v>19465.379999999997</v>
      </c>
      <c r="W205" s="260">
        <f t="shared" si="376"/>
        <v>19465.379999999997</v>
      </c>
      <c r="X205" s="152"/>
      <c r="Y205" s="152"/>
      <c r="Z205" s="152"/>
      <c r="AA205" s="152"/>
      <c r="AB205" s="197">
        <v>542</v>
      </c>
    </row>
    <row r="206" spans="1:28" ht="12.6" customHeight="1" x14ac:dyDescent="0.2">
      <c r="A206" s="18"/>
      <c r="B206" s="704" t="s">
        <v>494</v>
      </c>
      <c r="C206" s="705"/>
      <c r="D206" s="705"/>
      <c r="E206" s="705"/>
      <c r="F206" s="294"/>
      <c r="G206" s="294"/>
      <c r="H206" s="492"/>
      <c r="I206" s="492"/>
      <c r="J206" s="492"/>
      <c r="K206" s="294"/>
      <c r="L206" s="492"/>
      <c r="M206" s="294"/>
      <c r="N206" s="492"/>
      <c r="O206" s="294"/>
      <c r="P206" s="492"/>
      <c r="Q206" s="294"/>
      <c r="R206" s="492"/>
      <c r="S206" s="294"/>
      <c r="T206" s="492"/>
      <c r="U206" s="294"/>
      <c r="V206" s="90"/>
      <c r="W206" s="355"/>
      <c r="X206" s="152"/>
      <c r="Y206" s="152"/>
      <c r="Z206" s="152"/>
      <c r="AA206" s="152"/>
      <c r="AB206" s="197">
        <v>544</v>
      </c>
    </row>
    <row r="207" spans="1:28" ht="12.6" customHeight="1" x14ac:dyDescent="0.2">
      <c r="A207" s="18"/>
      <c r="B207" s="808" t="s">
        <v>198</v>
      </c>
      <c r="C207" s="952"/>
      <c r="D207" s="952"/>
      <c r="E207" s="952"/>
      <c r="F207" s="599">
        <v>350</v>
      </c>
      <c r="G207" s="600">
        <f t="shared" ref="G207:G212" si="383">+F207*$X$1</f>
        <v>350</v>
      </c>
      <c r="H207" s="601"/>
      <c r="I207" s="601"/>
      <c r="J207" s="602">
        <f t="shared" ref="J207" si="384">F207+150</f>
        <v>500</v>
      </c>
      <c r="K207" s="600">
        <f t="shared" ref="K207:K213" si="385">+J207*$X$1</f>
        <v>500</v>
      </c>
      <c r="L207" s="602">
        <f t="shared" ref="L207" si="386">F207+90</f>
        <v>440</v>
      </c>
      <c r="M207" s="600">
        <f t="shared" ref="M207" si="387">+L207*$X$1</f>
        <v>440</v>
      </c>
      <c r="N207" s="602">
        <f t="shared" ref="N207" si="388">F207+55</f>
        <v>405</v>
      </c>
      <c r="O207" s="600">
        <f t="shared" ref="O207" si="389">+N207*$X$1</f>
        <v>405</v>
      </c>
      <c r="P207" s="603"/>
      <c r="Q207" s="947" t="s">
        <v>152</v>
      </c>
      <c r="R207" s="948"/>
      <c r="S207" s="948"/>
      <c r="T207" s="948"/>
      <c r="U207" s="948"/>
      <c r="V207" s="948"/>
      <c r="W207" s="949"/>
      <c r="X207" s="132"/>
      <c r="Y207" s="132"/>
      <c r="Z207" s="132"/>
      <c r="AA207" s="132"/>
      <c r="AB207" s="197">
        <v>547</v>
      </c>
    </row>
    <row r="208" spans="1:28" ht="12.6" customHeight="1" x14ac:dyDescent="0.2">
      <c r="A208" s="18"/>
      <c r="B208" s="690" t="s">
        <v>379</v>
      </c>
      <c r="C208" s="950"/>
      <c r="D208" s="950"/>
      <c r="E208" s="951"/>
      <c r="F208" s="294">
        <v>3607</v>
      </c>
      <c r="G208" s="294">
        <f t="shared" si="383"/>
        <v>3607</v>
      </c>
      <c r="H208" s="285"/>
      <c r="I208" s="285"/>
      <c r="J208" s="492">
        <f t="shared" ref="J208:J213" si="390">F208+180</f>
        <v>3787</v>
      </c>
      <c r="K208" s="294">
        <f t="shared" si="385"/>
        <v>3787</v>
      </c>
      <c r="L208" s="492">
        <f t="shared" ref="L208:L213" si="391">F208+120</f>
        <v>3727</v>
      </c>
      <c r="M208" s="294">
        <f t="shared" ref="M208:M213" si="392">+L208*$X$1</f>
        <v>3727</v>
      </c>
      <c r="N208" s="492">
        <f t="shared" ref="N208:N213" si="393">F208+63</f>
        <v>3670</v>
      </c>
      <c r="O208" s="294">
        <f t="shared" ref="O208:O213" si="394">+N208*$X$1</f>
        <v>3670</v>
      </c>
      <c r="P208" s="492">
        <f t="shared" ref="P208:P213" si="395">F208+54</f>
        <v>3661</v>
      </c>
      <c r="Q208" s="294">
        <f t="shared" ref="Q208:Q213" si="396">+P208*$X$1</f>
        <v>3661</v>
      </c>
      <c r="R208" s="492">
        <f t="shared" ref="R208:R213" si="397">F208+45</f>
        <v>3652</v>
      </c>
      <c r="S208" s="294">
        <f t="shared" ref="S208:S213" si="398">+R208*$X$1</f>
        <v>3652</v>
      </c>
      <c r="T208" s="103">
        <f t="shared" ref="T208:T213" si="399">F208+37</f>
        <v>3644</v>
      </c>
      <c r="U208" s="313">
        <f t="shared" ref="U208:U213" si="400">+T208*$X$1</f>
        <v>3644</v>
      </c>
      <c r="V208" s="103">
        <f t="shared" ref="V208:V213" si="401">F208+32</f>
        <v>3639</v>
      </c>
      <c r="W208" s="313">
        <f t="shared" ref="W208:W213" si="402">+V208*$X$1</f>
        <v>3639</v>
      </c>
      <c r="X208" s="132"/>
      <c r="Y208" s="132"/>
      <c r="Z208" s="132"/>
      <c r="AA208" s="132"/>
      <c r="AB208" s="436"/>
    </row>
    <row r="209" spans="1:28" ht="12.6" customHeight="1" x14ac:dyDescent="0.2">
      <c r="A209" s="18"/>
      <c r="B209" s="693" t="s">
        <v>508</v>
      </c>
      <c r="C209" s="696"/>
      <c r="D209" s="696"/>
      <c r="E209" s="697"/>
      <c r="F209" s="314">
        <v>1014</v>
      </c>
      <c r="G209" s="293">
        <f t="shared" si="383"/>
        <v>1014</v>
      </c>
      <c r="H209" s="286"/>
      <c r="I209" s="286"/>
      <c r="J209" s="596">
        <f t="shared" si="390"/>
        <v>1194</v>
      </c>
      <c r="K209" s="293">
        <f t="shared" si="385"/>
        <v>1194</v>
      </c>
      <c r="L209" s="596">
        <f t="shared" si="391"/>
        <v>1134</v>
      </c>
      <c r="M209" s="293">
        <f t="shared" si="392"/>
        <v>1134</v>
      </c>
      <c r="N209" s="596">
        <f t="shared" si="393"/>
        <v>1077</v>
      </c>
      <c r="O209" s="293">
        <f t="shared" si="394"/>
        <v>1077</v>
      </c>
      <c r="P209" s="596">
        <f t="shared" si="395"/>
        <v>1068</v>
      </c>
      <c r="Q209" s="293">
        <f t="shared" si="396"/>
        <v>1068</v>
      </c>
      <c r="R209" s="596">
        <f t="shared" si="397"/>
        <v>1059</v>
      </c>
      <c r="S209" s="293">
        <f t="shared" si="398"/>
        <v>1059</v>
      </c>
      <c r="T209" s="104">
        <f t="shared" si="399"/>
        <v>1051</v>
      </c>
      <c r="U209" s="260">
        <f t="shared" si="400"/>
        <v>1051</v>
      </c>
      <c r="V209" s="104">
        <f t="shared" si="401"/>
        <v>1046</v>
      </c>
      <c r="W209" s="260">
        <f t="shared" si="402"/>
        <v>1046</v>
      </c>
      <c r="X209" s="152"/>
      <c r="Y209" s="152"/>
      <c r="Z209" s="152"/>
      <c r="AA209" s="152"/>
      <c r="AB209" s="197"/>
    </row>
    <row r="210" spans="1:28" ht="12.6" customHeight="1" x14ac:dyDescent="0.2">
      <c r="A210" s="18"/>
      <c r="B210" s="690" t="s">
        <v>468</v>
      </c>
      <c r="C210" s="950"/>
      <c r="D210" s="950"/>
      <c r="E210" s="951"/>
      <c r="F210" s="294">
        <v>3490</v>
      </c>
      <c r="G210" s="294">
        <f t="shared" si="383"/>
        <v>3490</v>
      </c>
      <c r="H210" s="285"/>
      <c r="I210" s="285"/>
      <c r="J210" s="492">
        <f t="shared" si="390"/>
        <v>3670</v>
      </c>
      <c r="K210" s="294">
        <f t="shared" si="385"/>
        <v>3670</v>
      </c>
      <c r="L210" s="492">
        <f t="shared" si="391"/>
        <v>3610</v>
      </c>
      <c r="M210" s="294">
        <f t="shared" si="392"/>
        <v>3610</v>
      </c>
      <c r="N210" s="492">
        <f t="shared" si="393"/>
        <v>3553</v>
      </c>
      <c r="O210" s="294">
        <f t="shared" si="394"/>
        <v>3553</v>
      </c>
      <c r="P210" s="492">
        <f t="shared" si="395"/>
        <v>3544</v>
      </c>
      <c r="Q210" s="294">
        <f t="shared" si="396"/>
        <v>3544</v>
      </c>
      <c r="R210" s="492">
        <f t="shared" si="397"/>
        <v>3535</v>
      </c>
      <c r="S210" s="294">
        <f t="shared" si="398"/>
        <v>3535</v>
      </c>
      <c r="T210" s="103">
        <f t="shared" si="399"/>
        <v>3527</v>
      </c>
      <c r="U210" s="313">
        <f t="shared" si="400"/>
        <v>3527</v>
      </c>
      <c r="V210" s="103">
        <f t="shared" si="401"/>
        <v>3522</v>
      </c>
      <c r="W210" s="313">
        <f t="shared" si="402"/>
        <v>3522</v>
      </c>
      <c r="X210" s="132"/>
      <c r="Y210" s="132"/>
      <c r="Z210" s="132"/>
      <c r="AA210" s="132"/>
      <c r="AB210" s="197">
        <v>551</v>
      </c>
    </row>
    <row r="211" spans="1:28" ht="12.6" customHeight="1" x14ac:dyDescent="0.2">
      <c r="A211" s="18"/>
      <c r="B211" s="939" t="s">
        <v>466</v>
      </c>
      <c r="C211" s="940"/>
      <c r="D211" s="940"/>
      <c r="E211" s="941"/>
      <c r="F211" s="314">
        <v>3880</v>
      </c>
      <c r="G211" s="293">
        <f t="shared" si="383"/>
        <v>3880</v>
      </c>
      <c r="H211" s="286"/>
      <c r="I211" s="286"/>
      <c r="J211" s="596">
        <f t="shared" si="390"/>
        <v>4060</v>
      </c>
      <c r="K211" s="293">
        <f t="shared" si="385"/>
        <v>4060</v>
      </c>
      <c r="L211" s="596">
        <f t="shared" si="391"/>
        <v>4000</v>
      </c>
      <c r="M211" s="293">
        <f t="shared" si="392"/>
        <v>4000</v>
      </c>
      <c r="N211" s="596">
        <f t="shared" si="393"/>
        <v>3943</v>
      </c>
      <c r="O211" s="293">
        <f t="shared" si="394"/>
        <v>3943</v>
      </c>
      <c r="P211" s="596">
        <f t="shared" si="395"/>
        <v>3934</v>
      </c>
      <c r="Q211" s="293">
        <f t="shared" si="396"/>
        <v>3934</v>
      </c>
      <c r="R211" s="596">
        <f t="shared" si="397"/>
        <v>3925</v>
      </c>
      <c r="S211" s="293">
        <f t="shared" si="398"/>
        <v>3925</v>
      </c>
      <c r="T211" s="104">
        <f t="shared" si="399"/>
        <v>3917</v>
      </c>
      <c r="U211" s="260">
        <f t="shared" si="400"/>
        <v>3917</v>
      </c>
      <c r="V211" s="104">
        <f t="shared" si="401"/>
        <v>3912</v>
      </c>
      <c r="W211" s="260">
        <f t="shared" si="402"/>
        <v>3912</v>
      </c>
      <c r="X211" s="132"/>
      <c r="Y211" s="132"/>
      <c r="Z211" s="132"/>
      <c r="AA211" s="132"/>
      <c r="AB211" s="197" t="s">
        <v>465</v>
      </c>
    </row>
    <row r="212" spans="1:28" ht="12.6" customHeight="1" x14ac:dyDescent="0.2">
      <c r="A212" s="18"/>
      <c r="B212" s="727" t="s">
        <v>467</v>
      </c>
      <c r="C212" s="728"/>
      <c r="D212" s="728"/>
      <c r="E212" s="729"/>
      <c r="F212" s="328">
        <v>4172</v>
      </c>
      <c r="G212" s="294">
        <f t="shared" si="383"/>
        <v>4172</v>
      </c>
      <c r="H212" s="285"/>
      <c r="I212" s="285"/>
      <c r="J212" s="492">
        <f t="shared" si="390"/>
        <v>4352</v>
      </c>
      <c r="K212" s="294">
        <f t="shared" si="385"/>
        <v>4352</v>
      </c>
      <c r="L212" s="492">
        <f t="shared" si="391"/>
        <v>4292</v>
      </c>
      <c r="M212" s="294">
        <f t="shared" si="392"/>
        <v>4292</v>
      </c>
      <c r="N212" s="492">
        <f t="shared" si="393"/>
        <v>4235</v>
      </c>
      <c r="O212" s="294">
        <f t="shared" si="394"/>
        <v>4235</v>
      </c>
      <c r="P212" s="492">
        <f t="shared" si="395"/>
        <v>4226</v>
      </c>
      <c r="Q212" s="294">
        <f t="shared" si="396"/>
        <v>4226</v>
      </c>
      <c r="R212" s="492">
        <f t="shared" si="397"/>
        <v>4217</v>
      </c>
      <c r="S212" s="294">
        <f t="shared" si="398"/>
        <v>4217</v>
      </c>
      <c r="T212" s="103">
        <f t="shared" si="399"/>
        <v>4209</v>
      </c>
      <c r="U212" s="313">
        <f t="shared" si="400"/>
        <v>4209</v>
      </c>
      <c r="V212" s="103">
        <f t="shared" si="401"/>
        <v>4204</v>
      </c>
      <c r="W212" s="313">
        <f t="shared" si="402"/>
        <v>4204</v>
      </c>
      <c r="X212" s="132"/>
      <c r="Y212" s="132"/>
      <c r="Z212" s="132"/>
      <c r="AA212" s="132"/>
      <c r="AB212" s="197" t="s">
        <v>469</v>
      </c>
    </row>
    <row r="213" spans="1:28" ht="12.6" customHeight="1" x14ac:dyDescent="0.2">
      <c r="A213" s="18"/>
      <c r="B213" s="683" t="s">
        <v>423</v>
      </c>
      <c r="C213" s="684"/>
      <c r="D213" s="684"/>
      <c r="E213" s="684"/>
      <c r="F213" s="293">
        <v>3705</v>
      </c>
      <c r="G213" s="293">
        <f t="shared" ref="G213" si="403">+F213*$X$1</f>
        <v>3705</v>
      </c>
      <c r="H213" s="286"/>
      <c r="I213" s="286"/>
      <c r="J213" s="596">
        <f t="shared" si="390"/>
        <v>3885</v>
      </c>
      <c r="K213" s="293">
        <f t="shared" si="385"/>
        <v>3885</v>
      </c>
      <c r="L213" s="596">
        <f t="shared" si="391"/>
        <v>3825</v>
      </c>
      <c r="M213" s="293">
        <f t="shared" si="392"/>
        <v>3825</v>
      </c>
      <c r="N213" s="596">
        <f t="shared" si="393"/>
        <v>3768</v>
      </c>
      <c r="O213" s="293">
        <f t="shared" si="394"/>
        <v>3768</v>
      </c>
      <c r="P213" s="596">
        <f t="shared" si="395"/>
        <v>3759</v>
      </c>
      <c r="Q213" s="293">
        <f t="shared" si="396"/>
        <v>3759</v>
      </c>
      <c r="R213" s="596">
        <f t="shared" si="397"/>
        <v>3750</v>
      </c>
      <c r="S213" s="293">
        <f t="shared" si="398"/>
        <v>3750</v>
      </c>
      <c r="T213" s="104">
        <f t="shared" si="399"/>
        <v>3742</v>
      </c>
      <c r="U213" s="260">
        <f t="shared" si="400"/>
        <v>3742</v>
      </c>
      <c r="V213" s="104">
        <f t="shared" si="401"/>
        <v>3737</v>
      </c>
      <c r="W213" s="260">
        <f t="shared" si="402"/>
        <v>3737</v>
      </c>
      <c r="X213" s="132"/>
      <c r="Y213" s="132"/>
      <c r="Z213" s="132"/>
      <c r="AA213" s="132"/>
      <c r="AB213" s="197">
        <v>553</v>
      </c>
    </row>
    <row r="214" spans="1:28" ht="12.6" customHeight="1" x14ac:dyDescent="0.2">
      <c r="A214" s="18"/>
      <c r="B214" s="706" t="s">
        <v>644</v>
      </c>
      <c r="C214" s="707"/>
      <c r="D214" s="707"/>
      <c r="E214" s="707"/>
      <c r="F214" s="396">
        <f>5.95*X2</f>
        <v>6170.1500000000005</v>
      </c>
      <c r="G214" s="350">
        <f t="shared" ref="G214" si="404">+F214*$X$1</f>
        <v>6170.1500000000005</v>
      </c>
      <c r="H214" s="492">
        <f>F214+500</f>
        <v>6670.1500000000005</v>
      </c>
      <c r="I214" s="294">
        <f>+H214*$X$1</f>
        <v>6670.1500000000005</v>
      </c>
      <c r="J214" s="492">
        <f>F214+360</f>
        <v>6530.1500000000005</v>
      </c>
      <c r="K214" s="294">
        <f>+J214*$X$1</f>
        <v>6530.1500000000005</v>
      </c>
      <c r="L214" s="492">
        <f>F214+330</f>
        <v>6500.1500000000005</v>
      </c>
      <c r="M214" s="294">
        <f t="shared" ref="M214" si="405">+L214*$X$1</f>
        <v>6500.1500000000005</v>
      </c>
      <c r="N214" s="492">
        <f>F214+290</f>
        <v>6460.1500000000005</v>
      </c>
      <c r="O214" s="294">
        <f t="shared" ref="O214" si="406">+N214*$X$1</f>
        <v>6460.1500000000005</v>
      </c>
      <c r="P214" s="492">
        <f>F214+240</f>
        <v>6410.1500000000005</v>
      </c>
      <c r="Q214" s="294">
        <f t="shared" ref="Q214" si="407">+P214*$X$1</f>
        <v>6410.1500000000005</v>
      </c>
      <c r="R214" s="492">
        <f>F214+220</f>
        <v>6390.1500000000005</v>
      </c>
      <c r="S214" s="294">
        <f t="shared" ref="S214" si="408">+R214*$X$1</f>
        <v>6390.1500000000005</v>
      </c>
      <c r="T214" s="103">
        <f>F214+200</f>
        <v>6370.1500000000005</v>
      </c>
      <c r="U214" s="313">
        <f t="shared" ref="U214" si="409">+T214*$X$1</f>
        <v>6370.1500000000005</v>
      </c>
      <c r="V214" s="103">
        <f>F214+175</f>
        <v>6345.1500000000005</v>
      </c>
      <c r="W214" s="313">
        <f t="shared" ref="W214" si="410">+V214*$X$1</f>
        <v>6345.1500000000005</v>
      </c>
      <c r="X214" s="152"/>
      <c r="Y214" s="152"/>
      <c r="Z214" s="152"/>
      <c r="AA214" s="152"/>
      <c r="AB214" s="197">
        <v>616</v>
      </c>
    </row>
    <row r="215" spans="1:28" ht="12.6" customHeight="1" x14ac:dyDescent="0.2">
      <c r="A215" s="18"/>
      <c r="B215" s="1020" t="s">
        <v>373</v>
      </c>
      <c r="C215" s="1021"/>
      <c r="D215" s="1021"/>
      <c r="E215" s="1021"/>
      <c r="F215" s="600">
        <v>180</v>
      </c>
      <c r="G215" s="600">
        <f t="shared" ref="G215:G218" si="411">+F215*$X$1</f>
        <v>180</v>
      </c>
      <c r="H215" s="601"/>
      <c r="I215" s="604"/>
      <c r="J215" s="602">
        <f>F215+180</f>
        <v>360</v>
      </c>
      <c r="K215" s="600">
        <f t="shared" ref="K215" si="412">+J215*$X$1</f>
        <v>360</v>
      </c>
      <c r="L215" s="602">
        <f>F215+120</f>
        <v>300</v>
      </c>
      <c r="M215" s="600">
        <f>+L215*$X$1</f>
        <v>300</v>
      </c>
      <c r="N215" s="602">
        <f>F215+63</f>
        <v>243</v>
      </c>
      <c r="O215" s="600">
        <f>+N215*$X$1</f>
        <v>243</v>
      </c>
      <c r="P215" s="602"/>
      <c r="Q215" s="725" t="s">
        <v>152</v>
      </c>
      <c r="R215" s="726"/>
      <c r="S215" s="726"/>
      <c r="T215" s="726"/>
      <c r="U215" s="726"/>
      <c r="V215" s="726"/>
      <c r="W215" s="726"/>
      <c r="X215" s="152"/>
      <c r="Y215" s="152"/>
      <c r="Z215" s="152"/>
      <c r="AA215" s="152"/>
      <c r="AB215" s="197">
        <v>618</v>
      </c>
    </row>
    <row r="216" spans="1:28" ht="12.6" customHeight="1" x14ac:dyDescent="0.2">
      <c r="A216" s="105"/>
      <c r="B216" s="942" t="s">
        <v>503</v>
      </c>
      <c r="C216" s="943"/>
      <c r="D216" s="943"/>
      <c r="E216" s="943"/>
      <c r="F216" s="600">
        <v>500</v>
      </c>
      <c r="G216" s="600">
        <f t="shared" si="411"/>
        <v>500</v>
      </c>
      <c r="H216" s="602"/>
      <c r="I216" s="600"/>
      <c r="J216" s="601"/>
      <c r="K216" s="604"/>
      <c r="L216" s="602">
        <f>F216+130</f>
        <v>630</v>
      </c>
      <c r="M216" s="600">
        <f t="shared" ref="M216" si="413">+L216*$X$1</f>
        <v>630</v>
      </c>
      <c r="N216" s="602"/>
      <c r="O216" s="600"/>
      <c r="P216" s="602">
        <f>F216+5.1</f>
        <v>505.1</v>
      </c>
      <c r="Q216" s="725" t="s">
        <v>152</v>
      </c>
      <c r="R216" s="726"/>
      <c r="S216" s="726"/>
      <c r="T216" s="726"/>
      <c r="U216" s="726"/>
      <c r="V216" s="726"/>
      <c r="W216" s="726"/>
      <c r="X216" s="133"/>
      <c r="Y216" s="152"/>
      <c r="Z216" s="152"/>
      <c r="AA216" s="152"/>
      <c r="AB216" s="197">
        <v>621</v>
      </c>
    </row>
    <row r="217" spans="1:28" ht="12.6" customHeight="1" x14ac:dyDescent="0.2">
      <c r="A217" s="21"/>
      <c r="B217" s="704" t="s">
        <v>199</v>
      </c>
      <c r="C217" s="751"/>
      <c r="D217" s="751"/>
      <c r="E217" s="751"/>
      <c r="F217" s="393">
        <f>2.93*X2</f>
        <v>3038.4100000000003</v>
      </c>
      <c r="G217" s="294">
        <f>+F217*$X$1</f>
        <v>3038.4100000000003</v>
      </c>
      <c r="H217" s="292"/>
      <c r="I217" s="354"/>
      <c r="J217" s="492">
        <f t="shared" ref="J217:J223" si="414">F217+180</f>
        <v>3218.4100000000003</v>
      </c>
      <c r="K217" s="294">
        <f t="shared" ref="K217:K223" si="415">+J217*$X$1</f>
        <v>3218.4100000000003</v>
      </c>
      <c r="L217" s="492">
        <f t="shared" ref="L217:L223" si="416">F217+120</f>
        <v>3158.4100000000003</v>
      </c>
      <c r="M217" s="294">
        <f t="shared" ref="M217:M223" si="417">+L217*$X$1</f>
        <v>3158.4100000000003</v>
      </c>
      <c r="N217" s="492">
        <f t="shared" ref="N217:N223" si="418">F217+63</f>
        <v>3101.4100000000003</v>
      </c>
      <c r="O217" s="294">
        <f t="shared" ref="O217:O223" si="419">+N217*$X$1</f>
        <v>3101.4100000000003</v>
      </c>
      <c r="P217" s="492">
        <f t="shared" ref="P217:P223" si="420">F217+54</f>
        <v>3092.4100000000003</v>
      </c>
      <c r="Q217" s="294">
        <f t="shared" ref="Q217:Q223" si="421">+P217*$X$1</f>
        <v>3092.4100000000003</v>
      </c>
      <c r="R217" s="492">
        <f t="shared" ref="R217:R223" si="422">F217+45</f>
        <v>3083.4100000000003</v>
      </c>
      <c r="S217" s="294">
        <f t="shared" ref="S217:S223" si="423">+R217*$X$1</f>
        <v>3083.4100000000003</v>
      </c>
      <c r="T217" s="103">
        <f t="shared" ref="T217:T223" si="424">F217+37</f>
        <v>3075.4100000000003</v>
      </c>
      <c r="U217" s="313">
        <f t="shared" ref="U217:U223" si="425">+T217*$X$1</f>
        <v>3075.4100000000003</v>
      </c>
      <c r="V217" s="103">
        <f t="shared" ref="V217:V223" si="426">F217+32</f>
        <v>3070.4100000000003</v>
      </c>
      <c r="W217" s="313">
        <f t="shared" ref="W217:W223" si="427">+V217*$X$1</f>
        <v>3070.4100000000003</v>
      </c>
      <c r="X217" s="152"/>
      <c r="Y217" s="161"/>
      <c r="Z217" s="152"/>
      <c r="AA217" s="152"/>
      <c r="AB217" s="197">
        <v>624</v>
      </c>
    </row>
    <row r="218" spans="1:28" ht="12.6" customHeight="1" x14ac:dyDescent="0.2">
      <c r="A218" s="21"/>
      <c r="B218" s="1011" t="s">
        <v>200</v>
      </c>
      <c r="C218" s="1012"/>
      <c r="D218" s="1012"/>
      <c r="E218" s="1012"/>
      <c r="F218" s="392">
        <f>5.057*X2</f>
        <v>5244.1090000000004</v>
      </c>
      <c r="G218" s="293">
        <f t="shared" si="411"/>
        <v>5244.1090000000004</v>
      </c>
      <c r="H218" s="327"/>
      <c r="I218" s="353"/>
      <c r="J218" s="640">
        <f t="shared" si="414"/>
        <v>5424.1090000000004</v>
      </c>
      <c r="K218" s="293">
        <f t="shared" si="415"/>
        <v>5424.1090000000004</v>
      </c>
      <c r="L218" s="640">
        <f t="shared" si="416"/>
        <v>5364.1090000000004</v>
      </c>
      <c r="M218" s="293">
        <f t="shared" si="417"/>
        <v>5364.1090000000004</v>
      </c>
      <c r="N218" s="640">
        <f t="shared" si="418"/>
        <v>5307.1090000000004</v>
      </c>
      <c r="O218" s="293">
        <f t="shared" si="419"/>
        <v>5307.1090000000004</v>
      </c>
      <c r="P218" s="640">
        <f t="shared" si="420"/>
        <v>5298.1090000000004</v>
      </c>
      <c r="Q218" s="293">
        <f t="shared" si="421"/>
        <v>5298.1090000000004</v>
      </c>
      <c r="R218" s="640">
        <f t="shared" si="422"/>
        <v>5289.1090000000004</v>
      </c>
      <c r="S218" s="293">
        <f t="shared" si="423"/>
        <v>5289.1090000000004</v>
      </c>
      <c r="T218" s="104">
        <f t="shared" si="424"/>
        <v>5281.1090000000004</v>
      </c>
      <c r="U218" s="260">
        <f t="shared" si="425"/>
        <v>5281.1090000000004</v>
      </c>
      <c r="V218" s="104">
        <f t="shared" si="426"/>
        <v>5276.1090000000004</v>
      </c>
      <c r="W218" s="260">
        <f t="shared" si="427"/>
        <v>5276.1090000000004</v>
      </c>
      <c r="X218" s="152"/>
      <c r="Y218" s="161"/>
      <c r="Z218" s="152"/>
      <c r="AA218" s="152"/>
      <c r="AB218" s="197" t="s">
        <v>201</v>
      </c>
    </row>
    <row r="219" spans="1:28" ht="12.6" customHeight="1" x14ac:dyDescent="0.2">
      <c r="A219" s="21"/>
      <c r="B219" s="690" t="s">
        <v>202</v>
      </c>
      <c r="C219" s="698"/>
      <c r="D219" s="698"/>
      <c r="E219" s="699"/>
      <c r="F219" s="393">
        <f>5.6*X2</f>
        <v>5807.2</v>
      </c>
      <c r="G219" s="294">
        <f t="shared" ref="G219:G224" si="428">+F219*$X$1</f>
        <v>5807.2</v>
      </c>
      <c r="H219" s="292"/>
      <c r="I219" s="354"/>
      <c r="J219" s="492">
        <f t="shared" si="414"/>
        <v>5987.2</v>
      </c>
      <c r="K219" s="294">
        <f t="shared" si="415"/>
        <v>5987.2</v>
      </c>
      <c r="L219" s="492">
        <f t="shared" si="416"/>
        <v>5927.2</v>
      </c>
      <c r="M219" s="294">
        <f t="shared" si="417"/>
        <v>5927.2</v>
      </c>
      <c r="N219" s="492">
        <f t="shared" si="418"/>
        <v>5870.2</v>
      </c>
      <c r="O219" s="294">
        <f t="shared" si="419"/>
        <v>5870.2</v>
      </c>
      <c r="P219" s="492">
        <f t="shared" si="420"/>
        <v>5861.2</v>
      </c>
      <c r="Q219" s="294">
        <f t="shared" si="421"/>
        <v>5861.2</v>
      </c>
      <c r="R219" s="492">
        <f t="shared" si="422"/>
        <v>5852.2</v>
      </c>
      <c r="S219" s="294">
        <f t="shared" si="423"/>
        <v>5852.2</v>
      </c>
      <c r="T219" s="103">
        <f t="shared" si="424"/>
        <v>5844.2</v>
      </c>
      <c r="U219" s="313">
        <f t="shared" si="425"/>
        <v>5844.2</v>
      </c>
      <c r="V219" s="103">
        <f t="shared" si="426"/>
        <v>5839.2</v>
      </c>
      <c r="W219" s="313">
        <f t="shared" si="427"/>
        <v>5839.2</v>
      </c>
      <c r="X219" s="152"/>
      <c r="Y219" s="161"/>
      <c r="Z219" s="152"/>
      <c r="AA219" s="152"/>
      <c r="AB219" s="197">
        <v>629</v>
      </c>
    </row>
    <row r="220" spans="1:28" ht="12.6" customHeight="1" x14ac:dyDescent="0.2">
      <c r="A220" s="21"/>
      <c r="B220" s="693" t="s">
        <v>429</v>
      </c>
      <c r="C220" s="696"/>
      <c r="D220" s="696"/>
      <c r="E220" s="697"/>
      <c r="F220" s="392">
        <f>8.59*X2</f>
        <v>8907.83</v>
      </c>
      <c r="G220" s="293">
        <f t="shared" si="428"/>
        <v>8907.83</v>
      </c>
      <c r="H220" s="327"/>
      <c r="I220" s="353"/>
      <c r="J220" s="640">
        <f t="shared" si="414"/>
        <v>9087.83</v>
      </c>
      <c r="K220" s="293">
        <f t="shared" si="415"/>
        <v>9087.83</v>
      </c>
      <c r="L220" s="640">
        <f t="shared" si="416"/>
        <v>9027.83</v>
      </c>
      <c r="M220" s="293">
        <f t="shared" si="417"/>
        <v>9027.83</v>
      </c>
      <c r="N220" s="640">
        <f t="shared" si="418"/>
        <v>8970.83</v>
      </c>
      <c r="O220" s="293">
        <f t="shared" si="419"/>
        <v>8970.83</v>
      </c>
      <c r="P220" s="640">
        <f t="shared" si="420"/>
        <v>8961.83</v>
      </c>
      <c r="Q220" s="293">
        <f t="shared" si="421"/>
        <v>8961.83</v>
      </c>
      <c r="R220" s="640">
        <f t="shared" si="422"/>
        <v>8952.83</v>
      </c>
      <c r="S220" s="293">
        <f t="shared" si="423"/>
        <v>8952.83</v>
      </c>
      <c r="T220" s="104">
        <f t="shared" si="424"/>
        <v>8944.83</v>
      </c>
      <c r="U220" s="260">
        <f t="shared" si="425"/>
        <v>8944.83</v>
      </c>
      <c r="V220" s="104">
        <f t="shared" si="426"/>
        <v>8939.83</v>
      </c>
      <c r="W220" s="260">
        <f t="shared" si="427"/>
        <v>8939.83</v>
      </c>
      <c r="X220" s="152"/>
      <c r="Y220" s="161"/>
      <c r="Z220" s="152"/>
      <c r="AA220" s="152"/>
      <c r="AB220" s="197">
        <v>630</v>
      </c>
    </row>
    <row r="221" spans="1:28" ht="12.6" customHeight="1" x14ac:dyDescent="0.2">
      <c r="A221" s="21"/>
      <c r="B221" s="1017" t="s">
        <v>557</v>
      </c>
      <c r="C221" s="1018"/>
      <c r="D221" s="1018"/>
      <c r="E221" s="1019"/>
      <c r="F221" s="605">
        <f>1.05*X2</f>
        <v>1088.8500000000001</v>
      </c>
      <c r="G221" s="641">
        <f t="shared" ref="G221" si="429">+F221*$X$1</f>
        <v>1088.8500000000001</v>
      </c>
      <c r="H221" s="642"/>
      <c r="I221" s="643"/>
      <c r="J221" s="639">
        <f t="shared" si="414"/>
        <v>1268.8500000000001</v>
      </c>
      <c r="K221" s="600">
        <f t="shared" si="415"/>
        <v>1268.8500000000001</v>
      </c>
      <c r="L221" s="639">
        <f t="shared" si="416"/>
        <v>1208.8500000000001</v>
      </c>
      <c r="M221" s="600">
        <f t="shared" si="417"/>
        <v>1208.8500000000001</v>
      </c>
      <c r="N221" s="639">
        <f t="shared" si="418"/>
        <v>1151.8500000000001</v>
      </c>
      <c r="O221" s="600">
        <f t="shared" si="419"/>
        <v>1151.8500000000001</v>
      </c>
      <c r="P221" s="639">
        <f t="shared" si="420"/>
        <v>1142.8500000000001</v>
      </c>
      <c r="Q221" s="600">
        <f t="shared" si="421"/>
        <v>1142.8500000000001</v>
      </c>
      <c r="R221" s="639">
        <f t="shared" si="422"/>
        <v>1133.8500000000001</v>
      </c>
      <c r="S221" s="600">
        <f t="shared" si="423"/>
        <v>1133.8500000000001</v>
      </c>
      <c r="T221" s="612">
        <f t="shared" si="424"/>
        <v>1125.8500000000001</v>
      </c>
      <c r="U221" s="611">
        <f t="shared" si="425"/>
        <v>1125.8500000000001</v>
      </c>
      <c r="V221" s="612">
        <f t="shared" si="426"/>
        <v>1120.8500000000001</v>
      </c>
      <c r="W221" s="611">
        <f t="shared" si="427"/>
        <v>1120.8500000000001</v>
      </c>
      <c r="X221" s="152"/>
      <c r="Y221" s="161"/>
      <c r="Z221" s="152"/>
      <c r="AA221" s="152"/>
      <c r="AB221" s="197">
        <v>631</v>
      </c>
    </row>
    <row r="222" spans="1:28" ht="12.6" customHeight="1" x14ac:dyDescent="0.2">
      <c r="A222" s="21"/>
      <c r="B222" s="746" t="s">
        <v>948</v>
      </c>
      <c r="C222" s="747"/>
      <c r="D222" s="747"/>
      <c r="E222" s="748"/>
      <c r="F222" s="392">
        <f>2.842*X2</f>
        <v>2947.154</v>
      </c>
      <c r="G222" s="295">
        <f t="shared" ref="G222" si="430">+F222*$X$1</f>
        <v>2947.154</v>
      </c>
      <c r="H222" s="327"/>
      <c r="I222" s="360"/>
      <c r="J222" s="640">
        <f t="shared" ref="J222" si="431">F222+180</f>
        <v>3127.154</v>
      </c>
      <c r="K222" s="293">
        <f t="shared" ref="K222" si="432">+J222*$X$1</f>
        <v>3127.154</v>
      </c>
      <c r="L222" s="640">
        <f t="shared" ref="L222" si="433">F222+120</f>
        <v>3067.154</v>
      </c>
      <c r="M222" s="293">
        <f t="shared" ref="M222" si="434">+L222*$X$1</f>
        <v>3067.154</v>
      </c>
      <c r="N222" s="640">
        <f t="shared" ref="N222" si="435">F222+63</f>
        <v>3010.154</v>
      </c>
      <c r="O222" s="293">
        <f t="shared" ref="O222" si="436">+N222*$X$1</f>
        <v>3010.154</v>
      </c>
      <c r="P222" s="640">
        <f t="shared" ref="P222" si="437">F222+54</f>
        <v>3001.154</v>
      </c>
      <c r="Q222" s="293">
        <f t="shared" ref="Q222" si="438">+P222*$X$1</f>
        <v>3001.154</v>
      </c>
      <c r="R222" s="640">
        <f t="shared" ref="R222" si="439">F222+45</f>
        <v>2992.154</v>
      </c>
      <c r="S222" s="293">
        <f t="shared" ref="S222" si="440">+R222*$X$1</f>
        <v>2992.154</v>
      </c>
      <c r="T222" s="104">
        <f t="shared" ref="T222" si="441">F222+37</f>
        <v>2984.154</v>
      </c>
      <c r="U222" s="260">
        <f t="shared" ref="U222" si="442">+T222*$X$1</f>
        <v>2984.154</v>
      </c>
      <c r="V222" s="104">
        <f t="shared" ref="V222" si="443">F222+32</f>
        <v>2979.154</v>
      </c>
      <c r="W222" s="260">
        <f t="shared" ref="W222" si="444">+V222*$X$1</f>
        <v>2979.154</v>
      </c>
      <c r="X222" s="152"/>
      <c r="Y222" s="161"/>
      <c r="Z222" s="152"/>
      <c r="AA222" s="152"/>
      <c r="AB222" s="197">
        <v>633</v>
      </c>
    </row>
    <row r="223" spans="1:28" ht="12.6" customHeight="1" x14ac:dyDescent="0.2">
      <c r="A223" s="21"/>
      <c r="B223" s="690" t="s">
        <v>521</v>
      </c>
      <c r="C223" s="698"/>
      <c r="D223" s="698"/>
      <c r="E223" s="699"/>
      <c r="F223" s="393">
        <f>1.352*X2</f>
        <v>1402.0240000000001</v>
      </c>
      <c r="G223" s="296">
        <f t="shared" si="428"/>
        <v>1402.0240000000001</v>
      </c>
      <c r="H223" s="292"/>
      <c r="I223" s="361"/>
      <c r="J223" s="492">
        <f t="shared" si="414"/>
        <v>1582.0240000000001</v>
      </c>
      <c r="K223" s="294">
        <f t="shared" si="415"/>
        <v>1582.0240000000001</v>
      </c>
      <c r="L223" s="492">
        <f t="shared" si="416"/>
        <v>1522.0240000000001</v>
      </c>
      <c r="M223" s="294">
        <f t="shared" si="417"/>
        <v>1522.0240000000001</v>
      </c>
      <c r="N223" s="492">
        <f t="shared" si="418"/>
        <v>1465.0240000000001</v>
      </c>
      <c r="O223" s="294">
        <f t="shared" si="419"/>
        <v>1465.0240000000001</v>
      </c>
      <c r="P223" s="492">
        <f t="shared" si="420"/>
        <v>1456.0240000000001</v>
      </c>
      <c r="Q223" s="294">
        <f t="shared" si="421"/>
        <v>1456.0240000000001</v>
      </c>
      <c r="R223" s="492">
        <f t="shared" si="422"/>
        <v>1447.0240000000001</v>
      </c>
      <c r="S223" s="294">
        <f t="shared" si="423"/>
        <v>1447.0240000000001</v>
      </c>
      <c r="T223" s="103">
        <f t="shared" si="424"/>
        <v>1439.0240000000001</v>
      </c>
      <c r="U223" s="313">
        <f t="shared" si="425"/>
        <v>1439.0240000000001</v>
      </c>
      <c r="V223" s="103">
        <f t="shared" si="426"/>
        <v>1434.0240000000001</v>
      </c>
      <c r="W223" s="313">
        <f t="shared" si="427"/>
        <v>1434.0240000000001</v>
      </c>
      <c r="X223" s="152"/>
      <c r="Y223" s="161"/>
      <c r="Z223" s="152"/>
      <c r="AA223" s="152"/>
      <c r="AB223" s="197">
        <v>640</v>
      </c>
    </row>
    <row r="224" spans="1:28" ht="12.6" customHeight="1" x14ac:dyDescent="0.2">
      <c r="A224" s="18"/>
      <c r="B224" s="942" t="s">
        <v>203</v>
      </c>
      <c r="C224" s="943"/>
      <c r="D224" s="943"/>
      <c r="E224" s="943"/>
      <c r="F224" s="605">
        <f>1.95*X2</f>
        <v>2022.1499999999999</v>
      </c>
      <c r="G224" s="600">
        <f t="shared" si="428"/>
        <v>2022.1499999999999</v>
      </c>
      <c r="H224" s="603">
        <f t="shared" ref="H224" si="445">F224+400</f>
        <v>2422.1499999999996</v>
      </c>
      <c r="I224" s="600">
        <f t="shared" ref="I224" si="446">+H224*$X$1</f>
        <v>2422.1499999999996</v>
      </c>
      <c r="J224" s="602">
        <f t="shared" ref="J224" si="447">F224+170</f>
        <v>2192.1499999999996</v>
      </c>
      <c r="K224" s="600">
        <f t="shared" ref="K224" si="448">+J224*$X$1</f>
        <v>2192.1499999999996</v>
      </c>
      <c r="L224" s="602">
        <f t="shared" ref="L224" si="449">F224+130</f>
        <v>2152.1499999999996</v>
      </c>
      <c r="M224" s="600">
        <f t="shared" ref="M224" si="450">+L224*$X$1</f>
        <v>2152.1499999999996</v>
      </c>
      <c r="N224" s="602">
        <f t="shared" ref="N224" si="451">F224+100</f>
        <v>2122.1499999999996</v>
      </c>
      <c r="O224" s="600">
        <f t="shared" ref="O224" si="452">+N224*$X$1</f>
        <v>2122.1499999999996</v>
      </c>
      <c r="P224" s="602">
        <f t="shared" ref="P224" si="453">F224+80</f>
        <v>2102.1499999999996</v>
      </c>
      <c r="Q224" s="600">
        <f t="shared" ref="Q224" si="454">+P224*$X$1</f>
        <v>2102.1499999999996</v>
      </c>
      <c r="R224" s="602">
        <f t="shared" ref="R224" si="455">F224+74</f>
        <v>2096.1499999999996</v>
      </c>
      <c r="S224" s="600">
        <f t="shared" ref="S224" si="456">+R224*$X$1</f>
        <v>2096.1499999999996</v>
      </c>
      <c r="T224" s="602">
        <f t="shared" ref="T224" si="457">F224+67</f>
        <v>2089.1499999999996</v>
      </c>
      <c r="U224" s="600">
        <f t="shared" ref="U224" si="458">+T224*$X$1</f>
        <v>2089.1499999999996</v>
      </c>
      <c r="V224" s="602">
        <f t="shared" ref="V224" si="459">F224+55</f>
        <v>2077.1499999999996</v>
      </c>
      <c r="W224" s="600">
        <f t="shared" ref="W224" si="460">+V224*$X$1</f>
        <v>2077.1499999999996</v>
      </c>
      <c r="X224" s="700"/>
      <c r="Y224" s="686"/>
      <c r="Z224" s="686"/>
      <c r="AA224" s="687"/>
      <c r="AB224" s="197">
        <v>705</v>
      </c>
    </row>
    <row r="225" spans="1:34" ht="12.6" customHeight="1" x14ac:dyDescent="0.2">
      <c r="A225" s="18"/>
      <c r="B225" s="704" t="s">
        <v>534</v>
      </c>
      <c r="C225" s="705"/>
      <c r="D225" s="705"/>
      <c r="E225" s="705"/>
      <c r="F225" s="339">
        <v>10476</v>
      </c>
      <c r="G225" s="294">
        <f t="shared" ref="G225" si="461">+F225*$X$1</f>
        <v>10476</v>
      </c>
      <c r="H225" s="492">
        <f t="shared" ref="H225:H234" si="462">F225+500</f>
        <v>10976</v>
      </c>
      <c r="I225" s="294">
        <f t="shared" ref="I225" si="463">+H225*$X$1</f>
        <v>10976</v>
      </c>
      <c r="J225" s="492">
        <f t="shared" ref="J225:J234" si="464">F225+220</f>
        <v>10696</v>
      </c>
      <c r="K225" s="294">
        <f t="shared" ref="K225" si="465">+J225*$X$1</f>
        <v>10696</v>
      </c>
      <c r="L225" s="492">
        <f t="shared" ref="L225:L234" si="466">F225+170</f>
        <v>10646</v>
      </c>
      <c r="M225" s="294">
        <f t="shared" ref="M225" si="467">+L225*$X$1</f>
        <v>10646</v>
      </c>
      <c r="N225" s="492">
        <f t="shared" ref="N225:N234" si="468">F225+145</f>
        <v>10621</v>
      </c>
      <c r="O225" s="294">
        <f t="shared" ref="O225" si="469">+N225*$X$1</f>
        <v>10621</v>
      </c>
      <c r="P225" s="492">
        <f t="shared" ref="P225:P234" si="470">F225+130</f>
        <v>10606</v>
      </c>
      <c r="Q225" s="294">
        <f t="shared" ref="Q225" si="471">+P225*$X$1</f>
        <v>10606</v>
      </c>
      <c r="R225" s="492">
        <f t="shared" ref="R225:R234" si="472">F225+110</f>
        <v>10586</v>
      </c>
      <c r="S225" s="294">
        <f t="shared" ref="S225" si="473">+R225*$X$1</f>
        <v>10586</v>
      </c>
      <c r="T225" s="103">
        <f t="shared" ref="T225:T234" si="474">F225+95</f>
        <v>10571</v>
      </c>
      <c r="U225" s="313">
        <f t="shared" ref="U225" si="475">+T225*$X$1</f>
        <v>10571</v>
      </c>
      <c r="V225" s="103">
        <f t="shared" ref="V225:V234" si="476">F225+80</f>
        <v>10556</v>
      </c>
      <c r="W225" s="313">
        <f t="shared" ref="W225" si="477">+V225*$X$1</f>
        <v>10556</v>
      </c>
      <c r="X225" s="750"/>
      <c r="Y225" s="716"/>
      <c r="Z225" s="716"/>
      <c r="AA225" s="717"/>
      <c r="AB225" s="197">
        <v>815</v>
      </c>
    </row>
    <row r="226" spans="1:34" ht="12.6" customHeight="1" x14ac:dyDescent="0.2">
      <c r="A226" s="18"/>
      <c r="B226" s="683" t="s">
        <v>533</v>
      </c>
      <c r="C226" s="712"/>
      <c r="D226" s="712"/>
      <c r="E226" s="712"/>
      <c r="F226" s="340">
        <v>18042</v>
      </c>
      <c r="G226" s="293">
        <f t="shared" ref="G226" si="478">+F226*$X$1</f>
        <v>18042</v>
      </c>
      <c r="H226" s="621">
        <f t="shared" si="462"/>
        <v>18542</v>
      </c>
      <c r="I226" s="293">
        <f t="shared" ref="I226:I234" si="479">+H226*$X$1</f>
        <v>18542</v>
      </c>
      <c r="J226" s="621">
        <f t="shared" si="464"/>
        <v>18262</v>
      </c>
      <c r="K226" s="293">
        <f t="shared" ref="K226:K234" si="480">+J226*$X$1</f>
        <v>18262</v>
      </c>
      <c r="L226" s="621">
        <f t="shared" si="466"/>
        <v>18212</v>
      </c>
      <c r="M226" s="293">
        <f t="shared" ref="M226:M234" si="481">+L226*$X$1</f>
        <v>18212</v>
      </c>
      <c r="N226" s="621">
        <f t="shared" si="468"/>
        <v>18187</v>
      </c>
      <c r="O226" s="293">
        <f t="shared" ref="O226:O234" si="482">+N226*$X$1</f>
        <v>18187</v>
      </c>
      <c r="P226" s="621">
        <f t="shared" si="470"/>
        <v>18172</v>
      </c>
      <c r="Q226" s="293">
        <f t="shared" ref="Q226:Q234" si="483">+P226*$X$1</f>
        <v>18172</v>
      </c>
      <c r="R226" s="621">
        <f t="shared" si="472"/>
        <v>18152</v>
      </c>
      <c r="S226" s="293">
        <f t="shared" ref="S226:S234" si="484">+R226*$X$1</f>
        <v>18152</v>
      </c>
      <c r="T226" s="104">
        <f t="shared" si="474"/>
        <v>18137</v>
      </c>
      <c r="U226" s="260">
        <f t="shared" ref="U226:U234" si="485">+T226*$X$1</f>
        <v>18137</v>
      </c>
      <c r="V226" s="104">
        <f t="shared" si="476"/>
        <v>18122</v>
      </c>
      <c r="W226" s="260">
        <f t="shared" ref="W226:W234" si="486">+V226*$X$1</f>
        <v>18122</v>
      </c>
      <c r="X226" s="750"/>
      <c r="Y226" s="716"/>
      <c r="Z226" s="716"/>
      <c r="AA226" s="717"/>
      <c r="AB226" s="197">
        <v>819</v>
      </c>
    </row>
    <row r="227" spans="1:34" ht="12.6" customHeight="1" x14ac:dyDescent="0.2">
      <c r="A227" s="18"/>
      <c r="B227" s="704" t="s">
        <v>724</v>
      </c>
      <c r="C227" s="705"/>
      <c r="D227" s="705"/>
      <c r="E227" s="705"/>
      <c r="F227" s="393">
        <f>4.7*X2</f>
        <v>4873.9000000000005</v>
      </c>
      <c r="G227" s="294">
        <f>+F227*$X$1</f>
        <v>4873.9000000000005</v>
      </c>
      <c r="H227" s="492">
        <f t="shared" si="462"/>
        <v>5373.9000000000005</v>
      </c>
      <c r="I227" s="294">
        <f t="shared" si="479"/>
        <v>5373.9000000000005</v>
      </c>
      <c r="J227" s="492">
        <f t="shared" si="464"/>
        <v>5093.9000000000005</v>
      </c>
      <c r="K227" s="294">
        <f t="shared" si="480"/>
        <v>5093.9000000000005</v>
      </c>
      <c r="L227" s="492">
        <f t="shared" si="466"/>
        <v>5043.9000000000005</v>
      </c>
      <c r="M227" s="294">
        <f t="shared" si="481"/>
        <v>5043.9000000000005</v>
      </c>
      <c r="N227" s="492">
        <f t="shared" si="468"/>
        <v>5018.9000000000005</v>
      </c>
      <c r="O227" s="294">
        <f t="shared" si="482"/>
        <v>5018.9000000000005</v>
      </c>
      <c r="P227" s="492">
        <f t="shared" si="470"/>
        <v>5003.9000000000005</v>
      </c>
      <c r="Q227" s="294">
        <f t="shared" si="483"/>
        <v>5003.9000000000005</v>
      </c>
      <c r="R227" s="492">
        <f t="shared" si="472"/>
        <v>4983.9000000000005</v>
      </c>
      <c r="S227" s="294">
        <f t="shared" si="484"/>
        <v>4983.9000000000005</v>
      </c>
      <c r="T227" s="103">
        <f t="shared" si="474"/>
        <v>4968.9000000000005</v>
      </c>
      <c r="U227" s="313">
        <f t="shared" si="485"/>
        <v>4968.9000000000005</v>
      </c>
      <c r="V227" s="103">
        <f t="shared" si="476"/>
        <v>4953.9000000000005</v>
      </c>
      <c r="W227" s="313">
        <f t="shared" si="486"/>
        <v>4953.9000000000005</v>
      </c>
      <c r="X227" s="750"/>
      <c r="Y227" s="716"/>
      <c r="Z227" s="716"/>
      <c r="AA227" s="717"/>
      <c r="AB227" s="197">
        <v>821</v>
      </c>
    </row>
    <row r="228" spans="1:34" ht="12.6" customHeight="1" x14ac:dyDescent="0.2">
      <c r="A228" s="18"/>
      <c r="B228" s="708" t="s">
        <v>925</v>
      </c>
      <c r="C228" s="709"/>
      <c r="D228" s="709"/>
      <c r="E228" s="709"/>
      <c r="F228" s="392">
        <f>12*X2</f>
        <v>12444</v>
      </c>
      <c r="G228" s="293">
        <f t="shared" ref="G228" si="487">+F228*$X$1</f>
        <v>12444</v>
      </c>
      <c r="H228" s="621">
        <f t="shared" si="462"/>
        <v>12944</v>
      </c>
      <c r="I228" s="293">
        <f t="shared" si="479"/>
        <v>12944</v>
      </c>
      <c r="J228" s="621">
        <f t="shared" si="464"/>
        <v>12664</v>
      </c>
      <c r="K228" s="293">
        <f t="shared" si="480"/>
        <v>12664</v>
      </c>
      <c r="L228" s="621">
        <f t="shared" si="466"/>
        <v>12614</v>
      </c>
      <c r="M228" s="293">
        <f t="shared" si="481"/>
        <v>12614</v>
      </c>
      <c r="N228" s="621">
        <f t="shared" si="468"/>
        <v>12589</v>
      </c>
      <c r="O228" s="293">
        <f t="shared" si="482"/>
        <v>12589</v>
      </c>
      <c r="P228" s="621">
        <f t="shared" si="470"/>
        <v>12574</v>
      </c>
      <c r="Q228" s="293">
        <f t="shared" si="483"/>
        <v>12574</v>
      </c>
      <c r="R228" s="621">
        <f t="shared" si="472"/>
        <v>12554</v>
      </c>
      <c r="S228" s="293">
        <f t="shared" si="484"/>
        <v>12554</v>
      </c>
      <c r="T228" s="104">
        <f t="shared" si="474"/>
        <v>12539</v>
      </c>
      <c r="U228" s="260">
        <f t="shared" si="485"/>
        <v>12539</v>
      </c>
      <c r="V228" s="104">
        <f t="shared" si="476"/>
        <v>12524</v>
      </c>
      <c r="W228" s="260">
        <f t="shared" si="486"/>
        <v>12524</v>
      </c>
      <c r="X228" s="750"/>
      <c r="Y228" s="716"/>
      <c r="Z228" s="716"/>
      <c r="AA228" s="717"/>
      <c r="AB228" s="197">
        <v>822</v>
      </c>
    </row>
    <row r="229" spans="1:34" ht="12.6" customHeight="1" x14ac:dyDescent="0.2">
      <c r="A229" s="18"/>
      <c r="B229" s="704" t="s">
        <v>528</v>
      </c>
      <c r="C229" s="705"/>
      <c r="D229" s="705"/>
      <c r="E229" s="705"/>
      <c r="F229" s="339">
        <v>15132</v>
      </c>
      <c r="G229" s="294">
        <f>+F229*$X$1</f>
        <v>15132</v>
      </c>
      <c r="H229" s="492">
        <f>F229+500</f>
        <v>15632</v>
      </c>
      <c r="I229" s="294">
        <f>+H229*$X$1</f>
        <v>15632</v>
      </c>
      <c r="J229" s="492">
        <f>F229+220</f>
        <v>15352</v>
      </c>
      <c r="K229" s="294">
        <f>+J229*$X$1</f>
        <v>15352</v>
      </c>
      <c r="L229" s="492">
        <f>F229+170</f>
        <v>15302</v>
      </c>
      <c r="M229" s="294">
        <f>+L229*$X$1</f>
        <v>15302</v>
      </c>
      <c r="N229" s="492">
        <f>F229+145</f>
        <v>15277</v>
      </c>
      <c r="O229" s="294">
        <f>+N229*$X$1</f>
        <v>15277</v>
      </c>
      <c r="P229" s="492">
        <f>F229+130</f>
        <v>15262</v>
      </c>
      <c r="Q229" s="294">
        <f>+P229*$X$1</f>
        <v>15262</v>
      </c>
      <c r="R229" s="492">
        <f>F229+110</f>
        <v>15242</v>
      </c>
      <c r="S229" s="294">
        <f>+R229*$X$1</f>
        <v>15242</v>
      </c>
      <c r="T229" s="103">
        <f>F229+95</f>
        <v>15227</v>
      </c>
      <c r="U229" s="313">
        <f>+T229*$X$1</f>
        <v>15227</v>
      </c>
      <c r="V229" s="103">
        <f>F229+80</f>
        <v>15212</v>
      </c>
      <c r="W229" s="313">
        <f>+V229*$X$1</f>
        <v>15212</v>
      </c>
      <c r="X229" s="750"/>
      <c r="Y229" s="716"/>
      <c r="Z229" s="716"/>
      <c r="AA229" s="717"/>
      <c r="AB229" s="197">
        <v>823</v>
      </c>
    </row>
    <row r="230" spans="1:34" ht="12.6" customHeight="1" x14ac:dyDescent="0.2">
      <c r="A230" s="18"/>
      <c r="B230" s="708" t="s">
        <v>938</v>
      </c>
      <c r="C230" s="709"/>
      <c r="D230" s="709"/>
      <c r="E230" s="709"/>
      <c r="F230" s="392">
        <f>3.45*X2</f>
        <v>3577.65</v>
      </c>
      <c r="G230" s="293">
        <f t="shared" ref="G230" si="488">+F230*$X$1</f>
        <v>3577.65</v>
      </c>
      <c r="H230" s="621">
        <f t="shared" ref="H230" si="489">F230+500</f>
        <v>4077.65</v>
      </c>
      <c r="I230" s="293">
        <f t="shared" ref="I230" si="490">+H230*$X$1</f>
        <v>4077.65</v>
      </c>
      <c r="J230" s="621">
        <f t="shared" ref="J230" si="491">F230+220</f>
        <v>3797.65</v>
      </c>
      <c r="K230" s="293">
        <f t="shared" ref="K230" si="492">+J230*$X$1</f>
        <v>3797.65</v>
      </c>
      <c r="L230" s="621">
        <f t="shared" ref="L230" si="493">F230+170</f>
        <v>3747.65</v>
      </c>
      <c r="M230" s="293">
        <f t="shared" ref="M230" si="494">+L230*$X$1</f>
        <v>3747.65</v>
      </c>
      <c r="N230" s="621">
        <f t="shared" ref="N230" si="495">F230+145</f>
        <v>3722.65</v>
      </c>
      <c r="O230" s="293">
        <f t="shared" ref="O230" si="496">+N230*$X$1</f>
        <v>3722.65</v>
      </c>
      <c r="P230" s="621">
        <f t="shared" ref="P230" si="497">F230+130</f>
        <v>3707.65</v>
      </c>
      <c r="Q230" s="293">
        <f t="shared" ref="Q230" si="498">+P230*$X$1</f>
        <v>3707.65</v>
      </c>
      <c r="R230" s="621">
        <f t="shared" ref="R230" si="499">F230+110</f>
        <v>3687.65</v>
      </c>
      <c r="S230" s="293">
        <f t="shared" ref="S230" si="500">+R230*$X$1</f>
        <v>3687.65</v>
      </c>
      <c r="T230" s="104">
        <f t="shared" ref="T230" si="501">F230+95</f>
        <v>3672.65</v>
      </c>
      <c r="U230" s="260">
        <f t="shared" ref="U230" si="502">+T230*$X$1</f>
        <v>3672.65</v>
      </c>
      <c r="V230" s="104">
        <f t="shared" ref="V230" si="503">F230+80</f>
        <v>3657.65</v>
      </c>
      <c r="W230" s="260">
        <f t="shared" ref="W230" si="504">+V230*$X$1</f>
        <v>3657.65</v>
      </c>
      <c r="X230" s="750"/>
      <c r="Y230" s="716"/>
      <c r="Z230" s="716"/>
      <c r="AA230" s="717"/>
      <c r="AB230" s="197">
        <v>824</v>
      </c>
    </row>
    <row r="231" spans="1:34" ht="12.6" customHeight="1" x14ac:dyDescent="0.2">
      <c r="A231" s="18"/>
      <c r="B231" s="704" t="s">
        <v>868</v>
      </c>
      <c r="C231" s="705"/>
      <c r="D231" s="705"/>
      <c r="E231" s="705"/>
      <c r="F231" s="393">
        <f>3.4*X2</f>
        <v>3525.7999999999997</v>
      </c>
      <c r="G231" s="294">
        <f>+F231*$X$1</f>
        <v>3525.7999999999997</v>
      </c>
      <c r="H231" s="492">
        <f t="shared" si="462"/>
        <v>4025.7999999999997</v>
      </c>
      <c r="I231" s="294">
        <f t="shared" si="479"/>
        <v>4025.7999999999997</v>
      </c>
      <c r="J231" s="492">
        <f t="shared" si="464"/>
        <v>3745.7999999999997</v>
      </c>
      <c r="K231" s="294">
        <f t="shared" si="480"/>
        <v>3745.7999999999997</v>
      </c>
      <c r="L231" s="492">
        <f t="shared" si="466"/>
        <v>3695.7999999999997</v>
      </c>
      <c r="M231" s="294">
        <f t="shared" si="481"/>
        <v>3695.7999999999997</v>
      </c>
      <c r="N231" s="492">
        <f t="shared" si="468"/>
        <v>3670.7999999999997</v>
      </c>
      <c r="O231" s="294">
        <f t="shared" si="482"/>
        <v>3670.7999999999997</v>
      </c>
      <c r="P231" s="492">
        <f t="shared" si="470"/>
        <v>3655.7999999999997</v>
      </c>
      <c r="Q231" s="294">
        <f t="shared" si="483"/>
        <v>3655.7999999999997</v>
      </c>
      <c r="R231" s="492">
        <f t="shared" si="472"/>
        <v>3635.7999999999997</v>
      </c>
      <c r="S231" s="294">
        <f t="shared" si="484"/>
        <v>3635.7999999999997</v>
      </c>
      <c r="T231" s="103">
        <f t="shared" si="474"/>
        <v>3620.7999999999997</v>
      </c>
      <c r="U231" s="313">
        <f t="shared" si="485"/>
        <v>3620.7999999999997</v>
      </c>
      <c r="V231" s="103">
        <f t="shared" si="476"/>
        <v>3605.7999999999997</v>
      </c>
      <c r="W231" s="313">
        <f t="shared" si="486"/>
        <v>3605.7999999999997</v>
      </c>
      <c r="X231" s="750"/>
      <c r="Y231" s="716"/>
      <c r="Z231" s="716"/>
      <c r="AA231" s="717"/>
      <c r="AB231" s="197">
        <v>825</v>
      </c>
    </row>
    <row r="232" spans="1:34" ht="12.6" customHeight="1" x14ac:dyDescent="0.2">
      <c r="A232" s="18"/>
      <c r="B232" s="683" t="s">
        <v>719</v>
      </c>
      <c r="C232" s="712"/>
      <c r="D232" s="712"/>
      <c r="E232" s="712"/>
      <c r="F232" s="392">
        <f>7.52*X2</f>
        <v>7798.24</v>
      </c>
      <c r="G232" s="293">
        <f>+F232*$X$1</f>
        <v>7798.24</v>
      </c>
      <c r="H232" s="621">
        <f t="shared" si="462"/>
        <v>8298.24</v>
      </c>
      <c r="I232" s="293">
        <f t="shared" si="479"/>
        <v>8298.24</v>
      </c>
      <c r="J232" s="621">
        <f t="shared" si="464"/>
        <v>8018.24</v>
      </c>
      <c r="K232" s="293">
        <f t="shared" si="480"/>
        <v>8018.24</v>
      </c>
      <c r="L232" s="621">
        <f t="shared" si="466"/>
        <v>7968.24</v>
      </c>
      <c r="M232" s="293">
        <f t="shared" si="481"/>
        <v>7968.24</v>
      </c>
      <c r="N232" s="621">
        <f t="shared" si="468"/>
        <v>7943.24</v>
      </c>
      <c r="O232" s="293">
        <f t="shared" si="482"/>
        <v>7943.24</v>
      </c>
      <c r="P232" s="621">
        <f t="shared" si="470"/>
        <v>7928.24</v>
      </c>
      <c r="Q232" s="293">
        <f t="shared" si="483"/>
        <v>7928.24</v>
      </c>
      <c r="R232" s="621">
        <f t="shared" si="472"/>
        <v>7908.24</v>
      </c>
      <c r="S232" s="293">
        <f t="shared" si="484"/>
        <v>7908.24</v>
      </c>
      <c r="T232" s="104">
        <f t="shared" si="474"/>
        <v>7893.24</v>
      </c>
      <c r="U232" s="260">
        <f t="shared" si="485"/>
        <v>7893.24</v>
      </c>
      <c r="V232" s="104">
        <f t="shared" si="476"/>
        <v>7878.24</v>
      </c>
      <c r="W232" s="260">
        <f t="shared" si="486"/>
        <v>7878.24</v>
      </c>
      <c r="X232" s="750"/>
      <c r="Y232" s="716"/>
      <c r="Z232" s="716"/>
      <c r="AA232" s="717"/>
      <c r="AB232" s="197">
        <v>826</v>
      </c>
    </row>
    <row r="233" spans="1:34" ht="12.6" customHeight="1" x14ac:dyDescent="0.2">
      <c r="A233" s="18"/>
      <c r="B233" s="755" t="s">
        <v>903</v>
      </c>
      <c r="C233" s="709"/>
      <c r="D233" s="709"/>
      <c r="E233" s="709"/>
      <c r="F233" s="393">
        <f>2.9*X2</f>
        <v>3007.2999999999997</v>
      </c>
      <c r="G233" s="294">
        <f t="shared" ref="G233" si="505">+F233*$X$1</f>
        <v>3007.2999999999997</v>
      </c>
      <c r="H233" s="492">
        <f t="shared" si="462"/>
        <v>3507.2999999999997</v>
      </c>
      <c r="I233" s="294">
        <f t="shared" si="479"/>
        <v>3507.2999999999997</v>
      </c>
      <c r="J233" s="492">
        <f t="shared" si="464"/>
        <v>3227.2999999999997</v>
      </c>
      <c r="K233" s="294">
        <f t="shared" si="480"/>
        <v>3227.2999999999997</v>
      </c>
      <c r="L233" s="492">
        <f t="shared" si="466"/>
        <v>3177.2999999999997</v>
      </c>
      <c r="M233" s="294">
        <f t="shared" si="481"/>
        <v>3177.2999999999997</v>
      </c>
      <c r="N233" s="492">
        <f t="shared" si="468"/>
        <v>3152.2999999999997</v>
      </c>
      <c r="O233" s="294">
        <f t="shared" si="482"/>
        <v>3152.2999999999997</v>
      </c>
      <c r="P233" s="492">
        <f t="shared" si="470"/>
        <v>3137.2999999999997</v>
      </c>
      <c r="Q233" s="294">
        <f t="shared" si="483"/>
        <v>3137.2999999999997</v>
      </c>
      <c r="R233" s="492">
        <f t="shared" si="472"/>
        <v>3117.2999999999997</v>
      </c>
      <c r="S233" s="294">
        <f t="shared" si="484"/>
        <v>3117.2999999999997</v>
      </c>
      <c r="T233" s="103">
        <f t="shared" si="474"/>
        <v>3102.2999999999997</v>
      </c>
      <c r="U233" s="313">
        <f t="shared" si="485"/>
        <v>3102.2999999999997</v>
      </c>
      <c r="V233" s="103">
        <f t="shared" si="476"/>
        <v>3087.2999999999997</v>
      </c>
      <c r="W233" s="313">
        <f t="shared" si="486"/>
        <v>3087.2999999999997</v>
      </c>
      <c r="X233" s="750"/>
      <c r="Y233" s="716"/>
      <c r="Z233" s="716"/>
      <c r="AA233" s="717"/>
      <c r="AB233" s="197">
        <v>827</v>
      </c>
    </row>
    <row r="234" spans="1:34" ht="12.6" customHeight="1" x14ac:dyDescent="0.2">
      <c r="A234" s="18"/>
      <c r="B234" s="683" t="s">
        <v>720</v>
      </c>
      <c r="C234" s="712"/>
      <c r="D234" s="712"/>
      <c r="E234" s="712"/>
      <c r="F234" s="392">
        <f>8.75*X2</f>
        <v>9073.75</v>
      </c>
      <c r="G234" s="293">
        <f>+F234*$X$1</f>
        <v>9073.75</v>
      </c>
      <c r="H234" s="621">
        <f t="shared" si="462"/>
        <v>9573.75</v>
      </c>
      <c r="I234" s="293">
        <f t="shared" si="479"/>
        <v>9573.75</v>
      </c>
      <c r="J234" s="621">
        <f t="shared" si="464"/>
        <v>9293.75</v>
      </c>
      <c r="K234" s="293">
        <f t="shared" si="480"/>
        <v>9293.75</v>
      </c>
      <c r="L234" s="621">
        <f t="shared" si="466"/>
        <v>9243.75</v>
      </c>
      <c r="M234" s="293">
        <f t="shared" si="481"/>
        <v>9243.75</v>
      </c>
      <c r="N234" s="621">
        <f t="shared" si="468"/>
        <v>9218.75</v>
      </c>
      <c r="O234" s="293">
        <f t="shared" si="482"/>
        <v>9218.75</v>
      </c>
      <c r="P234" s="621">
        <f t="shared" si="470"/>
        <v>9203.75</v>
      </c>
      <c r="Q234" s="293">
        <f t="shared" si="483"/>
        <v>9203.75</v>
      </c>
      <c r="R234" s="621">
        <f t="shared" si="472"/>
        <v>9183.75</v>
      </c>
      <c r="S234" s="293">
        <f t="shared" si="484"/>
        <v>9183.75</v>
      </c>
      <c r="T234" s="104">
        <f t="shared" si="474"/>
        <v>9168.75</v>
      </c>
      <c r="U234" s="260">
        <f t="shared" si="485"/>
        <v>9168.75</v>
      </c>
      <c r="V234" s="104">
        <f t="shared" si="476"/>
        <v>9153.75</v>
      </c>
      <c r="W234" s="260">
        <f t="shared" si="486"/>
        <v>9153.75</v>
      </c>
      <c r="X234" s="750"/>
      <c r="Y234" s="716"/>
      <c r="Z234" s="716"/>
      <c r="AA234" s="717"/>
      <c r="AB234" s="197">
        <v>828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1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AB235" s="100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1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AB236" s="4"/>
    </row>
    <row r="237" spans="1:34" ht="12.6" customHeight="1" x14ac:dyDescent="0.2">
      <c r="A237" s="18"/>
      <c r="B237" s="3"/>
      <c r="C237" s="3"/>
      <c r="D237" s="3"/>
      <c r="E237" s="76"/>
      <c r="F237" s="1013"/>
      <c r="G237" s="1013"/>
      <c r="H237" s="1013"/>
      <c r="I237" s="1013"/>
      <c r="J237" s="1013"/>
      <c r="K237" s="281"/>
      <c r="L237" s="280"/>
      <c r="M237" s="280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AB237" s="4"/>
    </row>
    <row r="238" spans="1:34" ht="15.75" customHeight="1" x14ac:dyDescent="0.2">
      <c r="A238" s="18"/>
      <c r="B238" s="965" t="s">
        <v>11</v>
      </c>
      <c r="C238" s="1101" t="s">
        <v>12</v>
      </c>
      <c r="D238" s="1102"/>
      <c r="E238" s="1102"/>
      <c r="F238" s="671" t="s">
        <v>13</v>
      </c>
      <c r="G238" s="671" t="s">
        <v>13</v>
      </c>
      <c r="H238" s="673" t="s">
        <v>836</v>
      </c>
      <c r="I238" s="673"/>
      <c r="J238" s="674"/>
      <c r="K238" s="674"/>
      <c r="L238" s="674"/>
      <c r="M238" s="674"/>
      <c r="N238" s="674"/>
      <c r="O238" s="674"/>
      <c r="P238" s="674"/>
      <c r="Q238" s="674"/>
      <c r="R238" s="674"/>
      <c r="S238" s="674"/>
      <c r="T238" s="674"/>
      <c r="U238" s="674"/>
      <c r="V238" s="674"/>
      <c r="W238" s="674"/>
      <c r="X238" s="657" t="s">
        <v>14</v>
      </c>
      <c r="Y238" s="658"/>
      <c r="Z238" s="658"/>
      <c r="AA238" s="659"/>
      <c r="AB238" s="663" t="s">
        <v>15</v>
      </c>
      <c r="AF238" s="645" t="s">
        <v>3</v>
      </c>
      <c r="AG238" s="646"/>
      <c r="AH238" s="646"/>
    </row>
    <row r="239" spans="1:34" ht="11.25" customHeight="1" x14ac:dyDescent="0.2">
      <c r="A239" s="18"/>
      <c r="B239" s="965"/>
      <c r="C239" s="1102"/>
      <c r="D239" s="1102"/>
      <c r="E239" s="1102"/>
      <c r="F239" s="672"/>
      <c r="G239" s="672"/>
      <c r="H239" s="517"/>
      <c r="I239" s="509" t="s">
        <v>293</v>
      </c>
      <c r="J239" s="511"/>
      <c r="K239" s="509" t="s">
        <v>17</v>
      </c>
      <c r="L239" s="512"/>
      <c r="M239" s="512" t="s">
        <v>18</v>
      </c>
      <c r="N239" s="512"/>
      <c r="O239" s="509" t="s">
        <v>19</v>
      </c>
      <c r="P239" s="512"/>
      <c r="Q239" s="512" t="s">
        <v>295</v>
      </c>
      <c r="R239" s="512"/>
      <c r="S239" s="512" t="s">
        <v>20</v>
      </c>
      <c r="T239" s="512"/>
      <c r="U239" s="512" t="s">
        <v>21</v>
      </c>
      <c r="V239" s="512"/>
      <c r="W239" s="512" t="s">
        <v>22</v>
      </c>
      <c r="X239" s="660"/>
      <c r="Y239" s="661"/>
      <c r="Z239" s="661"/>
      <c r="AA239" s="662"/>
      <c r="AB239" s="664"/>
    </row>
    <row r="240" spans="1:34" ht="12.6" customHeight="1" x14ac:dyDescent="0.2">
      <c r="A240" s="18"/>
      <c r="B240" s="704" t="s">
        <v>641</v>
      </c>
      <c r="C240" s="705"/>
      <c r="D240" s="705"/>
      <c r="E240" s="705"/>
      <c r="F240" s="393">
        <f>3.612*X2</f>
        <v>3745.6440000000002</v>
      </c>
      <c r="G240" s="294">
        <f>+F240*$X$1</f>
        <v>3745.6440000000002</v>
      </c>
      <c r="H240" s="492">
        <f>F240+500</f>
        <v>4245.6440000000002</v>
      </c>
      <c r="I240" s="294">
        <f>+H240*$X$1</f>
        <v>4245.6440000000002</v>
      </c>
      <c r="J240" s="492">
        <f>F240+220</f>
        <v>3965.6440000000002</v>
      </c>
      <c r="K240" s="294">
        <f>+J240*$X$1</f>
        <v>3965.6440000000002</v>
      </c>
      <c r="L240" s="492">
        <f>F240+170</f>
        <v>3915.6440000000002</v>
      </c>
      <c r="M240" s="294">
        <f>+L240*$X$1</f>
        <v>3915.6440000000002</v>
      </c>
      <c r="N240" s="492">
        <f>F240+145</f>
        <v>3890.6440000000002</v>
      </c>
      <c r="O240" s="294">
        <f>+N240*$X$1</f>
        <v>3890.6440000000002</v>
      </c>
      <c r="P240" s="492">
        <f>F240+130</f>
        <v>3875.6440000000002</v>
      </c>
      <c r="Q240" s="294">
        <f>+P240*$X$1</f>
        <v>3875.6440000000002</v>
      </c>
      <c r="R240" s="492">
        <f>F240+110</f>
        <v>3855.6440000000002</v>
      </c>
      <c r="S240" s="294">
        <f>+R240*$X$1</f>
        <v>3855.6440000000002</v>
      </c>
      <c r="T240" s="103">
        <f>F240+95</f>
        <v>3840.6440000000002</v>
      </c>
      <c r="U240" s="313">
        <f>+T240*$X$1</f>
        <v>3840.6440000000002</v>
      </c>
      <c r="V240" s="103">
        <f>F240+80</f>
        <v>3825.6440000000002</v>
      </c>
      <c r="W240" s="313">
        <f>+V240*$X$1</f>
        <v>3825.6440000000002</v>
      </c>
      <c r="X240" s="750"/>
      <c r="Y240" s="716"/>
      <c r="Z240" s="716"/>
      <c r="AA240" s="717"/>
      <c r="AB240" s="197">
        <v>829</v>
      </c>
    </row>
    <row r="241" spans="1:28" ht="12.6" customHeight="1" x14ac:dyDescent="0.2">
      <c r="A241" s="18"/>
      <c r="B241" s="683" t="s">
        <v>869</v>
      </c>
      <c r="C241" s="712"/>
      <c r="D241" s="712"/>
      <c r="E241" s="712"/>
      <c r="F241" s="392">
        <f>8.2*X2</f>
        <v>8503.4</v>
      </c>
      <c r="G241" s="293">
        <f>+F241*$X$1</f>
        <v>8503.4</v>
      </c>
      <c r="H241" s="633">
        <f>F241+500</f>
        <v>9003.4</v>
      </c>
      <c r="I241" s="293">
        <f>+H241*$X$1</f>
        <v>9003.4</v>
      </c>
      <c r="J241" s="633">
        <f>F241+220</f>
        <v>8723.4</v>
      </c>
      <c r="K241" s="293">
        <f>+J241*$X$1</f>
        <v>8723.4</v>
      </c>
      <c r="L241" s="633">
        <f>F241+170</f>
        <v>8673.4</v>
      </c>
      <c r="M241" s="293">
        <f>+L241*$X$1</f>
        <v>8673.4</v>
      </c>
      <c r="N241" s="633">
        <f>F241+145</f>
        <v>8648.4</v>
      </c>
      <c r="O241" s="293">
        <f>+N241*$X$1</f>
        <v>8648.4</v>
      </c>
      <c r="P241" s="633">
        <f>F241+130</f>
        <v>8633.4</v>
      </c>
      <c r="Q241" s="293">
        <f>+P241*$X$1</f>
        <v>8633.4</v>
      </c>
      <c r="R241" s="633">
        <f>F241+110</f>
        <v>8613.4</v>
      </c>
      <c r="S241" s="293">
        <f>+R241*$X$1</f>
        <v>8613.4</v>
      </c>
      <c r="T241" s="104">
        <f>F241+95</f>
        <v>8598.4</v>
      </c>
      <c r="U241" s="260">
        <f>+T241*$X$1</f>
        <v>8598.4</v>
      </c>
      <c r="V241" s="104">
        <f>F241+80</f>
        <v>8583.4</v>
      </c>
      <c r="W241" s="260">
        <f>+V241*$X$1</f>
        <v>8583.4</v>
      </c>
      <c r="X241" s="750"/>
      <c r="Y241" s="716"/>
      <c r="Z241" s="716"/>
      <c r="AA241" s="717"/>
      <c r="AB241" s="197">
        <v>831</v>
      </c>
    </row>
    <row r="242" spans="1:28" ht="12.6" customHeight="1" x14ac:dyDescent="0.2">
      <c r="A242" s="18"/>
      <c r="B242" s="708" t="s">
        <v>926</v>
      </c>
      <c r="C242" s="709"/>
      <c r="D242" s="709"/>
      <c r="E242" s="709"/>
      <c r="F242" s="393">
        <f>2.96*X2</f>
        <v>3069.52</v>
      </c>
      <c r="G242" s="294">
        <f t="shared" ref="G242" si="506">+F242*$X$1</f>
        <v>3069.52</v>
      </c>
      <c r="H242" s="492">
        <f>F242+500</f>
        <v>3569.52</v>
      </c>
      <c r="I242" s="294">
        <f>+H242*$X$1</f>
        <v>3569.52</v>
      </c>
      <c r="J242" s="492">
        <f>F242+220</f>
        <v>3289.52</v>
      </c>
      <c r="K242" s="294">
        <f>+J242*$X$1</f>
        <v>3289.52</v>
      </c>
      <c r="L242" s="492">
        <f>F242+170</f>
        <v>3239.52</v>
      </c>
      <c r="M242" s="294">
        <f>+L242*$X$1</f>
        <v>3239.52</v>
      </c>
      <c r="N242" s="492">
        <f>F242+145</f>
        <v>3214.52</v>
      </c>
      <c r="O242" s="294">
        <f>+N242*$X$1</f>
        <v>3214.52</v>
      </c>
      <c r="P242" s="492">
        <f>F242+130</f>
        <v>3199.52</v>
      </c>
      <c r="Q242" s="294">
        <f>+P242*$X$1</f>
        <v>3199.52</v>
      </c>
      <c r="R242" s="492">
        <f>F242+110</f>
        <v>3179.52</v>
      </c>
      <c r="S242" s="294">
        <f>+R242*$X$1</f>
        <v>3179.52</v>
      </c>
      <c r="T242" s="103">
        <f>F242+95</f>
        <v>3164.52</v>
      </c>
      <c r="U242" s="313">
        <f>+T242*$X$1</f>
        <v>3164.52</v>
      </c>
      <c r="V242" s="103">
        <f>F242+80</f>
        <v>3149.52</v>
      </c>
      <c r="W242" s="313">
        <f>+V242*$X$1</f>
        <v>3149.52</v>
      </c>
      <c r="X242" s="750"/>
      <c r="Y242" s="716"/>
      <c r="Z242" s="716"/>
      <c r="AA242" s="717"/>
      <c r="AB242" s="197">
        <v>832</v>
      </c>
    </row>
    <row r="243" spans="1:28" ht="12.6" customHeight="1" x14ac:dyDescent="0.2">
      <c r="A243" s="18"/>
      <c r="B243" s="683" t="s">
        <v>583</v>
      </c>
      <c r="C243" s="712"/>
      <c r="D243" s="712"/>
      <c r="E243" s="712"/>
      <c r="F243" s="392">
        <f>11.8*X2</f>
        <v>12236.6</v>
      </c>
      <c r="G243" s="293">
        <f t="shared" ref="G243" si="507">+F243*$X$1</f>
        <v>12236.6</v>
      </c>
      <c r="H243" s="633">
        <f>F243+500</f>
        <v>12736.6</v>
      </c>
      <c r="I243" s="293">
        <f>+H243*$X$1</f>
        <v>12736.6</v>
      </c>
      <c r="J243" s="633">
        <f>F243+220</f>
        <v>12456.6</v>
      </c>
      <c r="K243" s="293">
        <f>+J243*$X$1</f>
        <v>12456.6</v>
      </c>
      <c r="L243" s="633">
        <f>F243+170</f>
        <v>12406.6</v>
      </c>
      <c r="M243" s="293">
        <f>+L243*$X$1</f>
        <v>12406.6</v>
      </c>
      <c r="N243" s="633">
        <f>F243+145</f>
        <v>12381.6</v>
      </c>
      <c r="O243" s="293">
        <f>+N243*$X$1</f>
        <v>12381.6</v>
      </c>
      <c r="P243" s="633">
        <f>F243+130</f>
        <v>12366.6</v>
      </c>
      <c r="Q243" s="293">
        <f>+P243*$X$1</f>
        <v>12366.6</v>
      </c>
      <c r="R243" s="633">
        <f>F243+110</f>
        <v>12346.6</v>
      </c>
      <c r="S243" s="293">
        <f>+R243*$X$1</f>
        <v>12346.6</v>
      </c>
      <c r="T243" s="104">
        <f>F243+95</f>
        <v>12331.6</v>
      </c>
      <c r="U243" s="260">
        <f>+T243*$X$1</f>
        <v>12331.6</v>
      </c>
      <c r="V243" s="104">
        <f>F243+80</f>
        <v>12316.6</v>
      </c>
      <c r="W243" s="260">
        <f>+V243*$X$1</f>
        <v>12316.6</v>
      </c>
      <c r="X243" s="750"/>
      <c r="Y243" s="716"/>
      <c r="Z243" s="716"/>
      <c r="AA243" s="717"/>
      <c r="AB243" s="197">
        <v>833</v>
      </c>
    </row>
    <row r="244" spans="1:28" ht="12.6" customHeight="1" x14ac:dyDescent="0.2">
      <c r="A244" s="18"/>
      <c r="B244" s="704" t="s">
        <v>637</v>
      </c>
      <c r="C244" s="705"/>
      <c r="D244" s="705"/>
      <c r="E244" s="705"/>
      <c r="F244" s="393">
        <f>7.75*X2</f>
        <v>8036.75</v>
      </c>
      <c r="G244" s="294">
        <f t="shared" ref="G244" si="508">+F244*$X$1</f>
        <v>8036.75</v>
      </c>
      <c r="H244" s="492">
        <f t="shared" ref="H244:H252" si="509">F244+500</f>
        <v>8536.75</v>
      </c>
      <c r="I244" s="294">
        <f t="shared" ref="I244:I252" si="510">+H244*$X$1</f>
        <v>8536.75</v>
      </c>
      <c r="J244" s="492">
        <f t="shared" ref="J244:J252" si="511">F244+220</f>
        <v>8256.75</v>
      </c>
      <c r="K244" s="294">
        <f t="shared" ref="K244:K252" si="512">+J244*$X$1</f>
        <v>8256.75</v>
      </c>
      <c r="L244" s="492">
        <f t="shared" ref="L244:L252" si="513">F244+170</f>
        <v>8206.75</v>
      </c>
      <c r="M244" s="294">
        <f t="shared" ref="M244:M252" si="514">+L244*$X$1</f>
        <v>8206.75</v>
      </c>
      <c r="N244" s="492">
        <f t="shared" ref="N244:N252" si="515">F244+145</f>
        <v>8181.75</v>
      </c>
      <c r="O244" s="294">
        <f t="shared" ref="O244:O252" si="516">+N244*$X$1</f>
        <v>8181.75</v>
      </c>
      <c r="P244" s="492">
        <f t="shared" ref="P244:P252" si="517">F244+130</f>
        <v>8166.75</v>
      </c>
      <c r="Q244" s="294">
        <f t="shared" ref="Q244:Q252" si="518">+P244*$X$1</f>
        <v>8166.75</v>
      </c>
      <c r="R244" s="492">
        <f t="shared" ref="R244:R252" si="519">F244+110</f>
        <v>8146.75</v>
      </c>
      <c r="S244" s="294">
        <f t="shared" ref="S244:S252" si="520">+R244*$X$1</f>
        <v>8146.75</v>
      </c>
      <c r="T244" s="103">
        <f t="shared" ref="T244:T252" si="521">F244+95</f>
        <v>8131.75</v>
      </c>
      <c r="U244" s="313">
        <f t="shared" ref="U244:U252" si="522">+T244*$X$1</f>
        <v>8131.75</v>
      </c>
      <c r="V244" s="103">
        <f t="shared" ref="V244:V252" si="523">F244+80</f>
        <v>8116.75</v>
      </c>
      <c r="W244" s="313">
        <f t="shared" ref="W244:W252" si="524">+V244*$X$1</f>
        <v>8116.75</v>
      </c>
      <c r="X244" s="750"/>
      <c r="Y244" s="716"/>
      <c r="Z244" s="716"/>
      <c r="AA244" s="717"/>
      <c r="AB244" s="197">
        <v>834</v>
      </c>
    </row>
    <row r="245" spans="1:28" ht="12.6" customHeight="1" x14ac:dyDescent="0.2">
      <c r="A245" s="18"/>
      <c r="B245" s="683" t="s">
        <v>639</v>
      </c>
      <c r="C245" s="712"/>
      <c r="D245" s="712"/>
      <c r="E245" s="712"/>
      <c r="F245" s="392">
        <f>7.2*X2</f>
        <v>7466.4000000000005</v>
      </c>
      <c r="G245" s="293">
        <f>+F245*$X$1</f>
        <v>7466.4000000000005</v>
      </c>
      <c r="H245" s="633">
        <f t="shared" si="509"/>
        <v>7966.4000000000005</v>
      </c>
      <c r="I245" s="293">
        <f t="shared" si="510"/>
        <v>7966.4000000000005</v>
      </c>
      <c r="J245" s="633">
        <f t="shared" si="511"/>
        <v>7686.4000000000005</v>
      </c>
      <c r="K245" s="293">
        <f t="shared" si="512"/>
        <v>7686.4000000000005</v>
      </c>
      <c r="L245" s="633">
        <f t="shared" si="513"/>
        <v>7636.4000000000005</v>
      </c>
      <c r="M245" s="293">
        <f t="shared" si="514"/>
        <v>7636.4000000000005</v>
      </c>
      <c r="N245" s="633">
        <f t="shared" si="515"/>
        <v>7611.4000000000005</v>
      </c>
      <c r="O245" s="293">
        <f t="shared" si="516"/>
        <v>7611.4000000000005</v>
      </c>
      <c r="P245" s="633">
        <f t="shared" si="517"/>
        <v>7596.4000000000005</v>
      </c>
      <c r="Q245" s="293">
        <f t="shared" si="518"/>
        <v>7596.4000000000005</v>
      </c>
      <c r="R245" s="633">
        <f t="shared" si="519"/>
        <v>7576.4000000000005</v>
      </c>
      <c r="S245" s="293">
        <f t="shared" si="520"/>
        <v>7576.4000000000005</v>
      </c>
      <c r="T245" s="104">
        <f t="shared" si="521"/>
        <v>7561.4000000000005</v>
      </c>
      <c r="U245" s="260">
        <f t="shared" si="522"/>
        <v>7561.4000000000005</v>
      </c>
      <c r="V245" s="104">
        <f t="shared" si="523"/>
        <v>7546.4000000000005</v>
      </c>
      <c r="W245" s="260">
        <f t="shared" si="524"/>
        <v>7546.4000000000005</v>
      </c>
      <c r="X245" s="750"/>
      <c r="Y245" s="716"/>
      <c r="Z245" s="716"/>
      <c r="AA245" s="717"/>
      <c r="AB245" s="197">
        <v>836</v>
      </c>
    </row>
    <row r="246" spans="1:28" ht="12.6" customHeight="1" x14ac:dyDescent="0.2">
      <c r="A246" s="18"/>
      <c r="B246" s="755" t="s">
        <v>893</v>
      </c>
      <c r="C246" s="709"/>
      <c r="D246" s="709"/>
      <c r="E246" s="709"/>
      <c r="F246" s="393">
        <f>4.8*X2</f>
        <v>4977.5999999999995</v>
      </c>
      <c r="G246" s="294">
        <f t="shared" ref="G246" si="525">+F246*$X$1</f>
        <v>4977.5999999999995</v>
      </c>
      <c r="H246" s="492">
        <f t="shared" si="509"/>
        <v>5477.5999999999995</v>
      </c>
      <c r="I246" s="294">
        <f t="shared" si="510"/>
        <v>5477.5999999999995</v>
      </c>
      <c r="J246" s="492">
        <f t="shared" si="511"/>
        <v>5197.5999999999995</v>
      </c>
      <c r="K246" s="294">
        <f t="shared" si="512"/>
        <v>5197.5999999999995</v>
      </c>
      <c r="L246" s="492">
        <f t="shared" si="513"/>
        <v>5147.5999999999995</v>
      </c>
      <c r="M246" s="294">
        <f t="shared" si="514"/>
        <v>5147.5999999999995</v>
      </c>
      <c r="N246" s="492">
        <f t="shared" si="515"/>
        <v>5122.5999999999995</v>
      </c>
      <c r="O246" s="294">
        <f t="shared" si="516"/>
        <v>5122.5999999999995</v>
      </c>
      <c r="P246" s="492">
        <f t="shared" si="517"/>
        <v>5107.5999999999995</v>
      </c>
      <c r="Q246" s="294">
        <f t="shared" si="518"/>
        <v>5107.5999999999995</v>
      </c>
      <c r="R246" s="492">
        <f t="shared" si="519"/>
        <v>5087.5999999999995</v>
      </c>
      <c r="S246" s="294">
        <f t="shared" si="520"/>
        <v>5087.5999999999995</v>
      </c>
      <c r="T246" s="103">
        <f t="shared" si="521"/>
        <v>5072.5999999999995</v>
      </c>
      <c r="U246" s="313">
        <f t="shared" si="522"/>
        <v>5072.5999999999995</v>
      </c>
      <c r="V246" s="103">
        <f t="shared" si="523"/>
        <v>5057.5999999999995</v>
      </c>
      <c r="W246" s="313">
        <f t="shared" si="524"/>
        <v>5057.5999999999995</v>
      </c>
      <c r="X246" s="750"/>
      <c r="Y246" s="716"/>
      <c r="Z246" s="716"/>
      <c r="AA246" s="717"/>
      <c r="AB246" s="197">
        <v>837</v>
      </c>
    </row>
    <row r="247" spans="1:28" ht="12.6" customHeight="1" x14ac:dyDescent="0.2">
      <c r="A247" s="18"/>
      <c r="B247" s="937" t="s">
        <v>509</v>
      </c>
      <c r="C247" s="814"/>
      <c r="D247" s="814"/>
      <c r="E247" s="814"/>
      <c r="F247" s="397">
        <f>7.6*X2</f>
        <v>7881.2</v>
      </c>
      <c r="G247" s="314">
        <f>+F247*$X$1</f>
        <v>7881.2</v>
      </c>
      <c r="H247" s="633">
        <f t="shared" si="509"/>
        <v>8381.2000000000007</v>
      </c>
      <c r="I247" s="293">
        <f t="shared" si="510"/>
        <v>8381.2000000000007</v>
      </c>
      <c r="J247" s="633">
        <f t="shared" si="511"/>
        <v>8101.2</v>
      </c>
      <c r="K247" s="293">
        <f t="shared" si="512"/>
        <v>8101.2</v>
      </c>
      <c r="L247" s="633">
        <f t="shared" si="513"/>
        <v>8051.2</v>
      </c>
      <c r="M247" s="293">
        <f t="shared" si="514"/>
        <v>8051.2</v>
      </c>
      <c r="N247" s="633">
        <f t="shared" si="515"/>
        <v>8026.2</v>
      </c>
      <c r="O247" s="293">
        <f t="shared" si="516"/>
        <v>8026.2</v>
      </c>
      <c r="P247" s="633">
        <f t="shared" si="517"/>
        <v>8011.2</v>
      </c>
      <c r="Q247" s="293">
        <f t="shared" si="518"/>
        <v>8011.2</v>
      </c>
      <c r="R247" s="633">
        <f t="shared" si="519"/>
        <v>7991.2</v>
      </c>
      <c r="S247" s="293">
        <f t="shared" si="520"/>
        <v>7991.2</v>
      </c>
      <c r="T247" s="104">
        <f t="shared" si="521"/>
        <v>7976.2</v>
      </c>
      <c r="U247" s="260">
        <f t="shared" si="522"/>
        <v>7976.2</v>
      </c>
      <c r="V247" s="104">
        <f t="shared" si="523"/>
        <v>7961.2</v>
      </c>
      <c r="W247" s="260">
        <f t="shared" si="524"/>
        <v>7961.2</v>
      </c>
      <c r="X247" s="750"/>
      <c r="Y247" s="716"/>
      <c r="Z247" s="716"/>
      <c r="AA247" s="717"/>
      <c r="AB247" s="421">
        <v>916</v>
      </c>
    </row>
    <row r="248" spans="1:28" ht="12.6" customHeight="1" x14ac:dyDescent="0.2">
      <c r="A248" s="18"/>
      <c r="B248" s="704" t="s">
        <v>821</v>
      </c>
      <c r="C248" s="705"/>
      <c r="D248" s="705"/>
      <c r="E248" s="705"/>
      <c r="F248" s="393">
        <f>6.4*X2</f>
        <v>6636.8</v>
      </c>
      <c r="G248" s="294">
        <f>+F248*$X$1</f>
        <v>6636.8</v>
      </c>
      <c r="H248" s="492">
        <f t="shared" si="509"/>
        <v>7136.8</v>
      </c>
      <c r="I248" s="294">
        <f t="shared" si="510"/>
        <v>7136.8</v>
      </c>
      <c r="J248" s="492">
        <f t="shared" si="511"/>
        <v>6856.8</v>
      </c>
      <c r="K248" s="294">
        <f t="shared" si="512"/>
        <v>6856.8</v>
      </c>
      <c r="L248" s="492">
        <f t="shared" si="513"/>
        <v>6806.8</v>
      </c>
      <c r="M248" s="294">
        <f t="shared" si="514"/>
        <v>6806.8</v>
      </c>
      <c r="N248" s="492">
        <f t="shared" si="515"/>
        <v>6781.8</v>
      </c>
      <c r="O248" s="294">
        <f t="shared" si="516"/>
        <v>6781.8</v>
      </c>
      <c r="P248" s="492">
        <f t="shared" si="517"/>
        <v>6766.8</v>
      </c>
      <c r="Q248" s="294">
        <f t="shared" si="518"/>
        <v>6766.8</v>
      </c>
      <c r="R248" s="492">
        <f t="shared" si="519"/>
        <v>6746.8</v>
      </c>
      <c r="S248" s="294">
        <f t="shared" si="520"/>
        <v>6746.8</v>
      </c>
      <c r="T248" s="103">
        <f t="shared" si="521"/>
        <v>6731.8</v>
      </c>
      <c r="U248" s="313">
        <f t="shared" si="522"/>
        <v>6731.8</v>
      </c>
      <c r="V248" s="103">
        <f t="shared" si="523"/>
        <v>6716.8</v>
      </c>
      <c r="W248" s="313">
        <f t="shared" si="524"/>
        <v>6716.8</v>
      </c>
      <c r="X248" s="750"/>
      <c r="Y248" s="716"/>
      <c r="Z248" s="716"/>
      <c r="AA248" s="717"/>
      <c r="AB248" s="197">
        <v>917</v>
      </c>
    </row>
    <row r="249" spans="1:28" ht="12.6" customHeight="1" x14ac:dyDescent="0.2">
      <c r="A249" s="18"/>
      <c r="B249" s="683" t="s">
        <v>204</v>
      </c>
      <c r="C249" s="712"/>
      <c r="D249" s="712"/>
      <c r="E249" s="712"/>
      <c r="F249" s="392">
        <f>10.4*X2</f>
        <v>10784.800000000001</v>
      </c>
      <c r="G249" s="293">
        <f>+F249*$X$1</f>
        <v>10784.800000000001</v>
      </c>
      <c r="H249" s="633">
        <f t="shared" si="509"/>
        <v>11284.800000000001</v>
      </c>
      <c r="I249" s="293">
        <f t="shared" si="510"/>
        <v>11284.800000000001</v>
      </c>
      <c r="J249" s="633">
        <f t="shared" si="511"/>
        <v>11004.800000000001</v>
      </c>
      <c r="K249" s="293">
        <f t="shared" si="512"/>
        <v>11004.800000000001</v>
      </c>
      <c r="L249" s="633">
        <f t="shared" si="513"/>
        <v>10954.800000000001</v>
      </c>
      <c r="M249" s="293">
        <f t="shared" si="514"/>
        <v>10954.800000000001</v>
      </c>
      <c r="N249" s="633">
        <f t="shared" si="515"/>
        <v>10929.800000000001</v>
      </c>
      <c r="O249" s="293">
        <f t="shared" si="516"/>
        <v>10929.800000000001</v>
      </c>
      <c r="P249" s="633">
        <f t="shared" si="517"/>
        <v>10914.800000000001</v>
      </c>
      <c r="Q249" s="293">
        <f t="shared" si="518"/>
        <v>10914.800000000001</v>
      </c>
      <c r="R249" s="633">
        <f t="shared" si="519"/>
        <v>10894.800000000001</v>
      </c>
      <c r="S249" s="293">
        <f t="shared" si="520"/>
        <v>10894.800000000001</v>
      </c>
      <c r="T249" s="104">
        <f t="shared" si="521"/>
        <v>10879.800000000001</v>
      </c>
      <c r="U249" s="260">
        <f t="shared" si="522"/>
        <v>10879.800000000001</v>
      </c>
      <c r="V249" s="104">
        <f t="shared" si="523"/>
        <v>10864.800000000001</v>
      </c>
      <c r="W249" s="260">
        <f t="shared" si="524"/>
        <v>10864.800000000001</v>
      </c>
      <c r="X249" s="1103"/>
      <c r="Y249" s="1104"/>
      <c r="Z249" s="1104"/>
      <c r="AA249" s="1105"/>
      <c r="AB249" s="432">
        <v>918</v>
      </c>
    </row>
    <row r="250" spans="1:28" ht="12.6" customHeight="1" x14ac:dyDescent="0.2">
      <c r="A250" s="18"/>
      <c r="B250" s="704" t="s">
        <v>457</v>
      </c>
      <c r="C250" s="705"/>
      <c r="D250" s="705"/>
      <c r="E250" s="705"/>
      <c r="F250" s="393">
        <f>8.9*X2</f>
        <v>9229.3000000000011</v>
      </c>
      <c r="G250" s="294">
        <f>+F250*$X$1</f>
        <v>9229.3000000000011</v>
      </c>
      <c r="H250" s="492">
        <f t="shared" si="509"/>
        <v>9729.3000000000011</v>
      </c>
      <c r="I250" s="294">
        <f t="shared" si="510"/>
        <v>9729.3000000000011</v>
      </c>
      <c r="J250" s="492">
        <f t="shared" si="511"/>
        <v>9449.3000000000011</v>
      </c>
      <c r="K250" s="294">
        <f t="shared" si="512"/>
        <v>9449.3000000000011</v>
      </c>
      <c r="L250" s="492">
        <f t="shared" si="513"/>
        <v>9399.3000000000011</v>
      </c>
      <c r="M250" s="294">
        <f t="shared" si="514"/>
        <v>9399.3000000000011</v>
      </c>
      <c r="N250" s="492">
        <f t="shared" si="515"/>
        <v>9374.3000000000011</v>
      </c>
      <c r="O250" s="294">
        <f t="shared" si="516"/>
        <v>9374.3000000000011</v>
      </c>
      <c r="P250" s="492">
        <f t="shared" si="517"/>
        <v>9359.3000000000011</v>
      </c>
      <c r="Q250" s="294">
        <f t="shared" si="518"/>
        <v>9359.3000000000011</v>
      </c>
      <c r="R250" s="492">
        <f t="shared" si="519"/>
        <v>9339.3000000000011</v>
      </c>
      <c r="S250" s="294">
        <f t="shared" si="520"/>
        <v>9339.3000000000011</v>
      </c>
      <c r="T250" s="103">
        <f t="shared" si="521"/>
        <v>9324.3000000000011</v>
      </c>
      <c r="U250" s="313">
        <f t="shared" si="522"/>
        <v>9324.3000000000011</v>
      </c>
      <c r="V250" s="103">
        <f t="shared" si="523"/>
        <v>9309.3000000000011</v>
      </c>
      <c r="W250" s="313">
        <f t="shared" si="524"/>
        <v>9309.3000000000011</v>
      </c>
      <c r="X250" s="750"/>
      <c r="Y250" s="797"/>
      <c r="Z250" s="797"/>
      <c r="AA250" s="717"/>
      <c r="AB250" s="197">
        <v>919</v>
      </c>
    </row>
    <row r="251" spans="1:28" ht="12.6" customHeight="1" x14ac:dyDescent="0.2">
      <c r="A251" s="18"/>
      <c r="B251" s="683" t="s">
        <v>841</v>
      </c>
      <c r="C251" s="712"/>
      <c r="D251" s="712"/>
      <c r="E251" s="712"/>
      <c r="F251" s="392">
        <f>7.5*X2</f>
        <v>7777.5</v>
      </c>
      <c r="G251" s="293">
        <f t="shared" ref="G251:G255" si="526">+F251*$X$1</f>
        <v>7777.5</v>
      </c>
      <c r="H251" s="633">
        <f t="shared" si="509"/>
        <v>8277.5</v>
      </c>
      <c r="I251" s="293">
        <f t="shared" si="510"/>
        <v>8277.5</v>
      </c>
      <c r="J251" s="633">
        <f t="shared" si="511"/>
        <v>7997.5</v>
      </c>
      <c r="K251" s="293">
        <f t="shared" si="512"/>
        <v>7997.5</v>
      </c>
      <c r="L251" s="633">
        <f t="shared" si="513"/>
        <v>7947.5</v>
      </c>
      <c r="M251" s="293">
        <f t="shared" si="514"/>
        <v>7947.5</v>
      </c>
      <c r="N251" s="633">
        <f t="shared" si="515"/>
        <v>7922.5</v>
      </c>
      <c r="O251" s="293">
        <f t="shared" si="516"/>
        <v>7922.5</v>
      </c>
      <c r="P251" s="633">
        <f t="shared" si="517"/>
        <v>7907.5</v>
      </c>
      <c r="Q251" s="293">
        <f t="shared" si="518"/>
        <v>7907.5</v>
      </c>
      <c r="R251" s="633">
        <f t="shared" si="519"/>
        <v>7887.5</v>
      </c>
      <c r="S251" s="293">
        <f t="shared" si="520"/>
        <v>7887.5</v>
      </c>
      <c r="T251" s="104">
        <f t="shared" si="521"/>
        <v>7872.5</v>
      </c>
      <c r="U251" s="260">
        <f t="shared" si="522"/>
        <v>7872.5</v>
      </c>
      <c r="V251" s="104">
        <f t="shared" si="523"/>
        <v>7857.5</v>
      </c>
      <c r="W251" s="260">
        <f t="shared" si="524"/>
        <v>7857.5</v>
      </c>
      <c r="X251" s="750"/>
      <c r="Y251" s="716"/>
      <c r="Z251" s="716"/>
      <c r="AA251" s="717"/>
      <c r="AB251" s="197">
        <v>920</v>
      </c>
    </row>
    <row r="252" spans="1:28" ht="12.6" customHeight="1" x14ac:dyDescent="0.2">
      <c r="A252" s="18"/>
      <c r="B252" s="704" t="s">
        <v>840</v>
      </c>
      <c r="C252" s="705"/>
      <c r="D252" s="705"/>
      <c r="E252" s="705"/>
      <c r="F252" s="393">
        <f>7.5*X2</f>
        <v>7777.5</v>
      </c>
      <c r="G252" s="294">
        <f t="shared" ref="G252" si="527">+F252*$X$1</f>
        <v>7777.5</v>
      </c>
      <c r="H252" s="492">
        <f t="shared" si="509"/>
        <v>8277.5</v>
      </c>
      <c r="I252" s="294">
        <f t="shared" si="510"/>
        <v>8277.5</v>
      </c>
      <c r="J252" s="492">
        <f t="shared" si="511"/>
        <v>7997.5</v>
      </c>
      <c r="K252" s="294">
        <f t="shared" si="512"/>
        <v>7997.5</v>
      </c>
      <c r="L252" s="492">
        <f t="shared" si="513"/>
        <v>7947.5</v>
      </c>
      <c r="M252" s="294">
        <f t="shared" si="514"/>
        <v>7947.5</v>
      </c>
      <c r="N252" s="492">
        <f t="shared" si="515"/>
        <v>7922.5</v>
      </c>
      <c r="O252" s="294">
        <f t="shared" si="516"/>
        <v>7922.5</v>
      </c>
      <c r="P252" s="492">
        <f t="shared" si="517"/>
        <v>7907.5</v>
      </c>
      <c r="Q252" s="294">
        <f t="shared" si="518"/>
        <v>7907.5</v>
      </c>
      <c r="R252" s="492">
        <f t="shared" si="519"/>
        <v>7887.5</v>
      </c>
      <c r="S252" s="294">
        <f t="shared" si="520"/>
        <v>7887.5</v>
      </c>
      <c r="T252" s="103">
        <f t="shared" si="521"/>
        <v>7872.5</v>
      </c>
      <c r="U252" s="313">
        <f t="shared" si="522"/>
        <v>7872.5</v>
      </c>
      <c r="V252" s="103">
        <f t="shared" si="523"/>
        <v>7857.5</v>
      </c>
      <c r="W252" s="313">
        <f t="shared" si="524"/>
        <v>7857.5</v>
      </c>
      <c r="X252" s="750"/>
      <c r="Y252" s="716"/>
      <c r="Z252" s="716"/>
      <c r="AA252" s="717"/>
      <c r="AB252" s="197" t="s">
        <v>842</v>
      </c>
    </row>
    <row r="253" spans="1:28" ht="12.6" customHeight="1" x14ac:dyDescent="0.2">
      <c r="A253" s="18"/>
      <c r="B253" s="683" t="s">
        <v>894</v>
      </c>
      <c r="C253" s="712"/>
      <c r="D253" s="712"/>
      <c r="E253" s="712"/>
      <c r="F253" s="392">
        <f>7.4*X2</f>
        <v>7673.8</v>
      </c>
      <c r="G253" s="293">
        <f t="shared" ref="G253:G254" si="528">+F253*$X$1</f>
        <v>7673.8</v>
      </c>
      <c r="H253" s="633">
        <f t="shared" ref="H253:H264" si="529">F253+500</f>
        <v>8173.8</v>
      </c>
      <c r="I253" s="293">
        <f t="shared" ref="I253:I263" si="530">+H253*$X$1</f>
        <v>8173.8</v>
      </c>
      <c r="J253" s="633">
        <f t="shared" ref="J253:J263" si="531">F253+220</f>
        <v>7893.8</v>
      </c>
      <c r="K253" s="293">
        <f t="shared" ref="K253:K263" si="532">+J253*$X$1</f>
        <v>7893.8</v>
      </c>
      <c r="L253" s="633">
        <f t="shared" ref="L253:L263" si="533">F253+170</f>
        <v>7843.8</v>
      </c>
      <c r="M253" s="293">
        <f t="shared" ref="M253:M263" si="534">+L253*$X$1</f>
        <v>7843.8</v>
      </c>
      <c r="N253" s="633">
        <f t="shared" ref="N253:N263" si="535">F253+145</f>
        <v>7818.8</v>
      </c>
      <c r="O253" s="293">
        <f t="shared" ref="O253:O263" si="536">+N253*$X$1</f>
        <v>7818.8</v>
      </c>
      <c r="P253" s="633">
        <f t="shared" ref="P253:P263" si="537">F253+130</f>
        <v>7803.8</v>
      </c>
      <c r="Q253" s="293">
        <f t="shared" ref="Q253:Q263" si="538">+P253*$X$1</f>
        <v>7803.8</v>
      </c>
      <c r="R253" s="633">
        <f t="shared" ref="R253:R263" si="539">F253+110</f>
        <v>7783.8</v>
      </c>
      <c r="S253" s="293">
        <f t="shared" ref="S253:S263" si="540">+R253*$X$1</f>
        <v>7783.8</v>
      </c>
      <c r="T253" s="104">
        <f t="shared" ref="T253:T263" si="541">F253+95</f>
        <v>7768.8</v>
      </c>
      <c r="U253" s="260">
        <f t="shared" ref="U253:U263" si="542">+T253*$X$1</f>
        <v>7768.8</v>
      </c>
      <c r="V253" s="104">
        <f t="shared" ref="V253:V263" si="543">F253+80</f>
        <v>7753.8</v>
      </c>
      <c r="W253" s="260">
        <f t="shared" ref="W253:W263" si="544">+V253*$X$1</f>
        <v>7753.8</v>
      </c>
      <c r="X253" s="750"/>
      <c r="Y253" s="716"/>
      <c r="Z253" s="716"/>
      <c r="AA253" s="717"/>
      <c r="AB253" s="197" t="s">
        <v>895</v>
      </c>
    </row>
    <row r="254" spans="1:28" ht="12.6" customHeight="1" x14ac:dyDescent="0.2">
      <c r="A254" s="18"/>
      <c r="B254" s="755" t="s">
        <v>945</v>
      </c>
      <c r="C254" s="709"/>
      <c r="D254" s="709"/>
      <c r="E254" s="709"/>
      <c r="F254" s="393">
        <f>6.34*X2</f>
        <v>6574.58</v>
      </c>
      <c r="G254" s="294">
        <f t="shared" si="528"/>
        <v>6574.58</v>
      </c>
      <c r="H254" s="492">
        <f t="shared" si="529"/>
        <v>7074.58</v>
      </c>
      <c r="I254" s="294">
        <f t="shared" si="530"/>
        <v>7074.58</v>
      </c>
      <c r="J254" s="492">
        <f t="shared" si="531"/>
        <v>6794.58</v>
      </c>
      <c r="K254" s="294">
        <f t="shared" si="532"/>
        <v>6794.58</v>
      </c>
      <c r="L254" s="492">
        <f t="shared" si="533"/>
        <v>6744.58</v>
      </c>
      <c r="M254" s="294">
        <f t="shared" si="534"/>
        <v>6744.58</v>
      </c>
      <c r="N254" s="492">
        <f t="shared" si="535"/>
        <v>6719.58</v>
      </c>
      <c r="O254" s="294">
        <f t="shared" si="536"/>
        <v>6719.58</v>
      </c>
      <c r="P254" s="492">
        <f t="shared" si="537"/>
        <v>6704.58</v>
      </c>
      <c r="Q254" s="294">
        <f t="shared" si="538"/>
        <v>6704.58</v>
      </c>
      <c r="R254" s="492">
        <f t="shared" si="539"/>
        <v>6684.58</v>
      </c>
      <c r="S254" s="294">
        <f t="shared" si="540"/>
        <v>6684.58</v>
      </c>
      <c r="T254" s="103">
        <f t="shared" si="541"/>
        <v>6669.58</v>
      </c>
      <c r="U254" s="313">
        <f t="shared" si="542"/>
        <v>6669.58</v>
      </c>
      <c r="V254" s="103">
        <f t="shared" si="543"/>
        <v>6654.58</v>
      </c>
      <c r="W254" s="313">
        <f t="shared" si="544"/>
        <v>6654.58</v>
      </c>
      <c r="X254" s="750"/>
      <c r="Y254" s="716"/>
      <c r="Z254" s="716"/>
      <c r="AA254" s="717"/>
      <c r="AB254" s="197">
        <v>923</v>
      </c>
    </row>
    <row r="255" spans="1:28" ht="12.6" customHeight="1" x14ac:dyDescent="0.2">
      <c r="A255" s="18"/>
      <c r="B255" s="683" t="s">
        <v>822</v>
      </c>
      <c r="C255" s="712"/>
      <c r="D255" s="712"/>
      <c r="E255" s="712"/>
      <c r="F255" s="392">
        <f>5.71*X2</f>
        <v>5921.2699999999995</v>
      </c>
      <c r="G255" s="293">
        <f t="shared" si="526"/>
        <v>5921.2699999999995</v>
      </c>
      <c r="H255" s="596">
        <f t="shared" si="529"/>
        <v>6421.2699999999995</v>
      </c>
      <c r="I255" s="293">
        <f t="shared" si="530"/>
        <v>6421.2699999999995</v>
      </c>
      <c r="J255" s="596">
        <f t="shared" si="531"/>
        <v>6141.2699999999995</v>
      </c>
      <c r="K255" s="293">
        <f t="shared" si="532"/>
        <v>6141.2699999999995</v>
      </c>
      <c r="L255" s="596">
        <f t="shared" si="533"/>
        <v>6091.2699999999995</v>
      </c>
      <c r="M255" s="293">
        <f t="shared" si="534"/>
        <v>6091.2699999999995</v>
      </c>
      <c r="N255" s="596">
        <f t="shared" si="535"/>
        <v>6066.2699999999995</v>
      </c>
      <c r="O255" s="293">
        <f t="shared" si="536"/>
        <v>6066.2699999999995</v>
      </c>
      <c r="P255" s="596">
        <f t="shared" si="537"/>
        <v>6051.2699999999995</v>
      </c>
      <c r="Q255" s="293">
        <f t="shared" si="538"/>
        <v>6051.2699999999995</v>
      </c>
      <c r="R255" s="596">
        <f t="shared" si="539"/>
        <v>6031.2699999999995</v>
      </c>
      <c r="S255" s="293">
        <f t="shared" si="540"/>
        <v>6031.2699999999995</v>
      </c>
      <c r="T255" s="104">
        <f t="shared" si="541"/>
        <v>6016.2699999999995</v>
      </c>
      <c r="U255" s="260">
        <f t="shared" si="542"/>
        <v>6016.2699999999995</v>
      </c>
      <c r="V255" s="104">
        <f t="shared" si="543"/>
        <v>6001.2699999999995</v>
      </c>
      <c r="W255" s="260">
        <f t="shared" si="544"/>
        <v>6001.2699999999995</v>
      </c>
      <c r="X255" s="700"/>
      <c r="Y255" s="686"/>
      <c r="Z255" s="686"/>
      <c r="AA255" s="687"/>
      <c r="AB255" s="197" t="s">
        <v>823</v>
      </c>
    </row>
    <row r="256" spans="1:28" ht="12.6" customHeight="1" x14ac:dyDescent="0.2">
      <c r="A256" s="105"/>
      <c r="B256" s="704" t="s">
        <v>445</v>
      </c>
      <c r="C256" s="705"/>
      <c r="D256" s="705"/>
      <c r="E256" s="705"/>
      <c r="F256" s="393">
        <f>7*X2</f>
        <v>7259</v>
      </c>
      <c r="G256" s="294">
        <f t="shared" ref="G256:G259" si="545">+F256*$X$1</f>
        <v>7259</v>
      </c>
      <c r="H256" s="492">
        <f t="shared" si="529"/>
        <v>7759</v>
      </c>
      <c r="I256" s="294">
        <f t="shared" si="530"/>
        <v>7759</v>
      </c>
      <c r="J256" s="492">
        <f t="shared" si="531"/>
        <v>7479</v>
      </c>
      <c r="K256" s="294">
        <f t="shared" si="532"/>
        <v>7479</v>
      </c>
      <c r="L256" s="492">
        <f t="shared" si="533"/>
        <v>7429</v>
      </c>
      <c r="M256" s="294">
        <f t="shared" si="534"/>
        <v>7429</v>
      </c>
      <c r="N256" s="492">
        <f t="shared" si="535"/>
        <v>7404</v>
      </c>
      <c r="O256" s="294">
        <f t="shared" si="536"/>
        <v>7404</v>
      </c>
      <c r="P256" s="492">
        <f t="shared" si="537"/>
        <v>7389</v>
      </c>
      <c r="Q256" s="294">
        <f t="shared" si="538"/>
        <v>7389</v>
      </c>
      <c r="R256" s="492">
        <f t="shared" si="539"/>
        <v>7369</v>
      </c>
      <c r="S256" s="294">
        <f t="shared" si="540"/>
        <v>7369</v>
      </c>
      <c r="T256" s="103">
        <f t="shared" si="541"/>
        <v>7354</v>
      </c>
      <c r="U256" s="313">
        <f t="shared" si="542"/>
        <v>7354</v>
      </c>
      <c r="V256" s="103">
        <f t="shared" si="543"/>
        <v>7339</v>
      </c>
      <c r="W256" s="313">
        <f t="shared" si="544"/>
        <v>7339</v>
      </c>
      <c r="X256" s="750"/>
      <c r="Y256" s="716"/>
      <c r="Z256" s="716"/>
      <c r="AA256" s="717"/>
      <c r="AB256" s="197">
        <v>928</v>
      </c>
    </row>
    <row r="257" spans="1:38" ht="12.6" customHeight="1" x14ac:dyDescent="0.2">
      <c r="A257" s="18"/>
      <c r="B257" s="683" t="s">
        <v>405</v>
      </c>
      <c r="C257" s="712"/>
      <c r="D257" s="712"/>
      <c r="E257" s="712"/>
      <c r="F257" s="392">
        <f>7.3*X2</f>
        <v>7570.0999999999995</v>
      </c>
      <c r="G257" s="293">
        <f t="shared" si="545"/>
        <v>7570.0999999999995</v>
      </c>
      <c r="H257" s="596">
        <f t="shared" si="529"/>
        <v>8070.0999999999995</v>
      </c>
      <c r="I257" s="293">
        <f t="shared" si="530"/>
        <v>8070.0999999999995</v>
      </c>
      <c r="J257" s="596">
        <f t="shared" si="531"/>
        <v>7790.0999999999995</v>
      </c>
      <c r="K257" s="293">
        <f t="shared" si="532"/>
        <v>7790.0999999999995</v>
      </c>
      <c r="L257" s="596">
        <f t="shared" si="533"/>
        <v>7740.0999999999995</v>
      </c>
      <c r="M257" s="293">
        <f t="shared" si="534"/>
        <v>7740.0999999999995</v>
      </c>
      <c r="N257" s="596">
        <f t="shared" si="535"/>
        <v>7715.0999999999995</v>
      </c>
      <c r="O257" s="293">
        <f t="shared" si="536"/>
        <v>7715.0999999999995</v>
      </c>
      <c r="P257" s="596">
        <f t="shared" si="537"/>
        <v>7700.0999999999995</v>
      </c>
      <c r="Q257" s="293">
        <f t="shared" si="538"/>
        <v>7700.0999999999995</v>
      </c>
      <c r="R257" s="596">
        <f t="shared" si="539"/>
        <v>7680.0999999999995</v>
      </c>
      <c r="S257" s="293">
        <f t="shared" si="540"/>
        <v>7680.0999999999995</v>
      </c>
      <c r="T257" s="104">
        <f t="shared" si="541"/>
        <v>7665.0999999999995</v>
      </c>
      <c r="U257" s="260">
        <f t="shared" si="542"/>
        <v>7665.0999999999995</v>
      </c>
      <c r="V257" s="104">
        <f t="shared" si="543"/>
        <v>7650.0999999999995</v>
      </c>
      <c r="W257" s="260">
        <f t="shared" si="544"/>
        <v>7650.0999999999995</v>
      </c>
      <c r="X257" s="750"/>
      <c r="Y257" s="797"/>
      <c r="Z257" s="797"/>
      <c r="AA257" s="717"/>
      <c r="AB257" s="197">
        <v>931</v>
      </c>
    </row>
    <row r="258" spans="1:38" ht="12.6" customHeight="1" x14ac:dyDescent="0.2">
      <c r="A258" s="18"/>
      <c r="B258" s="704" t="s">
        <v>820</v>
      </c>
      <c r="C258" s="705"/>
      <c r="D258" s="705"/>
      <c r="E258" s="705"/>
      <c r="F258" s="393">
        <f>2.98*X2</f>
        <v>3090.2599999999998</v>
      </c>
      <c r="G258" s="294">
        <f t="shared" si="545"/>
        <v>3090.2599999999998</v>
      </c>
      <c r="H258" s="492">
        <f t="shared" si="529"/>
        <v>3590.2599999999998</v>
      </c>
      <c r="I258" s="294">
        <f t="shared" si="530"/>
        <v>3590.2599999999998</v>
      </c>
      <c r="J258" s="492">
        <f t="shared" si="531"/>
        <v>3310.2599999999998</v>
      </c>
      <c r="K258" s="294">
        <f t="shared" si="532"/>
        <v>3310.2599999999998</v>
      </c>
      <c r="L258" s="492">
        <f t="shared" si="533"/>
        <v>3260.2599999999998</v>
      </c>
      <c r="M258" s="294">
        <f t="shared" si="534"/>
        <v>3260.2599999999998</v>
      </c>
      <c r="N258" s="492">
        <f t="shared" si="535"/>
        <v>3235.2599999999998</v>
      </c>
      <c r="O258" s="294">
        <f t="shared" si="536"/>
        <v>3235.2599999999998</v>
      </c>
      <c r="P258" s="492">
        <f t="shared" si="537"/>
        <v>3220.2599999999998</v>
      </c>
      <c r="Q258" s="294">
        <f t="shared" si="538"/>
        <v>3220.2599999999998</v>
      </c>
      <c r="R258" s="492">
        <f t="shared" si="539"/>
        <v>3200.2599999999998</v>
      </c>
      <c r="S258" s="294">
        <f t="shared" si="540"/>
        <v>3200.2599999999998</v>
      </c>
      <c r="T258" s="103">
        <f t="shared" si="541"/>
        <v>3185.2599999999998</v>
      </c>
      <c r="U258" s="313">
        <f t="shared" si="542"/>
        <v>3185.2599999999998</v>
      </c>
      <c r="V258" s="103">
        <f t="shared" si="543"/>
        <v>3170.2599999999998</v>
      </c>
      <c r="W258" s="313">
        <f t="shared" si="544"/>
        <v>3170.2599999999998</v>
      </c>
      <c r="X258" s="750"/>
      <c r="Y258" s="797"/>
      <c r="Z258" s="797"/>
      <c r="AA258" s="717"/>
      <c r="AB258" s="197">
        <v>933</v>
      </c>
    </row>
    <row r="259" spans="1:38" ht="12.6" customHeight="1" x14ac:dyDescent="0.2">
      <c r="A259" s="18"/>
      <c r="B259" s="683" t="s">
        <v>607</v>
      </c>
      <c r="C259" s="712"/>
      <c r="D259" s="712"/>
      <c r="E259" s="712"/>
      <c r="F259" s="392">
        <f>7.55*X2</f>
        <v>7829.3499999999995</v>
      </c>
      <c r="G259" s="293">
        <f t="shared" si="545"/>
        <v>7829.3499999999995</v>
      </c>
      <c r="H259" s="596">
        <f t="shared" si="529"/>
        <v>8329.3499999999985</v>
      </c>
      <c r="I259" s="293">
        <f t="shared" si="530"/>
        <v>8329.3499999999985</v>
      </c>
      <c r="J259" s="596">
        <f t="shared" si="531"/>
        <v>8049.3499999999995</v>
      </c>
      <c r="K259" s="293">
        <f t="shared" si="532"/>
        <v>8049.3499999999995</v>
      </c>
      <c r="L259" s="596">
        <f t="shared" si="533"/>
        <v>7999.3499999999995</v>
      </c>
      <c r="M259" s="293">
        <f t="shared" si="534"/>
        <v>7999.3499999999995</v>
      </c>
      <c r="N259" s="596">
        <f t="shared" si="535"/>
        <v>7974.3499999999995</v>
      </c>
      <c r="O259" s="293">
        <f t="shared" si="536"/>
        <v>7974.3499999999995</v>
      </c>
      <c r="P259" s="596">
        <f t="shared" si="537"/>
        <v>7959.3499999999995</v>
      </c>
      <c r="Q259" s="293">
        <f t="shared" si="538"/>
        <v>7959.3499999999995</v>
      </c>
      <c r="R259" s="596">
        <f t="shared" si="539"/>
        <v>7939.3499999999995</v>
      </c>
      <c r="S259" s="293">
        <f t="shared" si="540"/>
        <v>7939.3499999999995</v>
      </c>
      <c r="T259" s="104">
        <f t="shared" si="541"/>
        <v>7924.3499999999995</v>
      </c>
      <c r="U259" s="260">
        <f t="shared" si="542"/>
        <v>7924.3499999999995</v>
      </c>
      <c r="V259" s="104">
        <f t="shared" si="543"/>
        <v>7909.3499999999995</v>
      </c>
      <c r="W259" s="260">
        <f t="shared" si="544"/>
        <v>7909.3499999999995</v>
      </c>
      <c r="X259" s="389"/>
      <c r="Y259" s="389"/>
      <c r="Z259" s="389"/>
      <c r="AA259" s="389"/>
      <c r="AB259" s="197">
        <v>935</v>
      </c>
    </row>
    <row r="260" spans="1:38" ht="12.6" customHeight="1" x14ac:dyDescent="0.2">
      <c r="A260" s="18"/>
      <c r="B260" s="704" t="s">
        <v>640</v>
      </c>
      <c r="C260" s="705"/>
      <c r="D260" s="705"/>
      <c r="E260" s="705"/>
      <c r="F260" s="393">
        <f>10*X2</f>
        <v>10370</v>
      </c>
      <c r="G260" s="294">
        <f t="shared" ref="G260" si="546">+F260*$X$1</f>
        <v>10370</v>
      </c>
      <c r="H260" s="492">
        <f t="shared" si="529"/>
        <v>10870</v>
      </c>
      <c r="I260" s="294">
        <f t="shared" si="530"/>
        <v>10870</v>
      </c>
      <c r="J260" s="492">
        <f t="shared" si="531"/>
        <v>10590</v>
      </c>
      <c r="K260" s="294">
        <f t="shared" si="532"/>
        <v>10590</v>
      </c>
      <c r="L260" s="492">
        <f t="shared" si="533"/>
        <v>10540</v>
      </c>
      <c r="M260" s="294">
        <f t="shared" si="534"/>
        <v>10540</v>
      </c>
      <c r="N260" s="492">
        <f t="shared" si="535"/>
        <v>10515</v>
      </c>
      <c r="O260" s="294">
        <f t="shared" si="536"/>
        <v>10515</v>
      </c>
      <c r="P260" s="492">
        <f t="shared" si="537"/>
        <v>10500</v>
      </c>
      <c r="Q260" s="294">
        <f t="shared" si="538"/>
        <v>10500</v>
      </c>
      <c r="R260" s="492">
        <f t="shared" si="539"/>
        <v>10480</v>
      </c>
      <c r="S260" s="294">
        <f t="shared" si="540"/>
        <v>10480</v>
      </c>
      <c r="T260" s="103">
        <f t="shared" si="541"/>
        <v>10465</v>
      </c>
      <c r="U260" s="313">
        <f t="shared" si="542"/>
        <v>10465</v>
      </c>
      <c r="V260" s="103">
        <f t="shared" si="543"/>
        <v>10450</v>
      </c>
      <c r="W260" s="313">
        <f t="shared" si="544"/>
        <v>10450</v>
      </c>
      <c r="X260" s="750"/>
      <c r="Y260" s="716"/>
      <c r="Z260" s="716"/>
      <c r="AA260" s="717"/>
      <c r="AB260" s="197">
        <v>936</v>
      </c>
    </row>
    <row r="261" spans="1:38" ht="12.6" customHeight="1" x14ac:dyDescent="0.2">
      <c r="A261" s="18"/>
      <c r="B261" s="708" t="s">
        <v>887</v>
      </c>
      <c r="C261" s="709"/>
      <c r="D261" s="709"/>
      <c r="E261" s="709"/>
      <c r="F261" s="392">
        <f>4.9*X2</f>
        <v>5081.3</v>
      </c>
      <c r="G261" s="293">
        <f t="shared" ref="G261" si="547">+F261*$X$1</f>
        <v>5081.3</v>
      </c>
      <c r="H261" s="596">
        <f t="shared" si="529"/>
        <v>5581.3</v>
      </c>
      <c r="I261" s="293">
        <f t="shared" si="530"/>
        <v>5581.3</v>
      </c>
      <c r="J261" s="596">
        <f t="shared" si="531"/>
        <v>5301.3</v>
      </c>
      <c r="K261" s="293">
        <f t="shared" si="532"/>
        <v>5301.3</v>
      </c>
      <c r="L261" s="596">
        <f t="shared" si="533"/>
        <v>5251.3</v>
      </c>
      <c r="M261" s="293">
        <f t="shared" si="534"/>
        <v>5251.3</v>
      </c>
      <c r="N261" s="596">
        <f t="shared" si="535"/>
        <v>5226.3</v>
      </c>
      <c r="O261" s="293">
        <f t="shared" si="536"/>
        <v>5226.3</v>
      </c>
      <c r="P261" s="596">
        <f t="shared" si="537"/>
        <v>5211.3</v>
      </c>
      <c r="Q261" s="293">
        <f t="shared" si="538"/>
        <v>5211.3</v>
      </c>
      <c r="R261" s="596">
        <f t="shared" si="539"/>
        <v>5191.3</v>
      </c>
      <c r="S261" s="293">
        <f t="shared" si="540"/>
        <v>5191.3</v>
      </c>
      <c r="T261" s="104">
        <f t="shared" si="541"/>
        <v>5176.3</v>
      </c>
      <c r="U261" s="260">
        <f t="shared" si="542"/>
        <v>5176.3</v>
      </c>
      <c r="V261" s="104">
        <f t="shared" si="543"/>
        <v>5161.3</v>
      </c>
      <c r="W261" s="260">
        <f t="shared" si="544"/>
        <v>5161.3</v>
      </c>
      <c r="X261" s="750"/>
      <c r="Y261" s="716"/>
      <c r="Z261" s="716"/>
      <c r="AA261" s="717"/>
      <c r="AB261" s="197">
        <v>940</v>
      </c>
    </row>
    <row r="262" spans="1:38" ht="12.6" customHeight="1" x14ac:dyDescent="0.2">
      <c r="A262" s="18"/>
      <c r="B262" s="690" t="s">
        <v>205</v>
      </c>
      <c r="C262" s="691"/>
      <c r="D262" s="691"/>
      <c r="E262" s="692"/>
      <c r="F262" s="393">
        <f>5.483*X2</f>
        <v>5685.8709999999992</v>
      </c>
      <c r="G262" s="294">
        <f t="shared" ref="G262:G266" si="548">+F262*$X$1</f>
        <v>5685.8709999999992</v>
      </c>
      <c r="H262" s="492">
        <f t="shared" si="529"/>
        <v>6185.8709999999992</v>
      </c>
      <c r="I262" s="294">
        <f t="shared" si="530"/>
        <v>6185.8709999999992</v>
      </c>
      <c r="J262" s="492">
        <f t="shared" si="531"/>
        <v>5905.8709999999992</v>
      </c>
      <c r="K262" s="294">
        <f t="shared" si="532"/>
        <v>5905.8709999999992</v>
      </c>
      <c r="L262" s="492">
        <f t="shared" si="533"/>
        <v>5855.8709999999992</v>
      </c>
      <c r="M262" s="294">
        <f t="shared" si="534"/>
        <v>5855.8709999999992</v>
      </c>
      <c r="N262" s="492">
        <f t="shared" si="535"/>
        <v>5830.8709999999992</v>
      </c>
      <c r="O262" s="294">
        <f t="shared" si="536"/>
        <v>5830.8709999999992</v>
      </c>
      <c r="P262" s="492">
        <f t="shared" si="537"/>
        <v>5815.8709999999992</v>
      </c>
      <c r="Q262" s="294">
        <f t="shared" si="538"/>
        <v>5815.8709999999992</v>
      </c>
      <c r="R262" s="492">
        <f t="shared" si="539"/>
        <v>5795.8709999999992</v>
      </c>
      <c r="S262" s="294">
        <f t="shared" si="540"/>
        <v>5795.8709999999992</v>
      </c>
      <c r="T262" s="103">
        <f t="shared" si="541"/>
        <v>5780.8709999999992</v>
      </c>
      <c r="U262" s="313">
        <f t="shared" si="542"/>
        <v>5780.8709999999992</v>
      </c>
      <c r="V262" s="103">
        <f t="shared" si="543"/>
        <v>5765.8709999999992</v>
      </c>
      <c r="W262" s="313">
        <f t="shared" si="544"/>
        <v>5765.8709999999992</v>
      </c>
      <c r="X262" s="135"/>
      <c r="Y262" s="137"/>
      <c r="Z262" s="132"/>
      <c r="AA262" s="132"/>
      <c r="AB262" s="197">
        <v>945</v>
      </c>
      <c r="AD262" s="66"/>
      <c r="AE262" s="66"/>
      <c r="AF262" s="66"/>
      <c r="AG262" s="66"/>
    </row>
    <row r="263" spans="1:38" ht="12.6" customHeight="1" x14ac:dyDescent="0.2">
      <c r="A263" s="18"/>
      <c r="B263" s="683" t="s">
        <v>499</v>
      </c>
      <c r="C263" s="712"/>
      <c r="D263" s="712"/>
      <c r="E263" s="712"/>
      <c r="F263" s="392">
        <f>4.52*X2</f>
        <v>4687.24</v>
      </c>
      <c r="G263" s="293">
        <f t="shared" ref="G263" si="549">+F263*$X$1</f>
        <v>4687.24</v>
      </c>
      <c r="H263" s="596">
        <f t="shared" si="529"/>
        <v>5187.24</v>
      </c>
      <c r="I263" s="293">
        <f t="shared" si="530"/>
        <v>5187.24</v>
      </c>
      <c r="J263" s="596">
        <f t="shared" si="531"/>
        <v>4907.24</v>
      </c>
      <c r="K263" s="293">
        <f t="shared" si="532"/>
        <v>4907.24</v>
      </c>
      <c r="L263" s="596">
        <f t="shared" si="533"/>
        <v>4857.24</v>
      </c>
      <c r="M263" s="293">
        <f t="shared" si="534"/>
        <v>4857.24</v>
      </c>
      <c r="N263" s="596">
        <f t="shared" si="535"/>
        <v>4832.24</v>
      </c>
      <c r="O263" s="293">
        <f t="shared" si="536"/>
        <v>4832.24</v>
      </c>
      <c r="P263" s="596">
        <f t="shared" si="537"/>
        <v>4817.24</v>
      </c>
      <c r="Q263" s="293">
        <f t="shared" si="538"/>
        <v>4817.24</v>
      </c>
      <c r="R263" s="596">
        <f t="shared" si="539"/>
        <v>4797.24</v>
      </c>
      <c r="S263" s="293">
        <f t="shared" si="540"/>
        <v>4797.24</v>
      </c>
      <c r="T263" s="104">
        <f t="shared" si="541"/>
        <v>4782.24</v>
      </c>
      <c r="U263" s="260">
        <f t="shared" si="542"/>
        <v>4782.24</v>
      </c>
      <c r="V263" s="104">
        <f t="shared" si="543"/>
        <v>4767.24</v>
      </c>
      <c r="W263" s="260">
        <f t="shared" si="544"/>
        <v>4767.24</v>
      </c>
      <c r="X263" s="156"/>
      <c r="Y263" s="156"/>
      <c r="Z263" s="156"/>
      <c r="AA263" s="156"/>
      <c r="AB263" s="197">
        <v>946</v>
      </c>
    </row>
    <row r="264" spans="1:38" ht="12.6" customHeight="1" x14ac:dyDescent="0.2">
      <c r="A264" s="18"/>
      <c r="B264" s="966" t="s">
        <v>206</v>
      </c>
      <c r="C264" s="967"/>
      <c r="D264" s="967"/>
      <c r="E264" s="968"/>
      <c r="F264" s="393">
        <f>5.1*X2</f>
        <v>5288.7</v>
      </c>
      <c r="G264" s="294">
        <f t="shared" si="548"/>
        <v>5288.7</v>
      </c>
      <c r="H264" s="492">
        <f t="shared" si="529"/>
        <v>5788.7</v>
      </c>
      <c r="I264" s="294">
        <f t="shared" ref="I264" si="550">+H264*$X$1</f>
        <v>5788.7</v>
      </c>
      <c r="J264" s="492"/>
      <c r="K264" s="294"/>
      <c r="L264" s="492"/>
      <c r="M264" s="294"/>
      <c r="N264" s="492"/>
      <c r="O264" s="294"/>
      <c r="P264" s="492"/>
      <c r="Q264" s="294"/>
      <c r="R264" s="492"/>
      <c r="S264" s="294"/>
      <c r="T264" s="103"/>
      <c r="U264" s="313"/>
      <c r="V264" s="103"/>
      <c r="W264" s="313"/>
      <c r="X264" s="750"/>
      <c r="Y264" s="797"/>
      <c r="Z264" s="797"/>
      <c r="AA264" s="717"/>
      <c r="AB264" s="432">
        <v>949</v>
      </c>
    </row>
    <row r="265" spans="1:38" ht="12.6" customHeight="1" x14ac:dyDescent="0.2">
      <c r="A265" s="18"/>
      <c r="B265" s="683" t="s">
        <v>608</v>
      </c>
      <c r="C265" s="712"/>
      <c r="D265" s="712"/>
      <c r="E265" s="712"/>
      <c r="F265" s="392">
        <f>6*X2</f>
        <v>6222</v>
      </c>
      <c r="G265" s="293">
        <f t="shared" si="548"/>
        <v>6222</v>
      </c>
      <c r="H265" s="598">
        <f>F265+500</f>
        <v>6722</v>
      </c>
      <c r="I265" s="293">
        <f t="shared" ref="I265:I266" si="551">+H265*$X$1</f>
        <v>6722</v>
      </c>
      <c r="J265" s="598">
        <f>F265+220</f>
        <v>6442</v>
      </c>
      <c r="K265" s="293">
        <f t="shared" ref="K265:K268" si="552">+J265*$X$1</f>
        <v>6442</v>
      </c>
      <c r="L265" s="598">
        <f>F265+170</f>
        <v>6392</v>
      </c>
      <c r="M265" s="293">
        <f t="shared" ref="M265:M266" si="553">+L265*$X$1</f>
        <v>6392</v>
      </c>
      <c r="N265" s="598">
        <f>F265+145</f>
        <v>6367</v>
      </c>
      <c r="O265" s="293">
        <f t="shared" ref="O265:O266" si="554">+N265*$X$1</f>
        <v>6367</v>
      </c>
      <c r="P265" s="598">
        <f>F265+130</f>
        <v>6352</v>
      </c>
      <c r="Q265" s="293">
        <f t="shared" ref="Q265:Q266" si="555">+P265*$X$1</f>
        <v>6352</v>
      </c>
      <c r="R265" s="598">
        <f>F265+110</f>
        <v>6332</v>
      </c>
      <c r="S265" s="293">
        <f t="shared" ref="S265:S266" si="556">+R265*$X$1</f>
        <v>6332</v>
      </c>
      <c r="T265" s="104">
        <f>F265+95</f>
        <v>6317</v>
      </c>
      <c r="U265" s="260">
        <f t="shared" ref="U265:U266" si="557">+T265*$X$1</f>
        <v>6317</v>
      </c>
      <c r="V265" s="104">
        <f>F265+80</f>
        <v>6302</v>
      </c>
      <c r="W265" s="260">
        <f t="shared" ref="W265:W266" si="558">+V265*$X$1</f>
        <v>6302</v>
      </c>
      <c r="X265" s="680"/>
      <c r="Y265" s="681"/>
      <c r="Z265" s="681"/>
      <c r="AA265" s="682"/>
      <c r="AB265" s="197">
        <v>962</v>
      </c>
    </row>
    <row r="266" spans="1:38" ht="12.6" customHeight="1" x14ac:dyDescent="0.2">
      <c r="A266" s="18"/>
      <c r="B266" s="708" t="s">
        <v>876</v>
      </c>
      <c r="C266" s="709"/>
      <c r="D266" s="709"/>
      <c r="E266" s="709"/>
      <c r="F266" s="393">
        <f>10.94*X2</f>
        <v>11344.779999999999</v>
      </c>
      <c r="G266" s="294">
        <f t="shared" si="548"/>
        <v>11344.779999999999</v>
      </c>
      <c r="H266" s="492">
        <f>F266+500</f>
        <v>11844.779999999999</v>
      </c>
      <c r="I266" s="294">
        <f t="shared" si="551"/>
        <v>11844.779999999999</v>
      </c>
      <c r="J266" s="492">
        <f>F266+220</f>
        <v>11564.779999999999</v>
      </c>
      <c r="K266" s="294">
        <f t="shared" si="552"/>
        <v>11564.779999999999</v>
      </c>
      <c r="L266" s="492">
        <f>F266+170</f>
        <v>11514.779999999999</v>
      </c>
      <c r="M266" s="294">
        <f t="shared" si="553"/>
        <v>11514.779999999999</v>
      </c>
      <c r="N266" s="492">
        <f>F266+145</f>
        <v>11489.779999999999</v>
      </c>
      <c r="O266" s="294">
        <f t="shared" si="554"/>
        <v>11489.779999999999</v>
      </c>
      <c r="P266" s="492">
        <f>F266+130</f>
        <v>11474.779999999999</v>
      </c>
      <c r="Q266" s="294">
        <f t="shared" si="555"/>
        <v>11474.779999999999</v>
      </c>
      <c r="R266" s="492">
        <f>F266+110</f>
        <v>11454.779999999999</v>
      </c>
      <c r="S266" s="294">
        <f t="shared" si="556"/>
        <v>11454.779999999999</v>
      </c>
      <c r="T266" s="103">
        <f>F266+95</f>
        <v>11439.779999999999</v>
      </c>
      <c r="U266" s="313">
        <f t="shared" si="557"/>
        <v>11439.779999999999</v>
      </c>
      <c r="V266" s="103">
        <f>F266+80</f>
        <v>11424.779999999999</v>
      </c>
      <c r="W266" s="313">
        <f t="shared" si="558"/>
        <v>11424.779999999999</v>
      </c>
      <c r="X266" s="489"/>
      <c r="Y266" s="489"/>
      <c r="Z266" s="489"/>
      <c r="AA266" s="489"/>
      <c r="AB266" s="197">
        <v>963</v>
      </c>
    </row>
    <row r="267" spans="1:38" ht="12.6" customHeight="1" x14ac:dyDescent="0.2">
      <c r="A267" s="18"/>
      <c r="B267" s="708" t="s">
        <v>917</v>
      </c>
      <c r="C267" s="709"/>
      <c r="D267" s="709"/>
      <c r="E267" s="709"/>
      <c r="F267" s="392">
        <f>7.1*X2</f>
        <v>7362.7</v>
      </c>
      <c r="G267" s="293">
        <f t="shared" ref="G267" si="559">+F267*$X$1</f>
        <v>7362.7</v>
      </c>
      <c r="H267" s="598">
        <f>F267+500</f>
        <v>7862.7</v>
      </c>
      <c r="I267" s="293">
        <f t="shared" ref="I267" si="560">+H267*$X$1</f>
        <v>7862.7</v>
      </c>
      <c r="J267" s="598">
        <f>F267+220</f>
        <v>7582.7</v>
      </c>
      <c r="K267" s="293">
        <f t="shared" ref="K267" si="561">+J267*$X$1</f>
        <v>7582.7</v>
      </c>
      <c r="L267" s="598">
        <f>F267+170</f>
        <v>7532.7</v>
      </c>
      <c r="M267" s="293">
        <f t="shared" ref="M267" si="562">+L267*$X$1</f>
        <v>7532.7</v>
      </c>
      <c r="N267" s="598">
        <f>F267+145</f>
        <v>7507.7</v>
      </c>
      <c r="O267" s="293">
        <f t="shared" ref="O267" si="563">+N267*$X$1</f>
        <v>7507.7</v>
      </c>
      <c r="P267" s="598">
        <f>F267+130</f>
        <v>7492.7</v>
      </c>
      <c r="Q267" s="293">
        <f t="shared" ref="Q267" si="564">+P267*$X$1</f>
        <v>7492.7</v>
      </c>
      <c r="R267" s="598">
        <f>F267+110</f>
        <v>7472.7</v>
      </c>
      <c r="S267" s="293">
        <f t="shared" ref="S267" si="565">+R267*$X$1</f>
        <v>7472.7</v>
      </c>
      <c r="T267" s="104">
        <f>F267+95</f>
        <v>7457.7</v>
      </c>
      <c r="U267" s="260">
        <f t="shared" ref="U267" si="566">+T267*$X$1</f>
        <v>7457.7</v>
      </c>
      <c r="V267" s="104">
        <f>F267+80</f>
        <v>7442.7</v>
      </c>
      <c r="W267" s="260">
        <f t="shared" ref="W267" si="567">+V267*$X$1</f>
        <v>7442.7</v>
      </c>
      <c r="X267" s="489"/>
      <c r="Y267" s="489"/>
      <c r="Z267" s="489"/>
      <c r="AA267" s="489"/>
      <c r="AB267" s="197">
        <v>966</v>
      </c>
    </row>
    <row r="268" spans="1:38" s="1" customFormat="1" ht="12.6" customHeight="1" x14ac:dyDescent="0.2">
      <c r="A268" s="19"/>
      <c r="B268" s="704" t="s">
        <v>387</v>
      </c>
      <c r="C268" s="705"/>
      <c r="D268" s="705"/>
      <c r="E268" s="705"/>
      <c r="F268" s="294">
        <v>396</v>
      </c>
      <c r="G268" s="294">
        <f>+F268*$X$1</f>
        <v>396</v>
      </c>
      <c r="H268" s="285"/>
      <c r="I268" s="285"/>
      <c r="J268" s="492">
        <f>F268+180</f>
        <v>576</v>
      </c>
      <c r="K268" s="294">
        <f t="shared" si="552"/>
        <v>576</v>
      </c>
      <c r="L268" s="492">
        <f>F268+120</f>
        <v>516</v>
      </c>
      <c r="M268" s="294">
        <f>+L268*$X$1</f>
        <v>516</v>
      </c>
      <c r="N268" s="492">
        <f>F268+63</f>
        <v>459</v>
      </c>
      <c r="O268" s="294">
        <f>+N268*$X$1</f>
        <v>459</v>
      </c>
      <c r="P268" s="492">
        <f>F268+54</f>
        <v>450</v>
      </c>
      <c r="Q268" s="294">
        <f>+P268*$X$1</f>
        <v>450</v>
      </c>
      <c r="R268" s="492">
        <f>F268+45</f>
        <v>441</v>
      </c>
      <c r="S268" s="294">
        <f>+R268*$X$1</f>
        <v>441</v>
      </c>
      <c r="T268" s="103">
        <f>F268+37</f>
        <v>433</v>
      </c>
      <c r="U268" s="313">
        <f>+T268*$X$1</f>
        <v>433</v>
      </c>
      <c r="V268" s="103">
        <f>F268+32</f>
        <v>428</v>
      </c>
      <c r="W268" s="313">
        <f>+V268*$X$1</f>
        <v>428</v>
      </c>
      <c r="X268" s="153"/>
      <c r="Y268" s="153"/>
      <c r="Z268" s="153"/>
      <c r="AA268" s="153"/>
      <c r="AB268" s="197">
        <v>998</v>
      </c>
      <c r="AC268" s="76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19"/>
      <c r="B269" s="693" t="s">
        <v>216</v>
      </c>
      <c r="C269" s="714"/>
      <c r="D269" s="714"/>
      <c r="E269" s="715"/>
      <c r="F269" s="293">
        <v>1400</v>
      </c>
      <c r="G269" s="314">
        <f t="shared" ref="G269" si="568">+F269*$X$1</f>
        <v>1400</v>
      </c>
      <c r="H269" s="971" t="s">
        <v>410</v>
      </c>
      <c r="I269" s="972"/>
      <c r="J269" s="972"/>
      <c r="K269" s="972"/>
      <c r="L269" s="972"/>
      <c r="M269" s="973"/>
      <c r="N269" s="537">
        <f>F269+100</f>
        <v>1500</v>
      </c>
      <c r="O269" s="293">
        <f t="shared" ref="O269" si="569">+N269*$X$1</f>
        <v>1500</v>
      </c>
      <c r="P269" s="537">
        <f>F269+80</f>
        <v>1480</v>
      </c>
      <c r="Q269" s="293">
        <f t="shared" ref="Q269" si="570">+P269*$X$1</f>
        <v>1480</v>
      </c>
      <c r="R269" s="537">
        <f>F269+63</f>
        <v>1463</v>
      </c>
      <c r="S269" s="293">
        <f t="shared" ref="S269" si="571">+R269*$X$1</f>
        <v>1463</v>
      </c>
      <c r="T269" s="537">
        <f>F269+55</f>
        <v>1455</v>
      </c>
      <c r="U269" s="293">
        <f t="shared" ref="U269" si="572">+T269*$X$1</f>
        <v>1455</v>
      </c>
      <c r="V269" s="537">
        <f>F269+50</f>
        <v>1450</v>
      </c>
      <c r="W269" s="293">
        <f t="shared" ref="W269" si="573">+V269*$X$1</f>
        <v>1450</v>
      </c>
      <c r="X269" s="685"/>
      <c r="Y269" s="700"/>
      <c r="Z269" s="700"/>
      <c r="AA269" s="687"/>
      <c r="AB269" s="197">
        <v>1001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19"/>
      <c r="B270" s="690" t="s">
        <v>217</v>
      </c>
      <c r="C270" s="935"/>
      <c r="D270" s="935"/>
      <c r="E270" s="936"/>
      <c r="F270" s="328">
        <v>1400</v>
      </c>
      <c r="G270" s="294">
        <f t="shared" ref="G270:G279" si="574">+F270*$X$1</f>
        <v>1400</v>
      </c>
      <c r="H270" s="974"/>
      <c r="I270" s="975"/>
      <c r="J270" s="975"/>
      <c r="K270" s="972"/>
      <c r="L270" s="975"/>
      <c r="M270" s="973"/>
      <c r="N270" s="537">
        <f>F270+100</f>
        <v>1500</v>
      </c>
      <c r="O270" s="294">
        <f t="shared" ref="O270:O273" si="575">+N270*$X$1</f>
        <v>1500</v>
      </c>
      <c r="P270" s="492">
        <f>F270+80</f>
        <v>1480</v>
      </c>
      <c r="Q270" s="294">
        <f t="shared" ref="Q270:Q273" si="576">+P270*$X$1</f>
        <v>1480</v>
      </c>
      <c r="R270" s="492">
        <f>F270+63</f>
        <v>1463</v>
      </c>
      <c r="S270" s="294">
        <f t="shared" ref="S270:S273" si="577">+R270*$X$1</f>
        <v>1463</v>
      </c>
      <c r="T270" s="492">
        <f>F270+55</f>
        <v>1455</v>
      </c>
      <c r="U270" s="294">
        <f t="shared" ref="U270:U273" si="578">+T270*$X$1</f>
        <v>1455</v>
      </c>
      <c r="V270" s="492">
        <f>F270+50</f>
        <v>1450</v>
      </c>
      <c r="W270" s="294">
        <f t="shared" ref="W270:W273" si="579">+V270*$X$1</f>
        <v>1450</v>
      </c>
      <c r="X270" s="685"/>
      <c r="Y270" s="700"/>
      <c r="Z270" s="700"/>
      <c r="AA270" s="687"/>
      <c r="AB270" s="197">
        <v>1002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19"/>
      <c r="B271" s="693" t="s">
        <v>655</v>
      </c>
      <c r="C271" s="714"/>
      <c r="D271" s="714"/>
      <c r="E271" s="715"/>
      <c r="F271" s="293">
        <v>1400</v>
      </c>
      <c r="G271" s="293">
        <f t="shared" si="574"/>
        <v>1400</v>
      </c>
      <c r="H271" s="974"/>
      <c r="I271" s="975"/>
      <c r="J271" s="975"/>
      <c r="K271" s="972"/>
      <c r="L271" s="975"/>
      <c r="M271" s="973"/>
      <c r="N271" s="537">
        <f>F271+100</f>
        <v>1500</v>
      </c>
      <c r="O271" s="293">
        <f t="shared" si="575"/>
        <v>1500</v>
      </c>
      <c r="P271" s="537">
        <f>F271+80</f>
        <v>1480</v>
      </c>
      <c r="Q271" s="293">
        <f t="shared" si="576"/>
        <v>1480</v>
      </c>
      <c r="R271" s="537">
        <f>F271+63</f>
        <v>1463</v>
      </c>
      <c r="S271" s="293">
        <f t="shared" si="577"/>
        <v>1463</v>
      </c>
      <c r="T271" s="537">
        <f>F271+55</f>
        <v>1455</v>
      </c>
      <c r="U271" s="293">
        <f t="shared" si="578"/>
        <v>1455</v>
      </c>
      <c r="V271" s="537">
        <f>F271+50</f>
        <v>1450</v>
      </c>
      <c r="W271" s="293">
        <f t="shared" si="579"/>
        <v>1450</v>
      </c>
      <c r="X271" s="685"/>
      <c r="Y271" s="700"/>
      <c r="Z271" s="700"/>
      <c r="AA271" s="687"/>
      <c r="AB271" s="197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19"/>
      <c r="B272" s="704" t="s">
        <v>713</v>
      </c>
      <c r="C272" s="705"/>
      <c r="D272" s="705"/>
      <c r="E272" s="705"/>
      <c r="F272" s="294">
        <v>1650</v>
      </c>
      <c r="G272" s="294">
        <f t="shared" si="574"/>
        <v>1650</v>
      </c>
      <c r="H272" s="974"/>
      <c r="I272" s="975"/>
      <c r="J272" s="975"/>
      <c r="K272" s="972"/>
      <c r="L272" s="975"/>
      <c r="M272" s="973"/>
      <c r="N272" s="537">
        <f>F272+100</f>
        <v>1750</v>
      </c>
      <c r="O272" s="294">
        <f t="shared" si="575"/>
        <v>1750</v>
      </c>
      <c r="P272" s="492">
        <f>F272+80</f>
        <v>1730</v>
      </c>
      <c r="Q272" s="294">
        <f t="shared" si="576"/>
        <v>1730</v>
      </c>
      <c r="R272" s="492">
        <f>F272+63</f>
        <v>1713</v>
      </c>
      <c r="S272" s="294">
        <f t="shared" si="577"/>
        <v>1713</v>
      </c>
      <c r="T272" s="492">
        <f>F272+55</f>
        <v>1705</v>
      </c>
      <c r="U272" s="294">
        <f t="shared" si="578"/>
        <v>1705</v>
      </c>
      <c r="V272" s="492">
        <f>F272+50</f>
        <v>1700</v>
      </c>
      <c r="W272" s="294">
        <f t="shared" si="579"/>
        <v>1700</v>
      </c>
      <c r="X272" s="685"/>
      <c r="Y272" s="686"/>
      <c r="Z272" s="686"/>
      <c r="AA272" s="687"/>
      <c r="AB272" s="197">
        <v>1004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19"/>
      <c r="B273" s="693" t="s">
        <v>712</v>
      </c>
      <c r="C273" s="714"/>
      <c r="D273" s="714"/>
      <c r="E273" s="715"/>
      <c r="F273" s="293">
        <v>1650</v>
      </c>
      <c r="G273" s="293">
        <f t="shared" si="574"/>
        <v>1650</v>
      </c>
      <c r="H273" s="974"/>
      <c r="I273" s="975"/>
      <c r="J273" s="975"/>
      <c r="K273" s="972"/>
      <c r="L273" s="975"/>
      <c r="M273" s="973"/>
      <c r="N273" s="537">
        <f>F273+100</f>
        <v>1750</v>
      </c>
      <c r="O273" s="293">
        <f t="shared" si="575"/>
        <v>1750</v>
      </c>
      <c r="P273" s="537">
        <f>F273+80</f>
        <v>1730</v>
      </c>
      <c r="Q273" s="293">
        <f t="shared" si="576"/>
        <v>1730</v>
      </c>
      <c r="R273" s="537">
        <f>F273+63</f>
        <v>1713</v>
      </c>
      <c r="S273" s="293">
        <f t="shared" si="577"/>
        <v>1713</v>
      </c>
      <c r="T273" s="537">
        <f>F273+55</f>
        <v>1705</v>
      </c>
      <c r="U273" s="293">
        <f t="shared" si="578"/>
        <v>1705</v>
      </c>
      <c r="V273" s="537">
        <f>F273+50</f>
        <v>1700</v>
      </c>
      <c r="W273" s="293">
        <f t="shared" si="579"/>
        <v>1700</v>
      </c>
      <c r="X273" s="685"/>
      <c r="Y273" s="700"/>
      <c r="Z273" s="700"/>
      <c r="AA273" s="687"/>
      <c r="AB273" s="197">
        <v>1005</v>
      </c>
      <c r="AC273" s="4"/>
      <c r="AD273" s="4"/>
      <c r="AE273" s="4"/>
      <c r="AF273" s="4"/>
      <c r="AG273" s="4"/>
      <c r="AH273" s="129"/>
      <c r="AI273" s="4"/>
      <c r="AJ273" s="4"/>
      <c r="AK273" s="4"/>
      <c r="AL273" s="4"/>
    </row>
    <row r="274" spans="1:38" s="1" customFormat="1" ht="12.6" customHeight="1" x14ac:dyDescent="0.2">
      <c r="A274" s="19"/>
      <c r="B274" s="690" t="s">
        <v>218</v>
      </c>
      <c r="C274" s="698"/>
      <c r="D274" s="698"/>
      <c r="E274" s="699"/>
      <c r="F274" s="294"/>
      <c r="G274" s="294"/>
      <c r="H274" s="976"/>
      <c r="I274" s="977"/>
      <c r="J274" s="977"/>
      <c r="K274" s="977"/>
      <c r="L274" s="977"/>
      <c r="M274" s="978"/>
      <c r="N274" s="492"/>
      <c r="O274" s="294"/>
      <c r="P274" s="492"/>
      <c r="Q274" s="294"/>
      <c r="R274" s="492"/>
      <c r="S274" s="294"/>
      <c r="T274" s="492"/>
      <c r="U274" s="294"/>
      <c r="V274" s="492"/>
      <c r="W274" s="294"/>
      <c r="X274" s="685"/>
      <c r="Y274" s="700"/>
      <c r="Z274" s="700"/>
      <c r="AA274" s="687"/>
      <c r="AB274" s="197">
        <v>1006</v>
      </c>
      <c r="AC274" s="4"/>
      <c r="AD274" s="4"/>
      <c r="AE274" s="4"/>
      <c r="AF274" s="4"/>
      <c r="AG274" s="4"/>
      <c r="AH274" s="129"/>
      <c r="AI274" s="4"/>
      <c r="AJ274" s="4"/>
      <c r="AK274" s="4"/>
      <c r="AL274" s="4"/>
    </row>
    <row r="275" spans="1:38" s="1" customFormat="1" ht="12.6" customHeight="1" x14ac:dyDescent="0.2">
      <c r="A275" s="19"/>
      <c r="B275" s="746" t="s">
        <v>946</v>
      </c>
      <c r="C275" s="747"/>
      <c r="D275" s="747"/>
      <c r="E275" s="748"/>
      <c r="F275" s="392">
        <f>2.8*X2</f>
        <v>2903.6</v>
      </c>
      <c r="G275" s="293">
        <f>+F275*$X$1</f>
        <v>2903.6</v>
      </c>
      <c r="H275" s="72">
        <f>F275+500</f>
        <v>3403.6</v>
      </c>
      <c r="I275" s="293">
        <f t="shared" ref="I275" si="580">+H275*$X$1</f>
        <v>3403.6</v>
      </c>
      <c r="J275" s="637">
        <f>F275+210</f>
        <v>3113.6</v>
      </c>
      <c r="K275" s="293">
        <f>+J275*$X$1</f>
        <v>3113.6</v>
      </c>
      <c r="L275" s="637">
        <f>F275+170</f>
        <v>3073.6</v>
      </c>
      <c r="M275" s="293">
        <f>+L275*$X$1</f>
        <v>3073.6</v>
      </c>
      <c r="N275" s="72">
        <f>F275+130</f>
        <v>3033.6</v>
      </c>
      <c r="O275" s="293">
        <f t="shared" ref="O275" si="581">+N275*$X$1</f>
        <v>3033.6</v>
      </c>
      <c r="P275" s="72">
        <f>F275+110</f>
        <v>3013.6</v>
      </c>
      <c r="Q275" s="293">
        <f t="shared" ref="Q275" si="582">+P275*$X$1</f>
        <v>3013.6</v>
      </c>
      <c r="R275" s="637">
        <f>F275+100</f>
        <v>3003.6</v>
      </c>
      <c r="S275" s="293">
        <f t="shared" ref="S275" si="583">+R275*$X$1</f>
        <v>3003.6</v>
      </c>
      <c r="T275" s="637">
        <f>F275+93</f>
        <v>2996.6</v>
      </c>
      <c r="U275" s="293">
        <f t="shared" ref="U275" si="584">+T275*$X$1</f>
        <v>2996.6</v>
      </c>
      <c r="V275" s="637">
        <f>F275+84</f>
        <v>2987.6</v>
      </c>
      <c r="W275" s="293">
        <f t="shared" ref="W275" si="585">+V275*$X$1</f>
        <v>2987.6</v>
      </c>
      <c r="X275" s="634"/>
      <c r="Y275" s="636"/>
      <c r="Z275" s="636"/>
      <c r="AA275" s="635"/>
      <c r="AB275" s="197">
        <v>1024</v>
      </c>
      <c r="AC275" s="4"/>
      <c r="AD275" s="4"/>
      <c r="AE275" s="4"/>
      <c r="AF275" s="4"/>
      <c r="AG275" s="4"/>
      <c r="AH275" s="531"/>
      <c r="AI275" s="4"/>
      <c r="AJ275" s="4"/>
      <c r="AK275" s="4"/>
      <c r="AL275" s="4"/>
    </row>
    <row r="276" spans="1:38" s="1" customFormat="1" ht="12.6" customHeight="1" x14ac:dyDescent="0.2">
      <c r="A276" s="19"/>
      <c r="B276" s="690" t="s">
        <v>865</v>
      </c>
      <c r="C276" s="698"/>
      <c r="D276" s="698"/>
      <c r="E276" s="699"/>
      <c r="F276" s="393">
        <f>3*X2</f>
        <v>3111</v>
      </c>
      <c r="G276" s="294">
        <f>+F276*$X$1</f>
        <v>3111</v>
      </c>
      <c r="H276" s="90">
        <f>F276+500</f>
        <v>3611</v>
      </c>
      <c r="I276" s="294">
        <f t="shared" ref="I276:I277" si="586">+H276*$X$1</f>
        <v>3611</v>
      </c>
      <c r="J276" s="492">
        <f>F276+210</f>
        <v>3321</v>
      </c>
      <c r="K276" s="294">
        <f>+J276*$X$1</f>
        <v>3321</v>
      </c>
      <c r="L276" s="492">
        <f>F276+170</f>
        <v>3281</v>
      </c>
      <c r="M276" s="294">
        <f>+L276*$X$1</f>
        <v>3281</v>
      </c>
      <c r="N276" s="90">
        <f>F276+130</f>
        <v>3241</v>
      </c>
      <c r="O276" s="294">
        <f t="shared" ref="O276:O277" si="587">+N276*$X$1</f>
        <v>3241</v>
      </c>
      <c r="P276" s="90">
        <f>F276+110</f>
        <v>3221</v>
      </c>
      <c r="Q276" s="294">
        <f t="shared" ref="Q276:Q277" si="588">+P276*$X$1</f>
        <v>3221</v>
      </c>
      <c r="R276" s="492">
        <f>F276+100</f>
        <v>3211</v>
      </c>
      <c r="S276" s="294">
        <f t="shared" ref="S276:S277" si="589">+R276*$X$1</f>
        <v>3211</v>
      </c>
      <c r="T276" s="492">
        <f>F276+93</f>
        <v>3204</v>
      </c>
      <c r="U276" s="294">
        <f t="shared" ref="U276:U277" si="590">+T276*$X$1</f>
        <v>3204</v>
      </c>
      <c r="V276" s="492">
        <f>F276+84</f>
        <v>3195</v>
      </c>
      <c r="W276" s="294">
        <f t="shared" ref="W276:W277" si="591">+V276*$X$1</f>
        <v>3195</v>
      </c>
      <c r="X276" s="529"/>
      <c r="Y276" s="527"/>
      <c r="Z276" s="527"/>
      <c r="AA276" s="528"/>
      <c r="AB276" s="197">
        <v>1026</v>
      </c>
      <c r="AC276" s="4"/>
      <c r="AD276" s="4"/>
      <c r="AE276" s="4"/>
      <c r="AF276" s="4"/>
      <c r="AG276" s="4"/>
      <c r="AH276" s="531"/>
      <c r="AI276" s="4"/>
      <c r="AJ276" s="4"/>
      <c r="AK276" s="4"/>
      <c r="AL276" s="4"/>
    </row>
    <row r="277" spans="1:38" s="1" customFormat="1" ht="12.6" customHeight="1" x14ac:dyDescent="0.2">
      <c r="A277" s="19"/>
      <c r="B277" s="693" t="s">
        <v>612</v>
      </c>
      <c r="C277" s="696"/>
      <c r="D277" s="696"/>
      <c r="E277" s="697"/>
      <c r="F277" s="588">
        <f>14.4*X2</f>
        <v>14932.800000000001</v>
      </c>
      <c r="G277" s="295">
        <f t="shared" si="574"/>
        <v>14932.800000000001</v>
      </c>
      <c r="H277" s="72">
        <f>F277+480</f>
        <v>15412.800000000001</v>
      </c>
      <c r="I277" s="293">
        <f t="shared" si="586"/>
        <v>15412.800000000001</v>
      </c>
      <c r="J277" s="637">
        <f>F277+210</f>
        <v>15142.800000000001</v>
      </c>
      <c r="K277" s="293">
        <f t="shared" ref="K277" si="592">+J277*$X$1</f>
        <v>15142.800000000001</v>
      </c>
      <c r="L277" s="637">
        <f>F277+150</f>
        <v>15082.800000000001</v>
      </c>
      <c r="M277" s="293">
        <f t="shared" ref="M277" si="593">+L277*$X$1</f>
        <v>15082.800000000001</v>
      </c>
      <c r="N277" s="637">
        <f>F277+120</f>
        <v>15052.800000000001</v>
      </c>
      <c r="O277" s="293">
        <f t="shared" si="587"/>
        <v>15052.800000000001</v>
      </c>
      <c r="P277" s="637">
        <f>F277+95</f>
        <v>15027.800000000001</v>
      </c>
      <c r="Q277" s="293">
        <f t="shared" si="588"/>
        <v>15027.800000000001</v>
      </c>
      <c r="R277" s="637">
        <f>F277+85</f>
        <v>15017.800000000001</v>
      </c>
      <c r="S277" s="293">
        <f t="shared" si="589"/>
        <v>15017.800000000001</v>
      </c>
      <c r="T277" s="637">
        <f>F277+77</f>
        <v>15009.800000000001</v>
      </c>
      <c r="U277" s="293">
        <f t="shared" si="590"/>
        <v>15009.800000000001</v>
      </c>
      <c r="V277" s="637">
        <f>F277+68</f>
        <v>15000.800000000001</v>
      </c>
      <c r="W277" s="293">
        <f t="shared" si="591"/>
        <v>15000.800000000001</v>
      </c>
      <c r="X277" s="346"/>
      <c r="Y277" s="347"/>
      <c r="Z277" s="347"/>
      <c r="AA277" s="348"/>
      <c r="AB277" s="197">
        <v>1028</v>
      </c>
      <c r="AC277" s="4"/>
      <c r="AD277" s="4"/>
      <c r="AE277" s="4"/>
      <c r="AF277" s="4"/>
      <c r="AG277" s="4"/>
      <c r="AH277" s="129"/>
      <c r="AI277" s="4"/>
      <c r="AJ277" s="4"/>
      <c r="AK277" s="4"/>
      <c r="AL277" s="4"/>
    </row>
    <row r="278" spans="1:38" s="1" customFormat="1" ht="12.6" customHeight="1" x14ac:dyDescent="0.2">
      <c r="A278" s="19"/>
      <c r="B278" s="690" t="s">
        <v>878</v>
      </c>
      <c r="C278" s="698"/>
      <c r="D278" s="698"/>
      <c r="E278" s="699"/>
      <c r="F278" s="339">
        <v>3270</v>
      </c>
      <c r="G278" s="294">
        <f t="shared" ref="G278" si="594">+F278*$X$1</f>
        <v>3270</v>
      </c>
      <c r="H278" s="90"/>
      <c r="I278" s="294"/>
      <c r="J278" s="492"/>
      <c r="K278" s="294"/>
      <c r="L278" s="492">
        <f>F278+170</f>
        <v>3440</v>
      </c>
      <c r="M278" s="294">
        <f>+L278*$X$1</f>
        <v>3440</v>
      </c>
      <c r="N278" s="90">
        <f>F278+130</f>
        <v>3400</v>
      </c>
      <c r="O278" s="294">
        <f t="shared" ref="O278:O281" si="595">+N278*$X$1</f>
        <v>3400</v>
      </c>
      <c r="P278" s="90">
        <f>F278+110</f>
        <v>3380</v>
      </c>
      <c r="Q278" s="294">
        <f t="shared" ref="Q278:Q281" si="596">+P278*$X$1</f>
        <v>3380</v>
      </c>
      <c r="R278" s="492">
        <f>F278+100</f>
        <v>3370</v>
      </c>
      <c r="S278" s="294">
        <f t="shared" ref="S278:S281" si="597">+R278*$X$1</f>
        <v>3370</v>
      </c>
      <c r="T278" s="492">
        <f>F278+93</f>
        <v>3363</v>
      </c>
      <c r="U278" s="294">
        <f t="shared" ref="U278:U281" si="598">+T278*$X$1</f>
        <v>3363</v>
      </c>
      <c r="V278" s="492">
        <f>F278+84</f>
        <v>3354</v>
      </c>
      <c r="W278" s="294">
        <f t="shared" ref="W278:W281" si="599">+V278*$X$1</f>
        <v>3354</v>
      </c>
      <c r="X278" s="542"/>
      <c r="Y278" s="543"/>
      <c r="Z278" s="543"/>
      <c r="AA278" s="544"/>
      <c r="AB278" s="197">
        <v>1029</v>
      </c>
      <c r="AC278" s="4"/>
      <c r="AD278" s="4"/>
      <c r="AE278" s="4"/>
      <c r="AF278" s="4"/>
      <c r="AG278" s="4"/>
      <c r="AH278" s="129"/>
      <c r="AI278" s="4"/>
      <c r="AJ278" s="4"/>
      <c r="AK278" s="4"/>
      <c r="AL278" s="4"/>
    </row>
    <row r="279" spans="1:38" s="1" customFormat="1" ht="12.6" customHeight="1" x14ac:dyDescent="0.2">
      <c r="A279" s="19"/>
      <c r="B279" s="693" t="s">
        <v>610</v>
      </c>
      <c r="C279" s="696"/>
      <c r="D279" s="696"/>
      <c r="E279" s="697"/>
      <c r="F279" s="340">
        <v>3270</v>
      </c>
      <c r="G279" s="293">
        <f t="shared" si="574"/>
        <v>3270</v>
      </c>
      <c r="H279" s="72"/>
      <c r="I279" s="293"/>
      <c r="J279" s="637"/>
      <c r="K279" s="293"/>
      <c r="L279" s="637">
        <f>F279+170</f>
        <v>3440</v>
      </c>
      <c r="M279" s="293">
        <f>+L279*$X$1</f>
        <v>3440</v>
      </c>
      <c r="N279" s="72">
        <f>F279+130</f>
        <v>3400</v>
      </c>
      <c r="O279" s="293">
        <f t="shared" si="595"/>
        <v>3400</v>
      </c>
      <c r="P279" s="72">
        <f>F279+110</f>
        <v>3380</v>
      </c>
      <c r="Q279" s="293">
        <f t="shared" si="596"/>
        <v>3380</v>
      </c>
      <c r="R279" s="637">
        <f>F279+100</f>
        <v>3370</v>
      </c>
      <c r="S279" s="293">
        <f t="shared" si="597"/>
        <v>3370</v>
      </c>
      <c r="T279" s="637">
        <f>F279+93</f>
        <v>3363</v>
      </c>
      <c r="U279" s="293">
        <f t="shared" si="598"/>
        <v>3363</v>
      </c>
      <c r="V279" s="637">
        <f>F279+84</f>
        <v>3354</v>
      </c>
      <c r="W279" s="293">
        <f t="shared" si="599"/>
        <v>3354</v>
      </c>
      <c r="X279" s="335"/>
      <c r="Y279" s="333"/>
      <c r="Z279" s="333"/>
      <c r="AA279" s="334"/>
      <c r="AB279" s="197">
        <v>1030</v>
      </c>
      <c r="AC279" s="4"/>
      <c r="AD279" s="4"/>
      <c r="AE279" s="4"/>
      <c r="AF279" s="4"/>
      <c r="AG279" s="4"/>
      <c r="AH279" s="129"/>
      <c r="AI279" s="4"/>
      <c r="AJ279" s="4"/>
      <c r="AK279" s="4"/>
      <c r="AL279" s="4"/>
    </row>
    <row r="280" spans="1:38" s="1" customFormat="1" ht="12.6" customHeight="1" x14ac:dyDescent="0.2">
      <c r="A280" s="19"/>
      <c r="B280" s="690" t="s">
        <v>611</v>
      </c>
      <c r="C280" s="698"/>
      <c r="D280" s="698"/>
      <c r="E280" s="699"/>
      <c r="F280" s="339">
        <v>3270</v>
      </c>
      <c r="G280" s="294">
        <f t="shared" ref="G280:G281" si="600">+F280*$X$1</f>
        <v>3270</v>
      </c>
      <c r="H280" s="90"/>
      <c r="I280" s="294"/>
      <c r="J280" s="492"/>
      <c r="K280" s="294"/>
      <c r="L280" s="492">
        <f>F280+170</f>
        <v>3440</v>
      </c>
      <c r="M280" s="294">
        <f>+L280*$X$1</f>
        <v>3440</v>
      </c>
      <c r="N280" s="90">
        <f>F280+130</f>
        <v>3400</v>
      </c>
      <c r="O280" s="294">
        <f t="shared" si="595"/>
        <v>3400</v>
      </c>
      <c r="P280" s="90">
        <f>F280+110</f>
        <v>3380</v>
      </c>
      <c r="Q280" s="294">
        <f t="shared" si="596"/>
        <v>3380</v>
      </c>
      <c r="R280" s="492">
        <f>F280+100</f>
        <v>3370</v>
      </c>
      <c r="S280" s="294">
        <f t="shared" si="597"/>
        <v>3370</v>
      </c>
      <c r="T280" s="492">
        <f>F280+93</f>
        <v>3363</v>
      </c>
      <c r="U280" s="294">
        <f t="shared" si="598"/>
        <v>3363</v>
      </c>
      <c r="V280" s="492">
        <f>F280+84</f>
        <v>3354</v>
      </c>
      <c r="W280" s="294">
        <f t="shared" si="599"/>
        <v>3354</v>
      </c>
      <c r="X280" s="341"/>
      <c r="Y280" s="342"/>
      <c r="Z280" s="342"/>
      <c r="AA280" s="343"/>
      <c r="AB280" s="197">
        <v>1031</v>
      </c>
      <c r="AC280" s="4"/>
      <c r="AD280" s="4"/>
      <c r="AE280" s="4"/>
      <c r="AF280" s="4"/>
      <c r="AG280" s="4"/>
      <c r="AH280" s="129"/>
      <c r="AI280" s="4"/>
      <c r="AJ280" s="4"/>
      <c r="AK280" s="4"/>
      <c r="AL280" s="4"/>
    </row>
    <row r="281" spans="1:38" s="1" customFormat="1" ht="12.6" customHeight="1" x14ac:dyDescent="0.2">
      <c r="A281" s="19"/>
      <c r="B281" s="693" t="s">
        <v>890</v>
      </c>
      <c r="C281" s="696"/>
      <c r="D281" s="696"/>
      <c r="E281" s="697"/>
      <c r="F281" s="392">
        <f>14.72*X2</f>
        <v>15264.640000000001</v>
      </c>
      <c r="G281" s="293">
        <f t="shared" si="600"/>
        <v>15264.640000000001</v>
      </c>
      <c r="H281" s="72">
        <f t="shared" ref="H281:H302" si="601">F281+480</f>
        <v>15744.640000000001</v>
      </c>
      <c r="I281" s="293">
        <f t="shared" ref="I281" si="602">+H281*$X$1</f>
        <v>15744.640000000001</v>
      </c>
      <c r="J281" s="637">
        <f t="shared" ref="J281:J302" si="603">F281+210</f>
        <v>15474.640000000001</v>
      </c>
      <c r="K281" s="293">
        <f t="shared" ref="K281" si="604">+J281*$X$1</f>
        <v>15474.640000000001</v>
      </c>
      <c r="L281" s="637">
        <f t="shared" ref="L281:L296" si="605">F281+150</f>
        <v>15414.640000000001</v>
      </c>
      <c r="M281" s="293">
        <f t="shared" ref="M281" si="606">+L281*$X$1</f>
        <v>15414.640000000001</v>
      </c>
      <c r="N281" s="637">
        <f t="shared" ref="N281:N296" si="607">F281+120</f>
        <v>15384.640000000001</v>
      </c>
      <c r="O281" s="293">
        <f t="shared" si="595"/>
        <v>15384.640000000001</v>
      </c>
      <c r="P281" s="637">
        <f t="shared" ref="P281:P296" si="608">F281+95</f>
        <v>15359.640000000001</v>
      </c>
      <c r="Q281" s="293">
        <f t="shared" si="596"/>
        <v>15359.640000000001</v>
      </c>
      <c r="R281" s="637">
        <f t="shared" ref="R281:R296" si="609">F281+85</f>
        <v>15349.640000000001</v>
      </c>
      <c r="S281" s="293">
        <f t="shared" si="597"/>
        <v>15349.640000000001</v>
      </c>
      <c r="T281" s="637">
        <f t="shared" ref="T281:T296" si="610">F281+77</f>
        <v>15341.640000000001</v>
      </c>
      <c r="U281" s="293">
        <f t="shared" si="598"/>
        <v>15341.640000000001</v>
      </c>
      <c r="V281" s="637">
        <f t="shared" ref="V281:V296" si="611">F281+68</f>
        <v>15332.640000000001</v>
      </c>
      <c r="W281" s="293">
        <f t="shared" si="599"/>
        <v>15332.640000000001</v>
      </c>
      <c r="X281" s="254"/>
      <c r="Y281" s="255"/>
      <c r="Z281" s="255"/>
      <c r="AA281" s="256"/>
      <c r="AB281" s="197">
        <v>1032</v>
      </c>
      <c r="AC281" s="4"/>
      <c r="AD281" s="4"/>
      <c r="AE281" s="4"/>
      <c r="AF281" s="4"/>
      <c r="AG281" s="4"/>
      <c r="AH281" s="129"/>
      <c r="AI281" s="4"/>
      <c r="AJ281" s="4"/>
      <c r="AK281" s="4"/>
      <c r="AL281" s="4"/>
    </row>
    <row r="282" spans="1:38" s="1" customFormat="1" ht="12.6" customHeight="1" x14ac:dyDescent="0.2">
      <c r="A282" s="19"/>
      <c r="B282" s="690" t="s">
        <v>487</v>
      </c>
      <c r="C282" s="698"/>
      <c r="D282" s="698"/>
      <c r="E282" s="699"/>
      <c r="F282" s="393">
        <f>20.46*X2</f>
        <v>21217.02</v>
      </c>
      <c r="G282" s="294">
        <f t="shared" ref="G282" si="612">+F282*$X$1</f>
        <v>21217.02</v>
      </c>
      <c r="H282" s="90">
        <f t="shared" si="601"/>
        <v>21697.02</v>
      </c>
      <c r="I282" s="294">
        <f t="shared" ref="I282:I296" si="613">+H282*$X$1</f>
        <v>21697.02</v>
      </c>
      <c r="J282" s="492">
        <f t="shared" si="603"/>
        <v>21427.02</v>
      </c>
      <c r="K282" s="294">
        <f t="shared" ref="K282:K296" si="614">+J282*$X$1</f>
        <v>21427.02</v>
      </c>
      <c r="L282" s="492">
        <f t="shared" si="605"/>
        <v>21367.02</v>
      </c>
      <c r="M282" s="294">
        <f t="shared" ref="M282:M296" si="615">+L282*$X$1</f>
        <v>21367.02</v>
      </c>
      <c r="N282" s="492">
        <f t="shared" si="607"/>
        <v>21337.02</v>
      </c>
      <c r="O282" s="294">
        <f t="shared" ref="O282:O296" si="616">+N282*$X$1</f>
        <v>21337.02</v>
      </c>
      <c r="P282" s="492">
        <f t="shared" si="608"/>
        <v>21312.02</v>
      </c>
      <c r="Q282" s="294">
        <f t="shared" ref="Q282:Q296" si="617">+P282*$X$1</f>
        <v>21312.02</v>
      </c>
      <c r="R282" s="492">
        <f t="shared" si="609"/>
        <v>21302.02</v>
      </c>
      <c r="S282" s="294">
        <f t="shared" ref="S282:S296" si="618">+R282*$X$1</f>
        <v>21302.02</v>
      </c>
      <c r="T282" s="492">
        <f t="shared" si="610"/>
        <v>21294.02</v>
      </c>
      <c r="U282" s="294">
        <f t="shared" ref="U282:U296" si="619">+T282*$X$1</f>
        <v>21294.02</v>
      </c>
      <c r="V282" s="492">
        <f t="shared" si="611"/>
        <v>21285.02</v>
      </c>
      <c r="W282" s="294">
        <f t="shared" ref="W282:W296" si="620">+V282*$X$1</f>
        <v>21285.02</v>
      </c>
      <c r="X282" s="247"/>
      <c r="Y282" s="249"/>
      <c r="Z282" s="249"/>
      <c r="AA282" s="248"/>
      <c r="AB282" s="197">
        <v>1034</v>
      </c>
      <c r="AC282" s="4"/>
      <c r="AD282" s="4"/>
      <c r="AE282" s="4"/>
      <c r="AF282" s="4"/>
      <c r="AG282" s="4"/>
      <c r="AH282" s="129"/>
      <c r="AI282" s="4"/>
      <c r="AJ282" s="4"/>
      <c r="AK282" s="4"/>
      <c r="AL282" s="4"/>
    </row>
    <row r="283" spans="1:38" ht="12.6" customHeight="1" x14ac:dyDescent="0.2">
      <c r="A283" s="18"/>
      <c r="B283" s="683" t="s">
        <v>449</v>
      </c>
      <c r="C283" s="712"/>
      <c r="D283" s="712"/>
      <c r="E283" s="712"/>
      <c r="F283" s="340">
        <v>13545</v>
      </c>
      <c r="G283" s="293">
        <f>+F283*$X$1</f>
        <v>13545</v>
      </c>
      <c r="H283" s="72">
        <f t="shared" si="601"/>
        <v>14025</v>
      </c>
      <c r="I283" s="293">
        <f t="shared" si="613"/>
        <v>14025</v>
      </c>
      <c r="J283" s="644">
        <f t="shared" si="603"/>
        <v>13755</v>
      </c>
      <c r="K283" s="293">
        <f t="shared" si="614"/>
        <v>13755</v>
      </c>
      <c r="L283" s="644">
        <f t="shared" si="605"/>
        <v>13695</v>
      </c>
      <c r="M283" s="293">
        <f t="shared" si="615"/>
        <v>13695</v>
      </c>
      <c r="N283" s="644">
        <f t="shared" si="607"/>
        <v>13665</v>
      </c>
      <c r="O283" s="293">
        <f t="shared" si="616"/>
        <v>13665</v>
      </c>
      <c r="P283" s="644">
        <f t="shared" si="608"/>
        <v>13640</v>
      </c>
      <c r="Q283" s="293">
        <f t="shared" si="617"/>
        <v>13640</v>
      </c>
      <c r="R283" s="644">
        <f t="shared" si="609"/>
        <v>13630</v>
      </c>
      <c r="S283" s="293">
        <f t="shared" si="618"/>
        <v>13630</v>
      </c>
      <c r="T283" s="644">
        <f t="shared" si="610"/>
        <v>13622</v>
      </c>
      <c r="U283" s="293">
        <f t="shared" si="619"/>
        <v>13622</v>
      </c>
      <c r="V283" s="644">
        <f t="shared" si="611"/>
        <v>13613</v>
      </c>
      <c r="W283" s="293">
        <f t="shared" si="620"/>
        <v>13613</v>
      </c>
      <c r="X283" s="685"/>
      <c r="Y283" s="700"/>
      <c r="Z283" s="700"/>
      <c r="AA283" s="687"/>
      <c r="AB283" s="197">
        <v>1040</v>
      </c>
      <c r="AC283" s="65"/>
    </row>
    <row r="284" spans="1:38" ht="12.6" customHeight="1" x14ac:dyDescent="0.2">
      <c r="A284" s="18"/>
      <c r="B284" s="704" t="s">
        <v>795</v>
      </c>
      <c r="C284" s="705"/>
      <c r="D284" s="705"/>
      <c r="E284" s="705"/>
      <c r="F284" s="393">
        <f>21.3*X2</f>
        <v>22088.100000000002</v>
      </c>
      <c r="G284" s="294">
        <f>+F284*$X$1</f>
        <v>22088.100000000002</v>
      </c>
      <c r="H284" s="90">
        <f t="shared" si="601"/>
        <v>22568.100000000002</v>
      </c>
      <c r="I284" s="294">
        <f t="shared" si="613"/>
        <v>22568.100000000002</v>
      </c>
      <c r="J284" s="492">
        <f t="shared" si="603"/>
        <v>22298.100000000002</v>
      </c>
      <c r="K284" s="294">
        <f t="shared" si="614"/>
        <v>22298.100000000002</v>
      </c>
      <c r="L284" s="492">
        <f t="shared" si="605"/>
        <v>22238.100000000002</v>
      </c>
      <c r="M284" s="294">
        <f t="shared" si="615"/>
        <v>22238.100000000002</v>
      </c>
      <c r="N284" s="492">
        <f t="shared" si="607"/>
        <v>22208.100000000002</v>
      </c>
      <c r="O284" s="294">
        <f t="shared" si="616"/>
        <v>22208.100000000002</v>
      </c>
      <c r="P284" s="492">
        <f t="shared" si="608"/>
        <v>22183.100000000002</v>
      </c>
      <c r="Q284" s="294">
        <f t="shared" si="617"/>
        <v>22183.100000000002</v>
      </c>
      <c r="R284" s="492">
        <f t="shared" si="609"/>
        <v>22173.100000000002</v>
      </c>
      <c r="S284" s="294">
        <f t="shared" si="618"/>
        <v>22173.100000000002</v>
      </c>
      <c r="T284" s="492">
        <f t="shared" si="610"/>
        <v>22165.100000000002</v>
      </c>
      <c r="U284" s="294">
        <f t="shared" si="619"/>
        <v>22165.100000000002</v>
      </c>
      <c r="V284" s="492">
        <f t="shared" si="611"/>
        <v>22156.100000000002</v>
      </c>
      <c r="W284" s="294">
        <f t="shared" si="620"/>
        <v>22156.100000000002</v>
      </c>
      <c r="X284" s="685"/>
      <c r="Y284" s="700"/>
      <c r="Z284" s="700"/>
      <c r="AA284" s="687"/>
      <c r="AB284" s="197">
        <v>1041</v>
      </c>
      <c r="AC284" s="65"/>
    </row>
    <row r="285" spans="1:38" ht="12.6" customHeight="1" x14ac:dyDescent="0.2">
      <c r="A285" s="18"/>
      <c r="B285" s="683" t="s">
        <v>794</v>
      </c>
      <c r="C285" s="712"/>
      <c r="D285" s="712"/>
      <c r="E285" s="712"/>
      <c r="F285" s="392">
        <f>14.8*X2</f>
        <v>15347.6</v>
      </c>
      <c r="G285" s="293">
        <f t="shared" ref="G285" si="621">+F285*$X$1</f>
        <v>15347.6</v>
      </c>
      <c r="H285" s="72">
        <f t="shared" si="601"/>
        <v>15827.6</v>
      </c>
      <c r="I285" s="293">
        <f t="shared" si="613"/>
        <v>15827.6</v>
      </c>
      <c r="J285" s="637">
        <f t="shared" si="603"/>
        <v>15557.6</v>
      </c>
      <c r="K285" s="293">
        <f t="shared" si="614"/>
        <v>15557.6</v>
      </c>
      <c r="L285" s="637">
        <f t="shared" si="605"/>
        <v>15497.6</v>
      </c>
      <c r="M285" s="293">
        <f t="shared" si="615"/>
        <v>15497.6</v>
      </c>
      <c r="N285" s="637">
        <f t="shared" si="607"/>
        <v>15467.6</v>
      </c>
      <c r="O285" s="293">
        <f t="shared" si="616"/>
        <v>15467.6</v>
      </c>
      <c r="P285" s="637">
        <f t="shared" si="608"/>
        <v>15442.6</v>
      </c>
      <c r="Q285" s="293">
        <f t="shared" si="617"/>
        <v>15442.6</v>
      </c>
      <c r="R285" s="637">
        <f t="shared" si="609"/>
        <v>15432.6</v>
      </c>
      <c r="S285" s="293">
        <f t="shared" si="618"/>
        <v>15432.6</v>
      </c>
      <c r="T285" s="637">
        <f t="shared" si="610"/>
        <v>15424.6</v>
      </c>
      <c r="U285" s="293">
        <f t="shared" si="619"/>
        <v>15424.6</v>
      </c>
      <c r="V285" s="637">
        <f t="shared" si="611"/>
        <v>15415.6</v>
      </c>
      <c r="W285" s="293">
        <f t="shared" si="620"/>
        <v>15415.6</v>
      </c>
      <c r="X285" s="685"/>
      <c r="Y285" s="700"/>
      <c r="Z285" s="700"/>
      <c r="AA285" s="687"/>
      <c r="AB285" s="197">
        <v>1042</v>
      </c>
    </row>
    <row r="286" spans="1:38" ht="12.6" customHeight="1" x14ac:dyDescent="0.2">
      <c r="A286" s="18"/>
      <c r="B286" s="704" t="s">
        <v>537</v>
      </c>
      <c r="C286" s="705"/>
      <c r="D286" s="705"/>
      <c r="E286" s="705"/>
      <c r="F286" s="339">
        <v>19526</v>
      </c>
      <c r="G286" s="294">
        <f t="shared" ref="G286:G293" si="622">+F286*$X$1</f>
        <v>19526</v>
      </c>
      <c r="H286" s="90">
        <f t="shared" si="601"/>
        <v>20006</v>
      </c>
      <c r="I286" s="294">
        <f t="shared" si="613"/>
        <v>20006</v>
      </c>
      <c r="J286" s="492">
        <f t="shared" si="603"/>
        <v>19736</v>
      </c>
      <c r="K286" s="294">
        <f t="shared" si="614"/>
        <v>19736</v>
      </c>
      <c r="L286" s="492">
        <f t="shared" si="605"/>
        <v>19676</v>
      </c>
      <c r="M286" s="294">
        <f t="shared" si="615"/>
        <v>19676</v>
      </c>
      <c r="N286" s="492">
        <f t="shared" si="607"/>
        <v>19646</v>
      </c>
      <c r="O286" s="294">
        <f t="shared" si="616"/>
        <v>19646</v>
      </c>
      <c r="P286" s="492">
        <f t="shared" si="608"/>
        <v>19621</v>
      </c>
      <c r="Q286" s="294">
        <f t="shared" si="617"/>
        <v>19621</v>
      </c>
      <c r="R286" s="492">
        <f t="shared" si="609"/>
        <v>19611</v>
      </c>
      <c r="S286" s="294">
        <f t="shared" si="618"/>
        <v>19611</v>
      </c>
      <c r="T286" s="492">
        <f t="shared" si="610"/>
        <v>19603</v>
      </c>
      <c r="U286" s="294">
        <f t="shared" si="619"/>
        <v>19603</v>
      </c>
      <c r="V286" s="492">
        <f t="shared" si="611"/>
        <v>19594</v>
      </c>
      <c r="W286" s="294">
        <f t="shared" si="620"/>
        <v>19594</v>
      </c>
      <c r="X286" s="685"/>
      <c r="Y286" s="700"/>
      <c r="Z286" s="700"/>
      <c r="AA286" s="687"/>
      <c r="AB286" s="197">
        <v>1043</v>
      </c>
      <c r="AC286" s="65"/>
    </row>
    <row r="287" spans="1:38" ht="12.6" customHeight="1" x14ac:dyDescent="0.2">
      <c r="A287" s="18"/>
      <c r="B287" s="683" t="s">
        <v>538</v>
      </c>
      <c r="C287" s="712"/>
      <c r="D287" s="712"/>
      <c r="E287" s="712"/>
      <c r="F287" s="340">
        <v>22829</v>
      </c>
      <c r="G287" s="293">
        <f t="shared" si="622"/>
        <v>22829</v>
      </c>
      <c r="H287" s="72">
        <f t="shared" si="601"/>
        <v>23309</v>
      </c>
      <c r="I287" s="293">
        <f t="shared" si="613"/>
        <v>23309</v>
      </c>
      <c r="J287" s="637">
        <f t="shared" si="603"/>
        <v>23039</v>
      </c>
      <c r="K287" s="293">
        <f t="shared" si="614"/>
        <v>23039</v>
      </c>
      <c r="L287" s="637">
        <f t="shared" si="605"/>
        <v>22979</v>
      </c>
      <c r="M287" s="293">
        <f t="shared" si="615"/>
        <v>22979</v>
      </c>
      <c r="N287" s="637">
        <f t="shared" si="607"/>
        <v>22949</v>
      </c>
      <c r="O287" s="293">
        <f t="shared" si="616"/>
        <v>22949</v>
      </c>
      <c r="P287" s="637">
        <f t="shared" si="608"/>
        <v>22924</v>
      </c>
      <c r="Q287" s="293">
        <f t="shared" si="617"/>
        <v>22924</v>
      </c>
      <c r="R287" s="637">
        <f t="shared" si="609"/>
        <v>22914</v>
      </c>
      <c r="S287" s="293">
        <f t="shared" si="618"/>
        <v>22914</v>
      </c>
      <c r="T287" s="637">
        <f t="shared" si="610"/>
        <v>22906</v>
      </c>
      <c r="U287" s="293">
        <f t="shared" si="619"/>
        <v>22906</v>
      </c>
      <c r="V287" s="637">
        <f t="shared" si="611"/>
        <v>22897</v>
      </c>
      <c r="W287" s="293">
        <f t="shared" si="620"/>
        <v>22897</v>
      </c>
      <c r="X287" s="685"/>
      <c r="Y287" s="700"/>
      <c r="Z287" s="700"/>
      <c r="AA287" s="687"/>
      <c r="AB287" s="197">
        <v>1044</v>
      </c>
      <c r="AC287" s="65"/>
    </row>
    <row r="288" spans="1:38" ht="12.6" customHeight="1" x14ac:dyDescent="0.2">
      <c r="A288" s="18"/>
      <c r="B288" s="704" t="s">
        <v>833</v>
      </c>
      <c r="C288" s="705"/>
      <c r="D288" s="705"/>
      <c r="E288" s="705"/>
      <c r="F288" s="339">
        <v>24040</v>
      </c>
      <c r="G288" s="294">
        <f>+F288*$X$1</f>
        <v>24040</v>
      </c>
      <c r="H288" s="90">
        <f t="shared" si="601"/>
        <v>24520</v>
      </c>
      <c r="I288" s="294">
        <f t="shared" si="613"/>
        <v>24520</v>
      </c>
      <c r="J288" s="492">
        <f t="shared" si="603"/>
        <v>24250</v>
      </c>
      <c r="K288" s="294">
        <f t="shared" si="614"/>
        <v>24250</v>
      </c>
      <c r="L288" s="492">
        <f t="shared" si="605"/>
        <v>24190</v>
      </c>
      <c r="M288" s="294">
        <f t="shared" si="615"/>
        <v>24190</v>
      </c>
      <c r="N288" s="492">
        <f t="shared" si="607"/>
        <v>24160</v>
      </c>
      <c r="O288" s="294">
        <f t="shared" si="616"/>
        <v>24160</v>
      </c>
      <c r="P288" s="492">
        <f t="shared" si="608"/>
        <v>24135</v>
      </c>
      <c r="Q288" s="294">
        <f t="shared" si="617"/>
        <v>24135</v>
      </c>
      <c r="R288" s="492">
        <f t="shared" si="609"/>
        <v>24125</v>
      </c>
      <c r="S288" s="294">
        <f t="shared" si="618"/>
        <v>24125</v>
      </c>
      <c r="T288" s="492">
        <f t="shared" si="610"/>
        <v>24117</v>
      </c>
      <c r="U288" s="294">
        <f t="shared" si="619"/>
        <v>24117</v>
      </c>
      <c r="V288" s="492">
        <f t="shared" si="611"/>
        <v>24108</v>
      </c>
      <c r="W288" s="294">
        <f t="shared" si="620"/>
        <v>24108</v>
      </c>
      <c r="X288" s="700"/>
      <c r="Y288" s="700"/>
      <c r="Z288" s="700"/>
      <c r="AA288" s="687"/>
      <c r="AB288" s="197">
        <v>1045</v>
      </c>
      <c r="AC288" s="65"/>
    </row>
    <row r="289" spans="1:29" ht="12.6" customHeight="1" x14ac:dyDescent="0.2">
      <c r="A289" s="18"/>
      <c r="B289" s="683" t="s">
        <v>570</v>
      </c>
      <c r="C289" s="712"/>
      <c r="D289" s="712"/>
      <c r="E289" s="712"/>
      <c r="F289" s="340">
        <v>12428</v>
      </c>
      <c r="G289" s="293">
        <f t="shared" si="622"/>
        <v>12428</v>
      </c>
      <c r="H289" s="72">
        <f t="shared" si="601"/>
        <v>12908</v>
      </c>
      <c r="I289" s="293">
        <f t="shared" si="613"/>
        <v>12908</v>
      </c>
      <c r="J289" s="637">
        <f t="shared" si="603"/>
        <v>12638</v>
      </c>
      <c r="K289" s="293">
        <f t="shared" si="614"/>
        <v>12638</v>
      </c>
      <c r="L289" s="637">
        <f t="shared" si="605"/>
        <v>12578</v>
      </c>
      <c r="M289" s="293">
        <f t="shared" si="615"/>
        <v>12578</v>
      </c>
      <c r="N289" s="637">
        <f t="shared" si="607"/>
        <v>12548</v>
      </c>
      <c r="O289" s="293">
        <f t="shared" si="616"/>
        <v>12548</v>
      </c>
      <c r="P289" s="637">
        <f t="shared" si="608"/>
        <v>12523</v>
      </c>
      <c r="Q289" s="293">
        <f t="shared" si="617"/>
        <v>12523</v>
      </c>
      <c r="R289" s="637">
        <f t="shared" si="609"/>
        <v>12513</v>
      </c>
      <c r="S289" s="293">
        <f t="shared" si="618"/>
        <v>12513</v>
      </c>
      <c r="T289" s="637">
        <f t="shared" si="610"/>
        <v>12505</v>
      </c>
      <c r="U289" s="293">
        <f t="shared" si="619"/>
        <v>12505</v>
      </c>
      <c r="V289" s="637">
        <f t="shared" si="611"/>
        <v>12496</v>
      </c>
      <c r="W289" s="293">
        <f t="shared" si="620"/>
        <v>12496</v>
      </c>
      <c r="X289" s="685"/>
      <c r="Y289" s="700"/>
      <c r="Z289" s="700"/>
      <c r="AA289" s="687"/>
      <c r="AB289" s="197">
        <v>1048</v>
      </c>
      <c r="AC289" s="65"/>
    </row>
    <row r="290" spans="1:29" ht="12.6" customHeight="1" x14ac:dyDescent="0.2">
      <c r="A290" s="18"/>
      <c r="B290" s="704" t="s">
        <v>569</v>
      </c>
      <c r="C290" s="705"/>
      <c r="D290" s="705"/>
      <c r="E290" s="705"/>
      <c r="F290" s="339">
        <v>9727</v>
      </c>
      <c r="G290" s="294">
        <f t="shared" si="622"/>
        <v>9727</v>
      </c>
      <c r="H290" s="90">
        <f t="shared" si="601"/>
        <v>10207</v>
      </c>
      <c r="I290" s="294">
        <f t="shared" si="613"/>
        <v>10207</v>
      </c>
      <c r="J290" s="492">
        <f t="shared" si="603"/>
        <v>9937</v>
      </c>
      <c r="K290" s="294">
        <f t="shared" si="614"/>
        <v>9937</v>
      </c>
      <c r="L290" s="492">
        <f t="shared" si="605"/>
        <v>9877</v>
      </c>
      <c r="M290" s="294">
        <f t="shared" si="615"/>
        <v>9877</v>
      </c>
      <c r="N290" s="492">
        <f t="shared" si="607"/>
        <v>9847</v>
      </c>
      <c r="O290" s="294">
        <f t="shared" si="616"/>
        <v>9847</v>
      </c>
      <c r="P290" s="492">
        <f t="shared" si="608"/>
        <v>9822</v>
      </c>
      <c r="Q290" s="294">
        <f t="shared" si="617"/>
        <v>9822</v>
      </c>
      <c r="R290" s="492">
        <f t="shared" si="609"/>
        <v>9812</v>
      </c>
      <c r="S290" s="294">
        <f t="shared" si="618"/>
        <v>9812</v>
      </c>
      <c r="T290" s="492">
        <f t="shared" si="610"/>
        <v>9804</v>
      </c>
      <c r="U290" s="294">
        <f t="shared" si="619"/>
        <v>9804</v>
      </c>
      <c r="V290" s="492">
        <f t="shared" si="611"/>
        <v>9795</v>
      </c>
      <c r="W290" s="294">
        <f t="shared" si="620"/>
        <v>9795</v>
      </c>
      <c r="X290" s="685"/>
      <c r="Y290" s="700"/>
      <c r="Z290" s="700"/>
      <c r="AA290" s="687"/>
      <c r="AB290" s="197">
        <v>1049</v>
      </c>
      <c r="AC290" s="65"/>
    </row>
    <row r="291" spans="1:29" ht="12.6" customHeight="1" x14ac:dyDescent="0.2">
      <c r="A291" s="18"/>
      <c r="B291" s="683" t="s">
        <v>571</v>
      </c>
      <c r="C291" s="712"/>
      <c r="D291" s="712"/>
      <c r="E291" s="712"/>
      <c r="F291" s="340">
        <v>11200</v>
      </c>
      <c r="G291" s="293">
        <f t="shared" si="622"/>
        <v>11200</v>
      </c>
      <c r="H291" s="72">
        <f t="shared" si="601"/>
        <v>11680</v>
      </c>
      <c r="I291" s="293">
        <f t="shared" si="613"/>
        <v>11680</v>
      </c>
      <c r="J291" s="637">
        <f t="shared" si="603"/>
        <v>11410</v>
      </c>
      <c r="K291" s="293">
        <f t="shared" si="614"/>
        <v>11410</v>
      </c>
      <c r="L291" s="637">
        <f t="shared" si="605"/>
        <v>11350</v>
      </c>
      <c r="M291" s="293">
        <f t="shared" si="615"/>
        <v>11350</v>
      </c>
      <c r="N291" s="637">
        <f t="shared" si="607"/>
        <v>11320</v>
      </c>
      <c r="O291" s="293">
        <f t="shared" si="616"/>
        <v>11320</v>
      </c>
      <c r="P291" s="637">
        <f t="shared" si="608"/>
        <v>11295</v>
      </c>
      <c r="Q291" s="293">
        <f t="shared" si="617"/>
        <v>11295</v>
      </c>
      <c r="R291" s="637">
        <f t="shared" si="609"/>
        <v>11285</v>
      </c>
      <c r="S291" s="293">
        <f t="shared" si="618"/>
        <v>11285</v>
      </c>
      <c r="T291" s="637">
        <f t="shared" si="610"/>
        <v>11277</v>
      </c>
      <c r="U291" s="293">
        <f t="shared" si="619"/>
        <v>11277</v>
      </c>
      <c r="V291" s="637">
        <f t="shared" si="611"/>
        <v>11268</v>
      </c>
      <c r="W291" s="293">
        <f t="shared" si="620"/>
        <v>11268</v>
      </c>
      <c r="X291" s="685"/>
      <c r="Y291" s="700"/>
      <c r="Z291" s="700"/>
      <c r="AA291" s="687"/>
      <c r="AB291" s="197">
        <v>1050</v>
      </c>
      <c r="AC291" s="65"/>
    </row>
    <row r="292" spans="1:29" ht="12.6" customHeight="1" x14ac:dyDescent="0.2">
      <c r="A292" s="18"/>
      <c r="B292" s="690" t="s">
        <v>834</v>
      </c>
      <c r="C292" s="935"/>
      <c r="D292" s="935"/>
      <c r="E292" s="936"/>
      <c r="F292" s="393">
        <f>12.3*X2</f>
        <v>12755.1</v>
      </c>
      <c r="G292" s="294">
        <f t="shared" ref="G292" si="623">+F292*$X$1</f>
        <v>12755.1</v>
      </c>
      <c r="H292" s="90">
        <f t="shared" si="601"/>
        <v>13235.1</v>
      </c>
      <c r="I292" s="294">
        <f t="shared" si="613"/>
        <v>13235.1</v>
      </c>
      <c r="J292" s="492">
        <f t="shared" si="603"/>
        <v>12965.1</v>
      </c>
      <c r="K292" s="294">
        <f t="shared" si="614"/>
        <v>12965.1</v>
      </c>
      <c r="L292" s="492">
        <f t="shared" si="605"/>
        <v>12905.1</v>
      </c>
      <c r="M292" s="294">
        <f t="shared" si="615"/>
        <v>12905.1</v>
      </c>
      <c r="N292" s="492">
        <f t="shared" si="607"/>
        <v>12875.1</v>
      </c>
      <c r="O292" s="294">
        <f t="shared" si="616"/>
        <v>12875.1</v>
      </c>
      <c r="P292" s="492">
        <f t="shared" si="608"/>
        <v>12850.1</v>
      </c>
      <c r="Q292" s="294">
        <f t="shared" si="617"/>
        <v>12850.1</v>
      </c>
      <c r="R292" s="492">
        <f t="shared" si="609"/>
        <v>12840.1</v>
      </c>
      <c r="S292" s="294">
        <f t="shared" si="618"/>
        <v>12840.1</v>
      </c>
      <c r="T292" s="492">
        <f t="shared" si="610"/>
        <v>12832.1</v>
      </c>
      <c r="U292" s="294">
        <f t="shared" si="619"/>
        <v>12832.1</v>
      </c>
      <c r="V292" s="492">
        <f t="shared" si="611"/>
        <v>12823.1</v>
      </c>
      <c r="W292" s="294">
        <f t="shared" si="620"/>
        <v>12823.1</v>
      </c>
      <c r="X292" s="685"/>
      <c r="Y292" s="700"/>
      <c r="Z292" s="700"/>
      <c r="AA292" s="687"/>
      <c r="AB292" s="197">
        <v>1052</v>
      </c>
      <c r="AC292" s="65"/>
    </row>
    <row r="293" spans="1:29" ht="12.6" customHeight="1" x14ac:dyDescent="0.2">
      <c r="A293" s="18"/>
      <c r="B293" s="693" t="s">
        <v>479</v>
      </c>
      <c r="C293" s="714"/>
      <c r="D293" s="714"/>
      <c r="E293" s="715"/>
      <c r="F293" s="392">
        <f>31.583*X2</f>
        <v>32751.571</v>
      </c>
      <c r="G293" s="293">
        <f t="shared" si="622"/>
        <v>32751.571</v>
      </c>
      <c r="H293" s="72">
        <f t="shared" si="601"/>
        <v>33231.570999999996</v>
      </c>
      <c r="I293" s="293">
        <f t="shared" si="613"/>
        <v>33231.570999999996</v>
      </c>
      <c r="J293" s="637">
        <f t="shared" si="603"/>
        <v>32961.570999999996</v>
      </c>
      <c r="K293" s="293">
        <f t="shared" si="614"/>
        <v>32961.570999999996</v>
      </c>
      <c r="L293" s="637">
        <f t="shared" si="605"/>
        <v>32901.570999999996</v>
      </c>
      <c r="M293" s="293">
        <f t="shared" si="615"/>
        <v>32901.570999999996</v>
      </c>
      <c r="N293" s="637">
        <f t="shared" si="607"/>
        <v>32871.570999999996</v>
      </c>
      <c r="O293" s="293">
        <f t="shared" si="616"/>
        <v>32871.570999999996</v>
      </c>
      <c r="P293" s="637">
        <f t="shared" si="608"/>
        <v>32846.570999999996</v>
      </c>
      <c r="Q293" s="293">
        <f t="shared" si="617"/>
        <v>32846.570999999996</v>
      </c>
      <c r="R293" s="637">
        <f t="shared" si="609"/>
        <v>32836.570999999996</v>
      </c>
      <c r="S293" s="293">
        <f t="shared" si="618"/>
        <v>32836.570999999996</v>
      </c>
      <c r="T293" s="637">
        <f t="shared" si="610"/>
        <v>32828.570999999996</v>
      </c>
      <c r="U293" s="293">
        <f t="shared" si="619"/>
        <v>32828.570999999996</v>
      </c>
      <c r="V293" s="637">
        <f t="shared" si="611"/>
        <v>32819.570999999996</v>
      </c>
      <c r="W293" s="293">
        <f t="shared" si="620"/>
        <v>32819.570999999996</v>
      </c>
      <c r="X293" s="685"/>
      <c r="Y293" s="700"/>
      <c r="Z293" s="700"/>
      <c r="AA293" s="687"/>
      <c r="AB293" s="197">
        <v>1053</v>
      </c>
      <c r="AC293" s="65"/>
    </row>
    <row r="294" spans="1:29" ht="12.6" customHeight="1" x14ac:dyDescent="0.2">
      <c r="A294" s="18"/>
      <c r="B294" s="690" t="s">
        <v>896</v>
      </c>
      <c r="C294" s="935"/>
      <c r="D294" s="935"/>
      <c r="E294" s="936"/>
      <c r="F294" s="393">
        <f>10.57*X2</f>
        <v>10961.09</v>
      </c>
      <c r="G294" s="294">
        <f t="shared" ref="G294" si="624">+F294*$X$1</f>
        <v>10961.09</v>
      </c>
      <c r="H294" s="90">
        <f t="shared" si="601"/>
        <v>11441.09</v>
      </c>
      <c r="I294" s="294">
        <f t="shared" si="613"/>
        <v>11441.09</v>
      </c>
      <c r="J294" s="492">
        <f t="shared" si="603"/>
        <v>11171.09</v>
      </c>
      <c r="K294" s="294">
        <f t="shared" si="614"/>
        <v>11171.09</v>
      </c>
      <c r="L294" s="492">
        <f t="shared" si="605"/>
        <v>11111.09</v>
      </c>
      <c r="M294" s="294">
        <f t="shared" si="615"/>
        <v>11111.09</v>
      </c>
      <c r="N294" s="492">
        <f t="shared" si="607"/>
        <v>11081.09</v>
      </c>
      <c r="O294" s="294">
        <f t="shared" si="616"/>
        <v>11081.09</v>
      </c>
      <c r="P294" s="492">
        <f t="shared" si="608"/>
        <v>11056.09</v>
      </c>
      <c r="Q294" s="294">
        <f t="shared" si="617"/>
        <v>11056.09</v>
      </c>
      <c r="R294" s="492">
        <f t="shared" si="609"/>
        <v>11046.09</v>
      </c>
      <c r="S294" s="294">
        <f t="shared" si="618"/>
        <v>11046.09</v>
      </c>
      <c r="T294" s="492">
        <f t="shared" si="610"/>
        <v>11038.09</v>
      </c>
      <c r="U294" s="294">
        <f t="shared" si="619"/>
        <v>11038.09</v>
      </c>
      <c r="V294" s="492">
        <f t="shared" si="611"/>
        <v>11029.09</v>
      </c>
      <c r="W294" s="294">
        <f t="shared" si="620"/>
        <v>11029.09</v>
      </c>
      <c r="X294" s="685"/>
      <c r="Y294" s="700"/>
      <c r="Z294" s="700"/>
      <c r="AA294" s="687"/>
      <c r="AB294" s="197">
        <v>1054</v>
      </c>
      <c r="AC294" s="65"/>
    </row>
    <row r="295" spans="1:29" ht="12.6" customHeight="1" x14ac:dyDescent="0.2">
      <c r="A295" s="18"/>
      <c r="B295" s="683" t="s">
        <v>623</v>
      </c>
      <c r="C295" s="712"/>
      <c r="D295" s="712"/>
      <c r="E295" s="712"/>
      <c r="F295" s="340">
        <v>19235</v>
      </c>
      <c r="G295" s="293">
        <f>+F295*$X$1</f>
        <v>19235</v>
      </c>
      <c r="H295" s="72">
        <f t="shared" si="601"/>
        <v>19715</v>
      </c>
      <c r="I295" s="293">
        <f t="shared" si="613"/>
        <v>19715</v>
      </c>
      <c r="J295" s="637">
        <f t="shared" si="603"/>
        <v>19445</v>
      </c>
      <c r="K295" s="293">
        <f t="shared" si="614"/>
        <v>19445</v>
      </c>
      <c r="L295" s="637">
        <f t="shared" si="605"/>
        <v>19385</v>
      </c>
      <c r="M295" s="293">
        <f t="shared" si="615"/>
        <v>19385</v>
      </c>
      <c r="N295" s="637">
        <f t="shared" si="607"/>
        <v>19355</v>
      </c>
      <c r="O295" s="293">
        <f t="shared" si="616"/>
        <v>19355</v>
      </c>
      <c r="P295" s="637">
        <f t="shared" si="608"/>
        <v>19330</v>
      </c>
      <c r="Q295" s="293">
        <f t="shared" si="617"/>
        <v>19330</v>
      </c>
      <c r="R295" s="637">
        <f t="shared" si="609"/>
        <v>19320</v>
      </c>
      <c r="S295" s="293">
        <f t="shared" si="618"/>
        <v>19320</v>
      </c>
      <c r="T295" s="637">
        <f t="shared" si="610"/>
        <v>19312</v>
      </c>
      <c r="U295" s="293">
        <f t="shared" si="619"/>
        <v>19312</v>
      </c>
      <c r="V295" s="637">
        <f t="shared" si="611"/>
        <v>19303</v>
      </c>
      <c r="W295" s="293">
        <f t="shared" si="620"/>
        <v>19303</v>
      </c>
      <c r="X295" s="685"/>
      <c r="Y295" s="700"/>
      <c r="Z295" s="700"/>
      <c r="AA295" s="687"/>
      <c r="AB295" s="197">
        <v>1057</v>
      </c>
    </row>
    <row r="296" spans="1:29" ht="12.6" customHeight="1" x14ac:dyDescent="0.2">
      <c r="A296" s="18"/>
      <c r="B296" s="704" t="s">
        <v>447</v>
      </c>
      <c r="C296" s="705"/>
      <c r="D296" s="705"/>
      <c r="E296" s="705"/>
      <c r="F296" s="396">
        <f>13.73*X2</f>
        <v>14238.01</v>
      </c>
      <c r="G296" s="328">
        <f t="shared" ref="G296" si="625">+F296*$X$1</f>
        <v>14238.01</v>
      </c>
      <c r="H296" s="90">
        <f t="shared" si="601"/>
        <v>14718.01</v>
      </c>
      <c r="I296" s="294">
        <f t="shared" si="613"/>
        <v>14718.01</v>
      </c>
      <c r="J296" s="492">
        <f t="shared" si="603"/>
        <v>14448.01</v>
      </c>
      <c r="K296" s="294">
        <f t="shared" si="614"/>
        <v>14448.01</v>
      </c>
      <c r="L296" s="492">
        <f t="shared" si="605"/>
        <v>14388.01</v>
      </c>
      <c r="M296" s="294">
        <f t="shared" si="615"/>
        <v>14388.01</v>
      </c>
      <c r="N296" s="492">
        <f t="shared" si="607"/>
        <v>14358.01</v>
      </c>
      <c r="O296" s="294">
        <f t="shared" si="616"/>
        <v>14358.01</v>
      </c>
      <c r="P296" s="492">
        <f t="shared" si="608"/>
        <v>14333.01</v>
      </c>
      <c r="Q296" s="294">
        <f t="shared" si="617"/>
        <v>14333.01</v>
      </c>
      <c r="R296" s="492">
        <f t="shared" si="609"/>
        <v>14323.01</v>
      </c>
      <c r="S296" s="294">
        <f t="shared" si="618"/>
        <v>14323.01</v>
      </c>
      <c r="T296" s="492">
        <f t="shared" si="610"/>
        <v>14315.01</v>
      </c>
      <c r="U296" s="294">
        <f t="shared" si="619"/>
        <v>14315.01</v>
      </c>
      <c r="V296" s="492">
        <f t="shared" si="611"/>
        <v>14306.01</v>
      </c>
      <c r="W296" s="294">
        <f t="shared" si="620"/>
        <v>14306.01</v>
      </c>
      <c r="X296" s="685"/>
      <c r="Y296" s="700"/>
      <c r="Z296" s="700"/>
      <c r="AA296" s="687"/>
      <c r="AB296" s="197">
        <v>1064</v>
      </c>
      <c r="AC296" s="65"/>
    </row>
    <row r="297" spans="1:29" ht="12.6" customHeight="1" x14ac:dyDescent="0.2">
      <c r="A297" s="18"/>
      <c r="B297" s="693" t="s">
        <v>219</v>
      </c>
      <c r="C297" s="696"/>
      <c r="D297" s="696"/>
      <c r="E297" s="697"/>
      <c r="F297" s="392">
        <f>12.16*X2</f>
        <v>12609.92</v>
      </c>
      <c r="G297" s="293">
        <f>+F297*$X$1</f>
        <v>12609.92</v>
      </c>
      <c r="H297" s="72">
        <f>F297+500</f>
        <v>13109.92</v>
      </c>
      <c r="I297" s="293">
        <f t="shared" ref="I297:I298" si="626">+H297*$X$1</f>
        <v>13109.92</v>
      </c>
      <c r="J297" s="644">
        <f t="shared" si="603"/>
        <v>12819.92</v>
      </c>
      <c r="K297" s="293">
        <f>+J297*$X$1</f>
        <v>12819.92</v>
      </c>
      <c r="L297" s="644">
        <f>F297+170</f>
        <v>12779.92</v>
      </c>
      <c r="M297" s="293">
        <f>+L297*$X$1</f>
        <v>12779.92</v>
      </c>
      <c r="N297" s="72">
        <f>F297+130</f>
        <v>12739.92</v>
      </c>
      <c r="O297" s="293">
        <f t="shared" ref="O297:O298" si="627">+N297*$X$1</f>
        <v>12739.92</v>
      </c>
      <c r="P297" s="72">
        <f>F297+110</f>
        <v>12719.92</v>
      </c>
      <c r="Q297" s="293">
        <f t="shared" ref="Q297:Q298" si="628">+P297*$X$1</f>
        <v>12719.92</v>
      </c>
      <c r="R297" s="644">
        <f>F297+100</f>
        <v>12709.92</v>
      </c>
      <c r="S297" s="293">
        <f t="shared" ref="S297:S298" si="629">+R297*$X$1</f>
        <v>12709.92</v>
      </c>
      <c r="T297" s="644">
        <f>F297+93</f>
        <v>12702.92</v>
      </c>
      <c r="U297" s="293">
        <f t="shared" ref="U297:U298" si="630">+T297*$X$1</f>
        <v>12702.92</v>
      </c>
      <c r="V297" s="644">
        <f>F297+84</f>
        <v>12693.92</v>
      </c>
      <c r="W297" s="293">
        <f t="shared" ref="W297:W298" si="631">+V297*$X$1</f>
        <v>12693.92</v>
      </c>
      <c r="X297" s="182"/>
      <c r="Y297" s="185"/>
      <c r="Z297" s="185"/>
      <c r="AA297" s="184"/>
      <c r="AB297" s="197">
        <v>1075</v>
      </c>
    </row>
    <row r="298" spans="1:29" ht="12.6" customHeight="1" x14ac:dyDescent="0.2">
      <c r="A298" s="18"/>
      <c r="B298" s="704" t="s">
        <v>396</v>
      </c>
      <c r="C298" s="928"/>
      <c r="D298" s="928"/>
      <c r="E298" s="928"/>
      <c r="F298" s="396">
        <f>8.85*X2</f>
        <v>9177.4499999999989</v>
      </c>
      <c r="G298" s="328">
        <f t="shared" ref="G298" si="632">+F298*$X$1</f>
        <v>9177.4499999999989</v>
      </c>
      <c r="H298" s="90">
        <f t="shared" si="601"/>
        <v>9657.4499999999989</v>
      </c>
      <c r="I298" s="294">
        <f t="shared" si="626"/>
        <v>9657.4499999999989</v>
      </c>
      <c r="J298" s="492">
        <f t="shared" si="603"/>
        <v>9387.4499999999989</v>
      </c>
      <c r="K298" s="294">
        <f t="shared" ref="K298" si="633">+J298*$X$1</f>
        <v>9387.4499999999989</v>
      </c>
      <c r="L298" s="492">
        <f t="shared" ref="L298:L302" si="634">F298+150</f>
        <v>9327.4499999999989</v>
      </c>
      <c r="M298" s="294">
        <f t="shared" ref="M298" si="635">+L298*$X$1</f>
        <v>9327.4499999999989</v>
      </c>
      <c r="N298" s="492">
        <f t="shared" ref="N298:N302" si="636">F298+120</f>
        <v>9297.4499999999989</v>
      </c>
      <c r="O298" s="294">
        <f t="shared" si="627"/>
        <v>9297.4499999999989</v>
      </c>
      <c r="P298" s="492">
        <f t="shared" ref="P298:P302" si="637">F298+95</f>
        <v>9272.4499999999989</v>
      </c>
      <c r="Q298" s="294">
        <f t="shared" si="628"/>
        <v>9272.4499999999989</v>
      </c>
      <c r="R298" s="492">
        <f t="shared" ref="R298:R302" si="638">F298+85</f>
        <v>9262.4499999999989</v>
      </c>
      <c r="S298" s="294">
        <f t="shared" si="629"/>
        <v>9262.4499999999989</v>
      </c>
      <c r="T298" s="492">
        <f t="shared" ref="T298:T302" si="639">F298+77</f>
        <v>9254.4499999999989</v>
      </c>
      <c r="U298" s="294">
        <f t="shared" si="630"/>
        <v>9254.4499999999989</v>
      </c>
      <c r="V298" s="492">
        <f t="shared" ref="V298:V302" si="640">F298+68</f>
        <v>9245.4499999999989</v>
      </c>
      <c r="W298" s="294">
        <f t="shared" si="631"/>
        <v>9245.4499999999989</v>
      </c>
      <c r="X298" s="685"/>
      <c r="Y298" s="700"/>
      <c r="Z298" s="700"/>
      <c r="AA298" s="687"/>
      <c r="AB298" s="197">
        <v>1078</v>
      </c>
    </row>
    <row r="299" spans="1:29" ht="12.6" customHeight="1" x14ac:dyDescent="0.2">
      <c r="A299" s="18"/>
      <c r="B299" s="937" t="s">
        <v>399</v>
      </c>
      <c r="C299" s="814"/>
      <c r="D299" s="814"/>
      <c r="E299" s="814"/>
      <c r="F299" s="397">
        <f>6.87*X2</f>
        <v>7124.1900000000005</v>
      </c>
      <c r="G299" s="314">
        <f t="shared" ref="G299" si="641">+F299*$X$1</f>
        <v>7124.1900000000005</v>
      </c>
      <c r="H299" s="72">
        <f t="shared" si="601"/>
        <v>7604.1900000000005</v>
      </c>
      <c r="I299" s="293">
        <f t="shared" ref="I299:I302" si="642">+H299*$X$1</f>
        <v>7604.1900000000005</v>
      </c>
      <c r="J299" s="644">
        <f t="shared" si="603"/>
        <v>7334.1900000000005</v>
      </c>
      <c r="K299" s="293">
        <f t="shared" ref="K299:K302" si="643">+J299*$X$1</f>
        <v>7334.1900000000005</v>
      </c>
      <c r="L299" s="644">
        <f t="shared" si="634"/>
        <v>7274.1900000000005</v>
      </c>
      <c r="M299" s="293">
        <f t="shared" ref="M299:M302" si="644">+L299*$X$1</f>
        <v>7274.1900000000005</v>
      </c>
      <c r="N299" s="644">
        <f t="shared" si="636"/>
        <v>7244.1900000000005</v>
      </c>
      <c r="O299" s="293">
        <f t="shared" ref="O299:O302" si="645">+N299*$X$1</f>
        <v>7244.1900000000005</v>
      </c>
      <c r="P299" s="644">
        <f t="shared" si="637"/>
        <v>7219.1900000000005</v>
      </c>
      <c r="Q299" s="293">
        <f t="shared" ref="Q299:Q302" si="646">+P299*$X$1</f>
        <v>7219.1900000000005</v>
      </c>
      <c r="R299" s="644">
        <f t="shared" si="638"/>
        <v>7209.1900000000005</v>
      </c>
      <c r="S299" s="293">
        <f t="shared" ref="S299:S302" si="647">+R299*$X$1</f>
        <v>7209.1900000000005</v>
      </c>
      <c r="T299" s="644">
        <f t="shared" si="639"/>
        <v>7201.1900000000005</v>
      </c>
      <c r="U299" s="293">
        <f t="shared" ref="U299:U302" si="648">+T299*$X$1</f>
        <v>7201.1900000000005</v>
      </c>
      <c r="V299" s="644">
        <f t="shared" si="640"/>
        <v>7192.1900000000005</v>
      </c>
      <c r="W299" s="293">
        <f t="shared" ref="W299:W302" si="649">+V299*$X$1</f>
        <v>7192.1900000000005</v>
      </c>
      <c r="X299" s="700"/>
      <c r="Y299" s="700"/>
      <c r="Z299" s="700"/>
      <c r="AA299" s="687"/>
      <c r="AB299" s="197">
        <v>1079</v>
      </c>
    </row>
    <row r="300" spans="1:29" ht="12.6" customHeight="1" x14ac:dyDescent="0.2">
      <c r="A300" s="18"/>
      <c r="B300" s="942" t="s">
        <v>535</v>
      </c>
      <c r="C300" s="943"/>
      <c r="D300" s="943"/>
      <c r="E300" s="943"/>
      <c r="F300" s="615">
        <v>16251</v>
      </c>
      <c r="G300" s="600">
        <f>+F300*$X$1</f>
        <v>16251</v>
      </c>
      <c r="H300" s="603">
        <f t="shared" si="601"/>
        <v>16731</v>
      </c>
      <c r="I300" s="600">
        <f t="shared" si="642"/>
        <v>16731</v>
      </c>
      <c r="J300" s="602">
        <f t="shared" si="603"/>
        <v>16461</v>
      </c>
      <c r="K300" s="600">
        <f t="shared" si="643"/>
        <v>16461</v>
      </c>
      <c r="L300" s="602">
        <f t="shared" si="634"/>
        <v>16401</v>
      </c>
      <c r="M300" s="600">
        <f t="shared" si="644"/>
        <v>16401</v>
      </c>
      <c r="N300" s="602">
        <f t="shared" si="636"/>
        <v>16371</v>
      </c>
      <c r="O300" s="600">
        <f t="shared" si="645"/>
        <v>16371</v>
      </c>
      <c r="P300" s="602">
        <f t="shared" si="637"/>
        <v>16346</v>
      </c>
      <c r="Q300" s="600">
        <f t="shared" si="646"/>
        <v>16346</v>
      </c>
      <c r="R300" s="602">
        <f t="shared" si="638"/>
        <v>16336</v>
      </c>
      <c r="S300" s="600">
        <f t="shared" si="647"/>
        <v>16336</v>
      </c>
      <c r="T300" s="602">
        <f t="shared" si="639"/>
        <v>16328</v>
      </c>
      <c r="U300" s="600">
        <f t="shared" si="648"/>
        <v>16328</v>
      </c>
      <c r="V300" s="602">
        <f t="shared" si="640"/>
        <v>16319</v>
      </c>
      <c r="W300" s="600">
        <f t="shared" si="649"/>
        <v>16319</v>
      </c>
      <c r="X300" s="700"/>
      <c r="Y300" s="700"/>
      <c r="Z300" s="700"/>
      <c r="AA300" s="687"/>
      <c r="AB300" s="197">
        <v>1080</v>
      </c>
      <c r="AC300" s="65"/>
    </row>
    <row r="301" spans="1:29" ht="12.6" customHeight="1" x14ac:dyDescent="0.2">
      <c r="A301" s="18"/>
      <c r="B301" s="683" t="s">
        <v>536</v>
      </c>
      <c r="C301" s="712"/>
      <c r="D301" s="712"/>
      <c r="E301" s="712"/>
      <c r="F301" s="340">
        <v>18070</v>
      </c>
      <c r="G301" s="293">
        <f>+F301*$X$1</f>
        <v>18070</v>
      </c>
      <c r="H301" s="72">
        <f t="shared" si="601"/>
        <v>18550</v>
      </c>
      <c r="I301" s="293">
        <f t="shared" si="642"/>
        <v>18550</v>
      </c>
      <c r="J301" s="644">
        <f t="shared" si="603"/>
        <v>18280</v>
      </c>
      <c r="K301" s="293">
        <f t="shared" si="643"/>
        <v>18280</v>
      </c>
      <c r="L301" s="644">
        <f t="shared" si="634"/>
        <v>18220</v>
      </c>
      <c r="M301" s="293">
        <f t="shared" si="644"/>
        <v>18220</v>
      </c>
      <c r="N301" s="644">
        <f t="shared" si="636"/>
        <v>18190</v>
      </c>
      <c r="O301" s="293">
        <f t="shared" si="645"/>
        <v>18190</v>
      </c>
      <c r="P301" s="644">
        <f t="shared" si="637"/>
        <v>18165</v>
      </c>
      <c r="Q301" s="293">
        <f t="shared" si="646"/>
        <v>18165</v>
      </c>
      <c r="R301" s="644">
        <f t="shared" si="638"/>
        <v>18155</v>
      </c>
      <c r="S301" s="293">
        <f t="shared" si="647"/>
        <v>18155</v>
      </c>
      <c r="T301" s="644">
        <f t="shared" si="639"/>
        <v>18147</v>
      </c>
      <c r="U301" s="293">
        <f t="shared" si="648"/>
        <v>18147</v>
      </c>
      <c r="V301" s="644">
        <f t="shared" si="640"/>
        <v>18138</v>
      </c>
      <c r="W301" s="293">
        <f t="shared" si="649"/>
        <v>18138</v>
      </c>
      <c r="X301" s="700"/>
      <c r="Y301" s="700"/>
      <c r="Z301" s="700"/>
      <c r="AA301" s="687"/>
      <c r="AB301" s="197">
        <v>1081</v>
      </c>
      <c r="AC301" s="65"/>
    </row>
    <row r="302" spans="1:29" ht="12.6" customHeight="1" x14ac:dyDescent="0.2">
      <c r="A302" s="18"/>
      <c r="B302" s="704" t="s">
        <v>451</v>
      </c>
      <c r="C302" s="705"/>
      <c r="D302" s="705"/>
      <c r="E302" s="705"/>
      <c r="F302" s="339">
        <v>14771</v>
      </c>
      <c r="G302" s="294">
        <f>+F302*$X$1</f>
        <v>14771</v>
      </c>
      <c r="H302" s="90">
        <f t="shared" si="601"/>
        <v>15251</v>
      </c>
      <c r="I302" s="294">
        <f t="shared" si="642"/>
        <v>15251</v>
      </c>
      <c r="J302" s="492">
        <f t="shared" si="603"/>
        <v>14981</v>
      </c>
      <c r="K302" s="294">
        <f t="shared" si="643"/>
        <v>14981</v>
      </c>
      <c r="L302" s="492">
        <f t="shared" si="634"/>
        <v>14921</v>
      </c>
      <c r="M302" s="294">
        <f t="shared" si="644"/>
        <v>14921</v>
      </c>
      <c r="N302" s="492">
        <f t="shared" si="636"/>
        <v>14891</v>
      </c>
      <c r="O302" s="294">
        <f t="shared" si="645"/>
        <v>14891</v>
      </c>
      <c r="P302" s="492">
        <f t="shared" si="637"/>
        <v>14866</v>
      </c>
      <c r="Q302" s="294">
        <f t="shared" si="646"/>
        <v>14866</v>
      </c>
      <c r="R302" s="492">
        <f t="shared" si="638"/>
        <v>14856</v>
      </c>
      <c r="S302" s="294">
        <f t="shared" si="647"/>
        <v>14856</v>
      </c>
      <c r="T302" s="492">
        <f t="shared" si="639"/>
        <v>14848</v>
      </c>
      <c r="U302" s="294">
        <f t="shared" si="648"/>
        <v>14848</v>
      </c>
      <c r="V302" s="492">
        <f t="shared" si="640"/>
        <v>14839</v>
      </c>
      <c r="W302" s="294">
        <f t="shared" si="649"/>
        <v>14839</v>
      </c>
      <c r="X302" s="700"/>
      <c r="Y302" s="700"/>
      <c r="Z302" s="700"/>
      <c r="AA302" s="687"/>
      <c r="AB302" s="197">
        <v>1083</v>
      </c>
      <c r="AC302" s="65"/>
    </row>
    <row r="303" spans="1:29" ht="12.6" customHeight="1" x14ac:dyDescent="0.2">
      <c r="A303" s="18"/>
      <c r="B303" s="937" t="s">
        <v>847</v>
      </c>
      <c r="C303" s="814"/>
      <c r="D303" s="814"/>
      <c r="E303" s="814"/>
      <c r="F303" s="392">
        <f>2.32*X2</f>
        <v>2405.8399999999997</v>
      </c>
      <c r="G303" s="293">
        <f t="shared" ref="G303" si="650">+F303*$X$1</f>
        <v>2405.8399999999997</v>
      </c>
      <c r="H303" s="644">
        <f>F303+450</f>
        <v>2855.8399999999997</v>
      </c>
      <c r="I303" s="293">
        <f t="shared" ref="I303:I304" si="651">+H303*$X$1</f>
        <v>2855.8399999999997</v>
      </c>
      <c r="J303" s="644">
        <f>F303+200</f>
        <v>2605.8399999999997</v>
      </c>
      <c r="K303" s="293">
        <f>+J303*$X$1</f>
        <v>2605.8399999999997</v>
      </c>
      <c r="L303" s="644">
        <f>F303+140</f>
        <v>2545.8399999999997</v>
      </c>
      <c r="M303" s="293">
        <f>+L303*$X$1</f>
        <v>2545.8399999999997</v>
      </c>
      <c r="N303" s="644">
        <f>F303+70</f>
        <v>2475.8399999999997</v>
      </c>
      <c r="O303" s="293">
        <f>+N303*$X$1</f>
        <v>2475.8399999999997</v>
      </c>
      <c r="P303" s="644">
        <f>F303+60</f>
        <v>2465.8399999999997</v>
      </c>
      <c r="Q303" s="293">
        <f>+P303*$X$1</f>
        <v>2465.8399999999997</v>
      </c>
      <c r="R303" s="644">
        <f>F303+50</f>
        <v>2455.8399999999997</v>
      </c>
      <c r="S303" s="293">
        <f>+R303*$X$1</f>
        <v>2455.8399999999997</v>
      </c>
      <c r="T303" s="104">
        <f>F303+44</f>
        <v>2449.8399999999997</v>
      </c>
      <c r="U303" s="260">
        <f>+T303*$X$1</f>
        <v>2449.8399999999997</v>
      </c>
      <c r="V303" s="104">
        <f>F303+38</f>
        <v>2443.8399999999997</v>
      </c>
      <c r="W303" s="260">
        <f>+V303*$X$1</f>
        <v>2443.8399999999997</v>
      </c>
      <c r="X303" s="798"/>
      <c r="Y303" s="969"/>
      <c r="Z303" s="969"/>
      <c r="AA303" s="970"/>
      <c r="AB303" s="420">
        <v>2130</v>
      </c>
      <c r="AC303" s="66"/>
    </row>
    <row r="304" spans="1:29" ht="12.6" customHeight="1" x14ac:dyDescent="0.2">
      <c r="A304" s="18"/>
      <c r="B304" s="706" t="s">
        <v>848</v>
      </c>
      <c r="C304" s="713"/>
      <c r="D304" s="713"/>
      <c r="E304" s="713"/>
      <c r="F304" s="393">
        <f>2.4*X2</f>
        <v>2488.7999999999997</v>
      </c>
      <c r="G304" s="294">
        <f t="shared" ref="G304" si="652">+F304*$X$1</f>
        <v>2488.7999999999997</v>
      </c>
      <c r="H304" s="492">
        <f>F304+450</f>
        <v>2938.7999999999997</v>
      </c>
      <c r="I304" s="294">
        <f t="shared" si="651"/>
        <v>2938.7999999999997</v>
      </c>
      <c r="J304" s="492">
        <f>F304+200</f>
        <v>2688.7999999999997</v>
      </c>
      <c r="K304" s="294">
        <f>+J304*$X$1</f>
        <v>2688.7999999999997</v>
      </c>
      <c r="L304" s="492">
        <f>F304+140</f>
        <v>2628.7999999999997</v>
      </c>
      <c r="M304" s="294">
        <f>+L304*$X$1</f>
        <v>2628.7999999999997</v>
      </c>
      <c r="N304" s="492">
        <f>F304+70</f>
        <v>2558.7999999999997</v>
      </c>
      <c r="O304" s="294">
        <f>+N304*$X$1</f>
        <v>2558.7999999999997</v>
      </c>
      <c r="P304" s="492">
        <f>F304+60</f>
        <v>2548.7999999999997</v>
      </c>
      <c r="Q304" s="294">
        <f>+P304*$X$1</f>
        <v>2548.7999999999997</v>
      </c>
      <c r="R304" s="492">
        <f>F304+50</f>
        <v>2538.7999999999997</v>
      </c>
      <c r="S304" s="294">
        <f>+R304*$X$1</f>
        <v>2538.7999999999997</v>
      </c>
      <c r="T304" s="103">
        <f>F304+44</f>
        <v>2532.7999999999997</v>
      </c>
      <c r="U304" s="313">
        <f>+T304*$X$1</f>
        <v>2532.7999999999997</v>
      </c>
      <c r="V304" s="103">
        <f>F304+38</f>
        <v>2526.7999999999997</v>
      </c>
      <c r="W304" s="313">
        <f>+V304*$X$1</f>
        <v>2526.7999999999997</v>
      </c>
      <c r="X304" s="798"/>
      <c r="Y304" s="969"/>
      <c r="Z304" s="969"/>
      <c r="AA304" s="970"/>
      <c r="AB304" s="420">
        <v>2131</v>
      </c>
      <c r="AC304" s="66"/>
    </row>
    <row r="305" spans="1:34" ht="12.6" customHeight="1" x14ac:dyDescent="0.2">
      <c r="A305" s="105"/>
      <c r="B305" s="683" t="s">
        <v>220</v>
      </c>
      <c r="C305" s="712"/>
      <c r="D305" s="712"/>
      <c r="E305" s="712"/>
      <c r="F305" s="392">
        <f>0.445*X2</f>
        <v>461.46500000000003</v>
      </c>
      <c r="G305" s="293">
        <f t="shared" ref="G305:G306" si="653">+F305*$X$1</f>
        <v>461.46500000000003</v>
      </c>
      <c r="H305" s="286"/>
      <c r="I305" s="353"/>
      <c r="J305" s="644"/>
      <c r="K305" s="293"/>
      <c r="L305" s="644">
        <f>F305+120</f>
        <v>581.46500000000003</v>
      </c>
      <c r="M305" s="293">
        <f>+L305*$X$1</f>
        <v>581.46500000000003</v>
      </c>
      <c r="N305" s="644">
        <f>F305+60</f>
        <v>521.46500000000003</v>
      </c>
      <c r="O305" s="293">
        <f>+N305*$X$1</f>
        <v>521.46500000000003</v>
      </c>
      <c r="P305" s="644">
        <f>F305+50</f>
        <v>511.46500000000003</v>
      </c>
      <c r="Q305" s="293">
        <f>+P305*$X$1</f>
        <v>511.46500000000003</v>
      </c>
      <c r="R305" s="644">
        <f>F305+42</f>
        <v>503.46500000000003</v>
      </c>
      <c r="S305" s="293">
        <f>+R305*$X$1</f>
        <v>503.46500000000003</v>
      </c>
      <c r="T305" s="104">
        <f>F305+34</f>
        <v>495.46500000000003</v>
      </c>
      <c r="U305" s="260">
        <f>+T305*$X$1</f>
        <v>495.46500000000003</v>
      </c>
      <c r="V305" s="104">
        <f>F305+29</f>
        <v>490.46500000000003</v>
      </c>
      <c r="W305" s="260">
        <f>+V305*$X$1</f>
        <v>490.46500000000003</v>
      </c>
      <c r="X305" s="135"/>
      <c r="Y305" s="132"/>
      <c r="Z305" s="132"/>
      <c r="AA305" s="132"/>
      <c r="AB305" s="420">
        <v>2145</v>
      </c>
      <c r="AC305" s="66"/>
    </row>
    <row r="306" spans="1:34" ht="12.6" customHeight="1" x14ac:dyDescent="0.2">
      <c r="A306" s="18"/>
      <c r="B306" s="704" t="s">
        <v>221</v>
      </c>
      <c r="C306" s="705"/>
      <c r="D306" s="705"/>
      <c r="E306" s="705"/>
      <c r="F306" s="393">
        <v>48</v>
      </c>
      <c r="G306" s="294">
        <f t="shared" si="653"/>
        <v>48</v>
      </c>
      <c r="H306" s="285"/>
      <c r="I306" s="354"/>
      <c r="J306" s="492">
        <f>F306+180</f>
        <v>228</v>
      </c>
      <c r="K306" s="294">
        <f t="shared" ref="K306" si="654">+J306*$X$1</f>
        <v>228</v>
      </c>
      <c r="L306" s="492">
        <f>F306+120</f>
        <v>168</v>
      </c>
      <c r="M306" s="294">
        <f>+L306*$X$1</f>
        <v>168</v>
      </c>
      <c r="N306" s="492">
        <f>F306+60</f>
        <v>108</v>
      </c>
      <c r="O306" s="294">
        <f>+N306*$X$1</f>
        <v>108</v>
      </c>
      <c r="P306" s="492">
        <f>F306+50</f>
        <v>98</v>
      </c>
      <c r="Q306" s="294">
        <f>+P306*$X$1</f>
        <v>98</v>
      </c>
      <c r="R306" s="492">
        <f>F306+42</f>
        <v>90</v>
      </c>
      <c r="S306" s="294">
        <f>+R306*$X$1</f>
        <v>90</v>
      </c>
      <c r="T306" s="103">
        <f>F306+34</f>
        <v>82</v>
      </c>
      <c r="U306" s="313">
        <f>+T306*$X$1</f>
        <v>82</v>
      </c>
      <c r="V306" s="103">
        <f>F306+29</f>
        <v>77</v>
      </c>
      <c r="W306" s="313">
        <f>+V306*$X$1</f>
        <v>77</v>
      </c>
      <c r="X306" s="132"/>
      <c r="Y306" s="132"/>
      <c r="Z306" s="132"/>
      <c r="AA306" s="132"/>
      <c r="AB306" s="420">
        <v>2149</v>
      </c>
    </row>
    <row r="307" spans="1:34" ht="12.6" customHeight="1" x14ac:dyDescent="0.25">
      <c r="A307" s="127"/>
      <c r="B307" s="708" t="s">
        <v>950</v>
      </c>
      <c r="C307" s="709"/>
      <c r="D307" s="709"/>
      <c r="E307" s="709"/>
      <c r="F307" s="392">
        <f>1.41*X2</f>
        <v>1462.1699999999998</v>
      </c>
      <c r="G307" s="293">
        <f>+F307*$X$1</f>
        <v>1462.1699999999998</v>
      </c>
      <c r="H307" s="286"/>
      <c r="I307" s="353"/>
      <c r="J307" s="1216"/>
      <c r="K307" s="293"/>
      <c r="L307" s="1217"/>
      <c r="M307" s="293"/>
      <c r="N307" s="1217"/>
      <c r="O307" s="1218"/>
      <c r="P307" s="286"/>
      <c r="Q307" s="353"/>
      <c r="R307" s="1217"/>
      <c r="S307" s="1218"/>
      <c r="T307" s="1217"/>
      <c r="U307" s="1218"/>
      <c r="V307" s="1217"/>
      <c r="W307" s="1218"/>
      <c r="X307" s="132"/>
      <c r="Y307" s="132"/>
      <c r="Z307" s="132"/>
      <c r="AA307" s="132"/>
      <c r="AB307" s="197">
        <v>2150</v>
      </c>
    </row>
    <row r="308" spans="1:34" ht="12.6" customHeight="1" x14ac:dyDescent="0.25">
      <c r="A308" s="127"/>
      <c r="B308" s="704" t="s">
        <v>222</v>
      </c>
      <c r="C308" s="705"/>
      <c r="D308" s="705"/>
      <c r="E308" s="705"/>
      <c r="F308" s="393">
        <f>0.88*X2</f>
        <v>912.56000000000006</v>
      </c>
      <c r="G308" s="294">
        <f>+F308*$X$1</f>
        <v>912.56000000000006</v>
      </c>
      <c r="H308" s="285"/>
      <c r="I308" s="354"/>
      <c r="J308" s="628"/>
      <c r="K308" s="294"/>
      <c r="L308" s="629"/>
      <c r="M308" s="294"/>
      <c r="N308" s="629"/>
      <c r="O308" s="630"/>
      <c r="P308" s="285"/>
      <c r="Q308" s="354"/>
      <c r="R308" s="629"/>
      <c r="S308" s="630"/>
      <c r="T308" s="629"/>
      <c r="U308" s="630"/>
      <c r="V308" s="629"/>
      <c r="W308" s="630"/>
      <c r="X308" s="132"/>
      <c r="Y308" s="132"/>
      <c r="Z308" s="132"/>
      <c r="AA308" s="132"/>
      <c r="AB308" s="197">
        <v>2151</v>
      </c>
    </row>
    <row r="309" spans="1:34" ht="12.6" customHeight="1" x14ac:dyDescent="0.2">
      <c r="A309" s="18"/>
      <c r="B309" s="937" t="s">
        <v>223</v>
      </c>
      <c r="C309" s="953"/>
      <c r="D309" s="953"/>
      <c r="E309" s="953"/>
      <c r="F309" s="397">
        <f>0.67*X2</f>
        <v>694.79000000000008</v>
      </c>
      <c r="G309" s="314">
        <f>+F309*$X$1</f>
        <v>694.79000000000008</v>
      </c>
      <c r="H309" s="518"/>
      <c r="I309" s="536"/>
      <c r="J309" s="104"/>
      <c r="K309" s="314"/>
      <c r="L309" s="644">
        <f t="shared" ref="L309:L314" si="655">F309+120</f>
        <v>814.79000000000008</v>
      </c>
      <c r="M309" s="293">
        <f t="shared" ref="M309:M314" si="656">+L309*$X$1</f>
        <v>814.79000000000008</v>
      </c>
      <c r="N309" s="644">
        <f t="shared" ref="N309:N314" si="657">F309+60</f>
        <v>754.79000000000008</v>
      </c>
      <c r="O309" s="293">
        <f t="shared" ref="O309:O314" si="658">+N309*$X$1</f>
        <v>754.79000000000008</v>
      </c>
      <c r="P309" s="644">
        <f t="shared" ref="P309:P314" si="659">F309+50</f>
        <v>744.79000000000008</v>
      </c>
      <c r="Q309" s="293">
        <f t="shared" ref="Q309:Q314" si="660">+P309*$X$1</f>
        <v>744.79000000000008</v>
      </c>
      <c r="R309" s="644">
        <f t="shared" ref="R309:R314" si="661">F309+42</f>
        <v>736.79000000000008</v>
      </c>
      <c r="S309" s="293">
        <f t="shared" ref="S309:S314" si="662">+R309*$X$1</f>
        <v>736.79000000000008</v>
      </c>
      <c r="T309" s="104">
        <f t="shared" ref="T309:T314" si="663">F309+34</f>
        <v>728.79000000000008</v>
      </c>
      <c r="U309" s="260">
        <f t="shared" ref="U309:U314" si="664">+T309*$X$1</f>
        <v>728.79000000000008</v>
      </c>
      <c r="V309" s="104">
        <f t="shared" ref="V309:V314" si="665">F309+29</f>
        <v>723.79000000000008</v>
      </c>
      <c r="W309" s="260">
        <f t="shared" ref="W309:W314" si="666">+V309*$X$1</f>
        <v>723.79000000000008</v>
      </c>
      <c r="X309" s="132"/>
      <c r="Y309" s="132"/>
      <c r="Z309" s="132"/>
      <c r="AA309" s="132"/>
      <c r="AB309" s="434">
        <v>2153</v>
      </c>
      <c r="AC309" s="66"/>
    </row>
    <row r="310" spans="1:34" ht="12.6" customHeight="1" x14ac:dyDescent="0.2">
      <c r="A310" s="18"/>
      <c r="B310" s="704" t="s">
        <v>390</v>
      </c>
      <c r="C310" s="705"/>
      <c r="D310" s="705"/>
      <c r="E310" s="705"/>
      <c r="F310" s="393">
        <f>0.485*X2</f>
        <v>502.94499999999999</v>
      </c>
      <c r="G310" s="294">
        <f>+F310*$X$1</f>
        <v>502.94499999999999</v>
      </c>
      <c r="H310" s="285"/>
      <c r="I310" s="354"/>
      <c r="J310" s="492"/>
      <c r="K310" s="294"/>
      <c r="L310" s="492">
        <f t="shared" si="655"/>
        <v>622.94499999999994</v>
      </c>
      <c r="M310" s="294">
        <f t="shared" si="656"/>
        <v>622.94499999999994</v>
      </c>
      <c r="N310" s="492">
        <f t="shared" si="657"/>
        <v>562.94499999999994</v>
      </c>
      <c r="O310" s="294">
        <f t="shared" si="658"/>
        <v>562.94499999999994</v>
      </c>
      <c r="P310" s="492">
        <f t="shared" si="659"/>
        <v>552.94499999999994</v>
      </c>
      <c r="Q310" s="294">
        <f t="shared" si="660"/>
        <v>552.94499999999994</v>
      </c>
      <c r="R310" s="492">
        <f t="shared" si="661"/>
        <v>544.94499999999994</v>
      </c>
      <c r="S310" s="294">
        <f t="shared" si="662"/>
        <v>544.94499999999994</v>
      </c>
      <c r="T310" s="103">
        <f t="shared" si="663"/>
        <v>536.94499999999994</v>
      </c>
      <c r="U310" s="313">
        <f t="shared" si="664"/>
        <v>536.94499999999994</v>
      </c>
      <c r="V310" s="103">
        <f t="shared" si="665"/>
        <v>531.94499999999994</v>
      </c>
      <c r="W310" s="313">
        <f t="shared" si="666"/>
        <v>531.94499999999994</v>
      </c>
      <c r="X310" s="132"/>
      <c r="Y310" s="140"/>
      <c r="Z310" s="140"/>
      <c r="AA310" s="140"/>
      <c r="AB310" s="433">
        <v>2154</v>
      </c>
      <c r="AC310" s="22"/>
      <c r="AD310" s="22"/>
    </row>
    <row r="311" spans="1:34" ht="12.6" customHeight="1" x14ac:dyDescent="0.2">
      <c r="A311" s="18"/>
      <c r="B311" s="683" t="s">
        <v>391</v>
      </c>
      <c r="C311" s="712"/>
      <c r="D311" s="712"/>
      <c r="E311" s="712"/>
      <c r="F311" s="392">
        <f>0.56*X2</f>
        <v>580.72</v>
      </c>
      <c r="G311" s="293">
        <f>+F311*$X$1</f>
        <v>580.72</v>
      </c>
      <c r="H311" s="286"/>
      <c r="I311" s="353"/>
      <c r="J311" s="644"/>
      <c r="K311" s="293"/>
      <c r="L311" s="644">
        <f t="shared" si="655"/>
        <v>700.72</v>
      </c>
      <c r="M311" s="293">
        <f t="shared" si="656"/>
        <v>700.72</v>
      </c>
      <c r="N311" s="644">
        <f t="shared" si="657"/>
        <v>640.72</v>
      </c>
      <c r="O311" s="293">
        <f t="shared" si="658"/>
        <v>640.72</v>
      </c>
      <c r="P311" s="644">
        <f t="shared" si="659"/>
        <v>630.72</v>
      </c>
      <c r="Q311" s="293">
        <f t="shared" si="660"/>
        <v>630.72</v>
      </c>
      <c r="R311" s="644">
        <f t="shared" si="661"/>
        <v>622.72</v>
      </c>
      <c r="S311" s="293">
        <f t="shared" si="662"/>
        <v>622.72</v>
      </c>
      <c r="T311" s="104">
        <f t="shared" si="663"/>
        <v>614.72</v>
      </c>
      <c r="U311" s="260">
        <f t="shared" si="664"/>
        <v>614.72</v>
      </c>
      <c r="V311" s="104">
        <f t="shared" si="665"/>
        <v>609.72</v>
      </c>
      <c r="W311" s="260">
        <f t="shared" si="666"/>
        <v>609.72</v>
      </c>
      <c r="X311" s="155"/>
      <c r="Y311" s="132"/>
      <c r="Z311" s="140"/>
      <c r="AA311" s="140"/>
      <c r="AB311" s="433">
        <v>2156</v>
      </c>
      <c r="AC311" s="22"/>
      <c r="AD311" s="22"/>
    </row>
    <row r="312" spans="1:34" ht="12.6" customHeight="1" x14ac:dyDescent="0.2">
      <c r="A312" s="18"/>
      <c r="B312" s="690" t="s">
        <v>224</v>
      </c>
      <c r="C312" s="698"/>
      <c r="D312" s="698"/>
      <c r="E312" s="699"/>
      <c r="F312" s="393">
        <f>0.484*X2</f>
        <v>501.90799999999996</v>
      </c>
      <c r="G312" s="294">
        <f t="shared" ref="G312" si="667">+F312*$X$1</f>
        <v>501.90799999999996</v>
      </c>
      <c r="H312" s="285"/>
      <c r="I312" s="354"/>
      <c r="J312" s="492"/>
      <c r="K312" s="294"/>
      <c r="L312" s="492">
        <f t="shared" si="655"/>
        <v>621.9079999999999</v>
      </c>
      <c r="M312" s="294">
        <f t="shared" si="656"/>
        <v>621.9079999999999</v>
      </c>
      <c r="N312" s="492">
        <f t="shared" si="657"/>
        <v>561.9079999999999</v>
      </c>
      <c r="O312" s="294">
        <f t="shared" si="658"/>
        <v>561.9079999999999</v>
      </c>
      <c r="P312" s="492">
        <f t="shared" si="659"/>
        <v>551.9079999999999</v>
      </c>
      <c r="Q312" s="294">
        <f t="shared" si="660"/>
        <v>551.9079999999999</v>
      </c>
      <c r="R312" s="492">
        <f t="shared" si="661"/>
        <v>543.9079999999999</v>
      </c>
      <c r="S312" s="294">
        <f t="shared" si="662"/>
        <v>543.9079999999999</v>
      </c>
      <c r="T312" s="103">
        <f t="shared" si="663"/>
        <v>535.9079999999999</v>
      </c>
      <c r="U312" s="313">
        <f t="shared" si="664"/>
        <v>535.9079999999999</v>
      </c>
      <c r="V312" s="103">
        <f t="shared" si="665"/>
        <v>530.9079999999999</v>
      </c>
      <c r="W312" s="313">
        <f t="shared" si="666"/>
        <v>530.9079999999999</v>
      </c>
      <c r="X312" s="132"/>
      <c r="Y312" s="140"/>
      <c r="Z312" s="140"/>
      <c r="AA312" s="140"/>
      <c r="AB312" s="433">
        <v>2160</v>
      </c>
      <c r="AC312" s="22"/>
      <c r="AD312" s="22"/>
      <c r="AH312" s="65"/>
    </row>
    <row r="313" spans="1:34" ht="12.6" customHeight="1" x14ac:dyDescent="0.2">
      <c r="A313" s="98"/>
      <c r="B313" s="989" t="s">
        <v>225</v>
      </c>
      <c r="C313" s="990"/>
      <c r="D313" s="990"/>
      <c r="E313" s="991"/>
      <c r="F313" s="392">
        <f>0.57*X2</f>
        <v>591.08999999999992</v>
      </c>
      <c r="G313" s="260">
        <f t="shared" ref="G313:G314" si="668">+F313*$X$1</f>
        <v>591.08999999999992</v>
      </c>
      <c r="H313" s="644"/>
      <c r="I313" s="644"/>
      <c r="J313" s="122"/>
      <c r="K313" s="293"/>
      <c r="L313" s="644">
        <f t="shared" si="655"/>
        <v>711.08999999999992</v>
      </c>
      <c r="M313" s="293">
        <f t="shared" si="656"/>
        <v>711.08999999999992</v>
      </c>
      <c r="N313" s="644">
        <f t="shared" si="657"/>
        <v>651.08999999999992</v>
      </c>
      <c r="O313" s="293">
        <f t="shared" si="658"/>
        <v>651.08999999999992</v>
      </c>
      <c r="P313" s="644">
        <f t="shared" si="659"/>
        <v>641.08999999999992</v>
      </c>
      <c r="Q313" s="293">
        <f t="shared" si="660"/>
        <v>641.08999999999992</v>
      </c>
      <c r="R313" s="644">
        <f t="shared" si="661"/>
        <v>633.08999999999992</v>
      </c>
      <c r="S313" s="293">
        <f t="shared" si="662"/>
        <v>633.08999999999992</v>
      </c>
      <c r="T313" s="104">
        <f t="shared" si="663"/>
        <v>625.08999999999992</v>
      </c>
      <c r="U313" s="260">
        <f t="shared" si="664"/>
        <v>625.08999999999992</v>
      </c>
      <c r="V313" s="104">
        <f t="shared" si="665"/>
        <v>620.08999999999992</v>
      </c>
      <c r="W313" s="260">
        <f t="shared" si="666"/>
        <v>620.08999999999992</v>
      </c>
      <c r="X313" s="132"/>
      <c r="Y313" s="140"/>
      <c r="Z313" s="140"/>
      <c r="AA313" s="140"/>
      <c r="AB313" s="420">
        <v>2174</v>
      </c>
      <c r="AC313" s="67"/>
      <c r="AD313" s="22"/>
    </row>
    <row r="314" spans="1:34" ht="12.6" customHeight="1" x14ac:dyDescent="0.2">
      <c r="A314" s="98"/>
      <c r="B314" s="966" t="s">
        <v>226</v>
      </c>
      <c r="C314" s="967"/>
      <c r="D314" s="967"/>
      <c r="E314" s="968"/>
      <c r="F314" s="393">
        <f>0.57*X2</f>
        <v>591.08999999999992</v>
      </c>
      <c r="G314" s="313">
        <f t="shared" si="668"/>
        <v>591.08999999999992</v>
      </c>
      <c r="H314" s="492"/>
      <c r="I314" s="492"/>
      <c r="J314" s="121"/>
      <c r="K314" s="294"/>
      <c r="L314" s="492">
        <f t="shared" si="655"/>
        <v>711.08999999999992</v>
      </c>
      <c r="M314" s="294">
        <f t="shared" si="656"/>
        <v>711.08999999999992</v>
      </c>
      <c r="N314" s="492">
        <f t="shared" si="657"/>
        <v>651.08999999999992</v>
      </c>
      <c r="O314" s="294">
        <f t="shared" si="658"/>
        <v>651.08999999999992</v>
      </c>
      <c r="P314" s="492">
        <f t="shared" si="659"/>
        <v>641.08999999999992</v>
      </c>
      <c r="Q314" s="294">
        <f t="shared" si="660"/>
        <v>641.08999999999992</v>
      </c>
      <c r="R314" s="492">
        <f t="shared" si="661"/>
        <v>633.08999999999992</v>
      </c>
      <c r="S314" s="294">
        <f t="shared" si="662"/>
        <v>633.08999999999992</v>
      </c>
      <c r="T314" s="103">
        <f t="shared" si="663"/>
        <v>625.08999999999992</v>
      </c>
      <c r="U314" s="313">
        <f t="shared" si="664"/>
        <v>625.08999999999992</v>
      </c>
      <c r="V314" s="103">
        <f t="shared" si="665"/>
        <v>620.08999999999992</v>
      </c>
      <c r="W314" s="313">
        <f t="shared" si="666"/>
        <v>620.08999999999992</v>
      </c>
      <c r="X314" s="132"/>
      <c r="Y314" s="140"/>
      <c r="Z314" s="140"/>
      <c r="AA314" s="140"/>
      <c r="AB314" s="420" t="s">
        <v>350</v>
      </c>
      <c r="AC314" s="67"/>
      <c r="AD314" s="22"/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66"/>
      <c r="C317" s="66"/>
      <c r="D317" s="66"/>
      <c r="E317" s="66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718" t="s">
        <v>11</v>
      </c>
      <c r="C318" s="815" t="s">
        <v>12</v>
      </c>
      <c r="D318" s="816"/>
      <c r="E318" s="816"/>
      <c r="F318" s="671" t="s">
        <v>13</v>
      </c>
      <c r="G318" s="671" t="s">
        <v>13</v>
      </c>
      <c r="H318" s="673" t="s">
        <v>836</v>
      </c>
      <c r="I318" s="673"/>
      <c r="J318" s="674"/>
      <c r="K318" s="674"/>
      <c r="L318" s="674"/>
      <c r="M318" s="674"/>
      <c r="N318" s="674"/>
      <c r="O318" s="674"/>
      <c r="P318" s="674"/>
      <c r="Q318" s="674"/>
      <c r="R318" s="674"/>
      <c r="S318" s="674"/>
      <c r="T318" s="674"/>
      <c r="U318" s="674"/>
      <c r="V318" s="674"/>
      <c r="W318" s="674"/>
      <c r="X318" s="657" t="s">
        <v>14</v>
      </c>
      <c r="Y318" s="658"/>
      <c r="Z318" s="658"/>
      <c r="AA318" s="659"/>
      <c r="AB318" s="663" t="s">
        <v>15</v>
      </c>
      <c r="AF318" s="645" t="s">
        <v>3</v>
      </c>
      <c r="AG318" s="646"/>
      <c r="AH318" s="646"/>
    </row>
    <row r="319" spans="1:34" ht="11.25" customHeight="1" x14ac:dyDescent="0.2">
      <c r="A319" s="18"/>
      <c r="B319" s="718"/>
      <c r="C319" s="816"/>
      <c r="D319" s="816"/>
      <c r="E319" s="816"/>
      <c r="F319" s="672"/>
      <c r="G319" s="672"/>
      <c r="H319" s="517"/>
      <c r="I319" s="509" t="s">
        <v>293</v>
      </c>
      <c r="J319" s="511"/>
      <c r="K319" s="509" t="s">
        <v>17</v>
      </c>
      <c r="L319" s="512"/>
      <c r="M319" s="512" t="s">
        <v>18</v>
      </c>
      <c r="N319" s="512"/>
      <c r="O319" s="509" t="s">
        <v>19</v>
      </c>
      <c r="P319" s="512"/>
      <c r="Q319" s="512" t="s">
        <v>295</v>
      </c>
      <c r="R319" s="512"/>
      <c r="S319" s="512" t="s">
        <v>20</v>
      </c>
      <c r="T319" s="512"/>
      <c r="U319" s="512" t="s">
        <v>21</v>
      </c>
      <c r="V319" s="512"/>
      <c r="W319" s="512" t="s">
        <v>22</v>
      </c>
      <c r="X319" s="660"/>
      <c r="Y319" s="661"/>
      <c r="Z319" s="661"/>
      <c r="AA319" s="662"/>
      <c r="AB319" s="664"/>
    </row>
    <row r="320" spans="1:34" ht="12.6" customHeight="1" x14ac:dyDescent="0.2">
      <c r="A320" s="98"/>
      <c r="B320" s="704" t="s">
        <v>711</v>
      </c>
      <c r="C320" s="705"/>
      <c r="D320" s="705"/>
      <c r="E320" s="705"/>
      <c r="F320" s="393">
        <f>0.58*X2</f>
        <v>601.45999999999992</v>
      </c>
      <c r="G320" s="313">
        <f>+F320*$X$1</f>
        <v>601.45999999999992</v>
      </c>
      <c r="H320" s="492"/>
      <c r="I320" s="492"/>
      <c r="J320" s="121"/>
      <c r="K320" s="294"/>
      <c r="L320" s="492">
        <f>F320+120</f>
        <v>721.45999999999992</v>
      </c>
      <c r="M320" s="294">
        <f>+L320*$X$1</f>
        <v>721.45999999999992</v>
      </c>
      <c r="N320" s="492">
        <f>F320+60</f>
        <v>661.45999999999992</v>
      </c>
      <c r="O320" s="294">
        <f>+N320*$X$1</f>
        <v>661.45999999999992</v>
      </c>
      <c r="P320" s="492">
        <f>F320+50</f>
        <v>651.45999999999992</v>
      </c>
      <c r="Q320" s="294">
        <f>+P320*$X$1</f>
        <v>651.45999999999992</v>
      </c>
      <c r="R320" s="492">
        <f>F320+42</f>
        <v>643.45999999999992</v>
      </c>
      <c r="S320" s="294">
        <f>+R320*$X$1</f>
        <v>643.45999999999992</v>
      </c>
      <c r="T320" s="103">
        <f>F320+34</f>
        <v>635.45999999999992</v>
      </c>
      <c r="U320" s="313">
        <f>+T320*$X$1</f>
        <v>635.45999999999992</v>
      </c>
      <c r="V320" s="103">
        <f>F320+29</f>
        <v>630.45999999999992</v>
      </c>
      <c r="W320" s="313">
        <f>+V320*$X$1</f>
        <v>630.45999999999992</v>
      </c>
      <c r="X320" s="132"/>
      <c r="Y320" s="140"/>
      <c r="Z320" s="140"/>
      <c r="AA320" s="140"/>
      <c r="AB320" s="420">
        <v>2180</v>
      </c>
      <c r="AC320" s="22"/>
      <c r="AD320" s="22"/>
    </row>
    <row r="321" spans="1:31" ht="12" customHeight="1" x14ac:dyDescent="0.2">
      <c r="A321" s="189"/>
      <c r="B321" s="693" t="s">
        <v>227</v>
      </c>
      <c r="C321" s="694"/>
      <c r="D321" s="694"/>
      <c r="E321" s="695"/>
      <c r="F321" s="392">
        <f>0.8*X2</f>
        <v>829.6</v>
      </c>
      <c r="G321" s="260">
        <f>+F321*$X$1</f>
        <v>829.6</v>
      </c>
      <c r="H321" s="644"/>
      <c r="I321" s="644"/>
      <c r="J321" s="122"/>
      <c r="K321" s="293"/>
      <c r="L321" s="644">
        <f>F321+120</f>
        <v>949.6</v>
      </c>
      <c r="M321" s="293">
        <f t="shared" ref="M321" si="669">+L321*$X$1</f>
        <v>949.6</v>
      </c>
      <c r="N321" s="644">
        <f>F321+60</f>
        <v>889.6</v>
      </c>
      <c r="O321" s="293">
        <f t="shared" ref="O321" si="670">+N321*$X$1</f>
        <v>889.6</v>
      </c>
      <c r="P321" s="644"/>
      <c r="Q321" s="293"/>
      <c r="R321" s="644"/>
      <c r="S321" s="293"/>
      <c r="T321" s="104"/>
      <c r="U321" s="260"/>
      <c r="V321" s="104"/>
      <c r="W321" s="260"/>
      <c r="X321" s="132"/>
      <c r="Y321" s="132"/>
      <c r="Z321" s="132"/>
      <c r="AA321" s="132"/>
      <c r="AB321" s="420">
        <v>2184</v>
      </c>
    </row>
    <row r="322" spans="1:31" ht="12" customHeight="1" x14ac:dyDescent="0.2">
      <c r="A322" s="189"/>
      <c r="B322" s="690" t="s">
        <v>228</v>
      </c>
      <c r="C322" s="698"/>
      <c r="D322" s="698"/>
      <c r="E322" s="699"/>
      <c r="F322" s="393">
        <f>0.71*X2</f>
        <v>736.27</v>
      </c>
      <c r="G322" s="313">
        <f>+F322*$X$1</f>
        <v>736.27</v>
      </c>
      <c r="H322" s="492"/>
      <c r="I322" s="492"/>
      <c r="J322" s="121"/>
      <c r="K322" s="294"/>
      <c r="L322" s="492">
        <f>F322+120</f>
        <v>856.27</v>
      </c>
      <c r="M322" s="294">
        <f>+L322*$X$1</f>
        <v>856.27</v>
      </c>
      <c r="N322" s="492">
        <f>F322+60</f>
        <v>796.27</v>
      </c>
      <c r="O322" s="294">
        <f>+N322*$X$1</f>
        <v>796.27</v>
      </c>
      <c r="P322" s="492">
        <f>F322+50</f>
        <v>786.27</v>
      </c>
      <c r="Q322" s="294">
        <f>+P322*$X$1</f>
        <v>786.27</v>
      </c>
      <c r="R322" s="492">
        <f>F322+42</f>
        <v>778.27</v>
      </c>
      <c r="S322" s="294">
        <f>+R322*$X$1</f>
        <v>778.27</v>
      </c>
      <c r="T322" s="103">
        <f>F322+34</f>
        <v>770.27</v>
      </c>
      <c r="U322" s="313">
        <f>+T322*$X$1</f>
        <v>770.27</v>
      </c>
      <c r="V322" s="103">
        <f>F322+29</f>
        <v>765.27</v>
      </c>
      <c r="W322" s="313">
        <f>+V322*$X$1</f>
        <v>765.27</v>
      </c>
      <c r="X322" s="132"/>
      <c r="Y322" s="132"/>
      <c r="Z322" s="132"/>
      <c r="AA322" s="132"/>
      <c r="AB322" s="420" t="s">
        <v>229</v>
      </c>
    </row>
    <row r="323" spans="1:31" ht="12" customHeight="1" x14ac:dyDescent="0.2">
      <c r="A323" s="98"/>
      <c r="B323" s="693" t="s">
        <v>230</v>
      </c>
      <c r="C323" s="696"/>
      <c r="D323" s="696"/>
      <c r="E323" s="697"/>
      <c r="F323" s="392">
        <f>0.372*X2</f>
        <v>385.76400000000001</v>
      </c>
      <c r="G323" s="260">
        <f>+F323*$X$1</f>
        <v>385.76400000000001</v>
      </c>
      <c r="H323" s="633"/>
      <c r="I323" s="633"/>
      <c r="J323" s="122"/>
      <c r="K323" s="293"/>
      <c r="L323" s="633">
        <f>F323+120</f>
        <v>505.76400000000001</v>
      </c>
      <c r="M323" s="293">
        <f>+L323*$X$1</f>
        <v>505.76400000000001</v>
      </c>
      <c r="N323" s="633">
        <f>F323+60</f>
        <v>445.76400000000001</v>
      </c>
      <c r="O323" s="293">
        <f>+N323*$X$1</f>
        <v>445.76400000000001</v>
      </c>
      <c r="P323" s="633">
        <f>F323+50</f>
        <v>435.76400000000001</v>
      </c>
      <c r="Q323" s="293">
        <f>+P323*$X$1</f>
        <v>435.76400000000001</v>
      </c>
      <c r="R323" s="633">
        <f>F323+42</f>
        <v>427.76400000000001</v>
      </c>
      <c r="S323" s="293">
        <f>+R323*$X$1</f>
        <v>427.76400000000001</v>
      </c>
      <c r="T323" s="104">
        <f>F323+34</f>
        <v>419.76400000000001</v>
      </c>
      <c r="U323" s="260">
        <f>+T323*$X$1</f>
        <v>419.76400000000001</v>
      </c>
      <c r="V323" s="104">
        <f>F323+29</f>
        <v>414.76400000000001</v>
      </c>
      <c r="W323" s="260">
        <f>+V323*$X$1</f>
        <v>414.76400000000001</v>
      </c>
      <c r="X323" s="132"/>
      <c r="Y323" s="132"/>
      <c r="Z323" s="132"/>
      <c r="AA323" s="132"/>
      <c r="AB323" s="420">
        <v>2189</v>
      </c>
    </row>
    <row r="324" spans="1:31" ht="12.6" customHeight="1" x14ac:dyDescent="0.2">
      <c r="A324" s="98"/>
      <c r="B324" s="690" t="s">
        <v>231</v>
      </c>
      <c r="C324" s="698"/>
      <c r="D324" s="698"/>
      <c r="E324" s="699"/>
      <c r="F324" s="393">
        <f>0.6*X2</f>
        <v>622.19999999999993</v>
      </c>
      <c r="G324" s="313">
        <f t="shared" ref="G324" si="671">+F324*$X$1</f>
        <v>622.19999999999993</v>
      </c>
      <c r="H324" s="492"/>
      <c r="I324" s="492"/>
      <c r="J324" s="121"/>
      <c r="K324" s="294"/>
      <c r="L324" s="492">
        <f>F324+120</f>
        <v>742.19999999999993</v>
      </c>
      <c r="M324" s="294">
        <f>+L324*$X$1</f>
        <v>742.19999999999993</v>
      </c>
      <c r="N324" s="492">
        <f>F324+60</f>
        <v>682.19999999999993</v>
      </c>
      <c r="O324" s="294">
        <f>+N324*$X$1</f>
        <v>682.19999999999993</v>
      </c>
      <c r="P324" s="492">
        <f>F324+50</f>
        <v>672.19999999999993</v>
      </c>
      <c r="Q324" s="294">
        <f>+P324*$X$1</f>
        <v>672.19999999999993</v>
      </c>
      <c r="R324" s="492">
        <f>F324+42</f>
        <v>664.19999999999993</v>
      </c>
      <c r="S324" s="294">
        <f>+R324*$X$1</f>
        <v>664.19999999999993</v>
      </c>
      <c r="T324" s="103">
        <f>F324+34</f>
        <v>656.19999999999993</v>
      </c>
      <c r="U324" s="313">
        <f>+T324*$X$1</f>
        <v>656.19999999999993</v>
      </c>
      <c r="V324" s="103">
        <f>F324+29</f>
        <v>651.19999999999993</v>
      </c>
      <c r="W324" s="313">
        <f>+V324*$X$1</f>
        <v>651.19999999999993</v>
      </c>
      <c r="X324" s="132"/>
      <c r="Y324" s="132"/>
      <c r="Z324" s="132"/>
      <c r="AA324" s="132"/>
      <c r="AB324" s="420">
        <v>2190</v>
      </c>
    </row>
    <row r="325" spans="1:31" ht="12.6" customHeight="1" x14ac:dyDescent="0.2">
      <c r="A325" s="18"/>
      <c r="B325" s="1003" t="s">
        <v>232</v>
      </c>
      <c r="C325" s="696"/>
      <c r="D325" s="696"/>
      <c r="E325" s="697"/>
      <c r="F325" s="392">
        <f>0.521*X2</f>
        <v>540.27700000000004</v>
      </c>
      <c r="G325" s="260">
        <f>+F325*$X$1</f>
        <v>540.27700000000004</v>
      </c>
      <c r="H325" s="559"/>
      <c r="I325" s="559"/>
      <c r="J325" s="122"/>
      <c r="K325" s="293"/>
      <c r="L325" s="596">
        <f t="shared" ref="L325:L343" si="672">F325+120</f>
        <v>660.27700000000004</v>
      </c>
      <c r="M325" s="293">
        <f t="shared" ref="M325:M338" si="673">+L325*$X$1</f>
        <v>660.27700000000004</v>
      </c>
      <c r="N325" s="596">
        <f t="shared" ref="N325:N338" si="674">F325+60</f>
        <v>600.27700000000004</v>
      </c>
      <c r="O325" s="293">
        <f t="shared" ref="O325:O338" si="675">+N325*$X$1</f>
        <v>600.27700000000004</v>
      </c>
      <c r="P325" s="596">
        <f t="shared" ref="P325:P338" si="676">F325+50</f>
        <v>590.27700000000004</v>
      </c>
      <c r="Q325" s="293">
        <f t="shared" ref="Q325:Q338" si="677">+P325*$X$1</f>
        <v>590.27700000000004</v>
      </c>
      <c r="R325" s="596">
        <f>F325+42</f>
        <v>582.27700000000004</v>
      </c>
      <c r="S325" s="293">
        <f>+R325*$X$1</f>
        <v>582.27700000000004</v>
      </c>
      <c r="T325" s="104">
        <f>F325+34</f>
        <v>574.27700000000004</v>
      </c>
      <c r="U325" s="260">
        <f>+T325*$X$1</f>
        <v>574.27700000000004</v>
      </c>
      <c r="V325" s="104">
        <f>F325+29</f>
        <v>569.27700000000004</v>
      </c>
      <c r="W325" s="260">
        <f>+V325*$X$1</f>
        <v>569.27700000000004</v>
      </c>
      <c r="X325" s="186"/>
      <c r="Y325" s="187"/>
      <c r="Z325" s="187"/>
      <c r="AA325" s="186"/>
      <c r="AB325" s="420">
        <v>2193</v>
      </c>
    </row>
    <row r="326" spans="1:31" ht="12.6" customHeight="1" x14ac:dyDescent="0.2">
      <c r="A326" s="18"/>
      <c r="B326" s="704" t="s">
        <v>233</v>
      </c>
      <c r="C326" s="705"/>
      <c r="D326" s="705"/>
      <c r="E326" s="705"/>
      <c r="F326" s="393">
        <f>0.57*X2</f>
        <v>591.08999999999992</v>
      </c>
      <c r="G326" s="313">
        <f>+F326*$X$1</f>
        <v>591.08999999999992</v>
      </c>
      <c r="H326" s="492"/>
      <c r="I326" s="492"/>
      <c r="J326" s="121"/>
      <c r="K326" s="294"/>
      <c r="L326" s="492">
        <f t="shared" si="672"/>
        <v>711.08999999999992</v>
      </c>
      <c r="M326" s="294">
        <f t="shared" si="673"/>
        <v>711.08999999999992</v>
      </c>
      <c r="N326" s="492">
        <f t="shared" si="674"/>
        <v>651.08999999999992</v>
      </c>
      <c r="O326" s="294">
        <f t="shared" si="675"/>
        <v>651.08999999999992</v>
      </c>
      <c r="P326" s="492">
        <f t="shared" si="676"/>
        <v>641.08999999999992</v>
      </c>
      <c r="Q326" s="294">
        <f t="shared" si="677"/>
        <v>641.08999999999992</v>
      </c>
      <c r="R326" s="492">
        <f>F326+42</f>
        <v>633.08999999999992</v>
      </c>
      <c r="S326" s="294">
        <f>+R326*$X$1</f>
        <v>633.08999999999992</v>
      </c>
      <c r="T326" s="103">
        <f>F326+34</f>
        <v>625.08999999999992</v>
      </c>
      <c r="U326" s="313">
        <f>+T326*$X$1</f>
        <v>625.08999999999992</v>
      </c>
      <c r="V326" s="103">
        <f>F326+29</f>
        <v>620.08999999999992</v>
      </c>
      <c r="W326" s="313">
        <f>+V326*$X$1</f>
        <v>620.08999999999992</v>
      </c>
      <c r="X326" s="132"/>
      <c r="Y326" s="132"/>
      <c r="Z326" s="132"/>
      <c r="AA326" s="132"/>
      <c r="AB326" s="420">
        <v>2194</v>
      </c>
    </row>
    <row r="327" spans="1:31" ht="12.6" customHeight="1" x14ac:dyDescent="0.2">
      <c r="A327" s="18"/>
      <c r="B327" s="1209" t="s">
        <v>234</v>
      </c>
      <c r="C327" s="1210"/>
      <c r="D327" s="1210"/>
      <c r="E327" s="1211"/>
      <c r="F327" s="392">
        <f>0.67*X2</f>
        <v>694.79000000000008</v>
      </c>
      <c r="G327" s="260">
        <f>+F327*$X$1</f>
        <v>694.79000000000008</v>
      </c>
      <c r="H327" s="559"/>
      <c r="I327" s="596"/>
      <c r="J327" s="122"/>
      <c r="K327" s="293"/>
      <c r="L327" s="596">
        <f t="shared" si="672"/>
        <v>814.79000000000008</v>
      </c>
      <c r="M327" s="293">
        <f t="shared" si="673"/>
        <v>814.79000000000008</v>
      </c>
      <c r="N327" s="596">
        <f t="shared" si="674"/>
        <v>754.79000000000008</v>
      </c>
      <c r="O327" s="293">
        <f t="shared" si="675"/>
        <v>754.79000000000008</v>
      </c>
      <c r="P327" s="596">
        <f t="shared" si="676"/>
        <v>744.79000000000008</v>
      </c>
      <c r="Q327" s="293">
        <f t="shared" si="677"/>
        <v>744.79000000000008</v>
      </c>
      <c r="R327" s="596">
        <f>F327+42</f>
        <v>736.79000000000008</v>
      </c>
      <c r="S327" s="293">
        <f>+R327*$X$1</f>
        <v>736.79000000000008</v>
      </c>
      <c r="T327" s="104">
        <f>F327+34</f>
        <v>728.79000000000008</v>
      </c>
      <c r="U327" s="260">
        <f>+T327*$X$1</f>
        <v>728.79000000000008</v>
      </c>
      <c r="V327" s="104">
        <f>F327+29</f>
        <v>723.79000000000008</v>
      </c>
      <c r="W327" s="260">
        <f>+V327*$X$1</f>
        <v>723.79000000000008</v>
      </c>
      <c r="X327" s="132"/>
      <c r="Y327" s="132"/>
      <c r="Z327" s="132"/>
      <c r="AA327" s="132"/>
      <c r="AB327" s="420">
        <v>2195</v>
      </c>
    </row>
    <row r="328" spans="1:31" ht="12.6" customHeight="1" x14ac:dyDescent="0.2">
      <c r="A328" s="18"/>
      <c r="B328" s="704" t="s">
        <v>235</v>
      </c>
      <c r="C328" s="705"/>
      <c r="D328" s="705"/>
      <c r="E328" s="705"/>
      <c r="F328" s="393">
        <f>0.652*X2</f>
        <v>676.12400000000002</v>
      </c>
      <c r="G328" s="313">
        <f>+F328*$X$1</f>
        <v>676.12400000000002</v>
      </c>
      <c r="H328" s="492"/>
      <c r="I328" s="492"/>
      <c r="J328" s="492"/>
      <c r="K328" s="294"/>
      <c r="L328" s="492">
        <f t="shared" si="672"/>
        <v>796.12400000000002</v>
      </c>
      <c r="M328" s="294">
        <f t="shared" si="673"/>
        <v>796.12400000000002</v>
      </c>
      <c r="N328" s="492">
        <f t="shared" si="674"/>
        <v>736.12400000000002</v>
      </c>
      <c r="O328" s="294">
        <f t="shared" si="675"/>
        <v>736.12400000000002</v>
      </c>
      <c r="P328" s="492">
        <f t="shared" si="676"/>
        <v>726.12400000000002</v>
      </c>
      <c r="Q328" s="294">
        <f t="shared" si="677"/>
        <v>726.12400000000002</v>
      </c>
      <c r="R328" s="492"/>
      <c r="S328" s="294"/>
      <c r="T328" s="103"/>
      <c r="U328" s="313"/>
      <c r="V328" s="103"/>
      <c r="W328" s="313"/>
      <c r="X328" s="132"/>
      <c r="Y328" s="132"/>
      <c r="Z328" s="132"/>
      <c r="AA328" s="132"/>
      <c r="AB328" s="420">
        <v>2198</v>
      </c>
    </row>
    <row r="329" spans="1:31" ht="12.6" customHeight="1" x14ac:dyDescent="0.2">
      <c r="A329" s="105"/>
      <c r="B329" s="683" t="s">
        <v>340</v>
      </c>
      <c r="C329" s="684"/>
      <c r="D329" s="684"/>
      <c r="E329" s="684"/>
      <c r="F329" s="392">
        <f>0.53*X2</f>
        <v>549.61</v>
      </c>
      <c r="G329" s="260">
        <f>+F329*$X$1</f>
        <v>549.61</v>
      </c>
      <c r="H329" s="559"/>
      <c r="I329" s="596"/>
      <c r="J329" s="596"/>
      <c r="K329" s="293"/>
      <c r="L329" s="596">
        <f t="shared" si="672"/>
        <v>669.61</v>
      </c>
      <c r="M329" s="293">
        <f t="shared" si="673"/>
        <v>669.61</v>
      </c>
      <c r="N329" s="596">
        <f t="shared" si="674"/>
        <v>609.61</v>
      </c>
      <c r="O329" s="293">
        <f t="shared" si="675"/>
        <v>609.61</v>
      </c>
      <c r="P329" s="596">
        <f t="shared" si="676"/>
        <v>599.61</v>
      </c>
      <c r="Q329" s="293">
        <f t="shared" si="677"/>
        <v>599.61</v>
      </c>
      <c r="R329" s="596">
        <f t="shared" ref="R329:R338" si="678">F329+42</f>
        <v>591.61</v>
      </c>
      <c r="S329" s="293">
        <f t="shared" ref="S329:S338" si="679">+R329*$X$1</f>
        <v>591.61</v>
      </c>
      <c r="T329" s="104">
        <f t="shared" ref="T329:T338" si="680">F329+34</f>
        <v>583.61</v>
      </c>
      <c r="U329" s="260">
        <f t="shared" ref="U329:U338" si="681">+T329*$X$1</f>
        <v>583.61</v>
      </c>
      <c r="V329" s="104">
        <f t="shared" ref="V329:V338" si="682">F329+29</f>
        <v>578.61</v>
      </c>
      <c r="W329" s="260">
        <f t="shared" ref="W329:W338" si="683">+V329*$X$1</f>
        <v>578.61</v>
      </c>
      <c r="X329" s="157"/>
      <c r="Y329" s="132"/>
      <c r="Z329" s="132"/>
      <c r="AA329" s="132"/>
      <c r="AB329" s="420">
        <v>2202</v>
      </c>
    </row>
    <row r="330" spans="1:31" ht="12.6" customHeight="1" x14ac:dyDescent="0.2">
      <c r="A330" s="105"/>
      <c r="B330" s="704" t="s">
        <v>341</v>
      </c>
      <c r="C330" s="751"/>
      <c r="D330" s="751"/>
      <c r="E330" s="751"/>
      <c r="F330" s="393">
        <f>0.53*X2</f>
        <v>549.61</v>
      </c>
      <c r="G330" s="313">
        <f t="shared" ref="G330:G334" si="684">+F330*$X$1</f>
        <v>549.61</v>
      </c>
      <c r="H330" s="492"/>
      <c r="I330" s="492"/>
      <c r="J330" s="492"/>
      <c r="K330" s="294"/>
      <c r="L330" s="492">
        <f t="shared" si="672"/>
        <v>669.61</v>
      </c>
      <c r="M330" s="294">
        <f t="shared" si="673"/>
        <v>669.61</v>
      </c>
      <c r="N330" s="492">
        <f t="shared" si="674"/>
        <v>609.61</v>
      </c>
      <c r="O330" s="294">
        <f t="shared" si="675"/>
        <v>609.61</v>
      </c>
      <c r="P330" s="492">
        <f t="shared" si="676"/>
        <v>599.61</v>
      </c>
      <c r="Q330" s="294">
        <f t="shared" si="677"/>
        <v>599.61</v>
      </c>
      <c r="R330" s="492">
        <f t="shared" si="678"/>
        <v>591.61</v>
      </c>
      <c r="S330" s="294">
        <f t="shared" si="679"/>
        <v>591.61</v>
      </c>
      <c r="T330" s="103">
        <f t="shared" si="680"/>
        <v>583.61</v>
      </c>
      <c r="U330" s="313">
        <f t="shared" si="681"/>
        <v>583.61</v>
      </c>
      <c r="V330" s="103">
        <f t="shared" si="682"/>
        <v>578.61</v>
      </c>
      <c r="W330" s="313">
        <f t="shared" si="683"/>
        <v>578.61</v>
      </c>
      <c r="X330" s="132"/>
      <c r="Y330" s="132"/>
      <c r="Z330" s="132"/>
      <c r="AA330" s="132"/>
      <c r="AB330" s="420" t="s">
        <v>236</v>
      </c>
    </row>
    <row r="331" spans="1:31" ht="12.6" customHeight="1" x14ac:dyDescent="0.2">
      <c r="A331" s="105"/>
      <c r="B331" s="683" t="s">
        <v>342</v>
      </c>
      <c r="C331" s="684"/>
      <c r="D331" s="684"/>
      <c r="E331" s="684"/>
      <c r="F331" s="392">
        <f>0.52*X2</f>
        <v>539.24</v>
      </c>
      <c r="G331" s="260">
        <f t="shared" ref="G331:G335" si="685">+F331*$X$1</f>
        <v>539.24</v>
      </c>
      <c r="H331" s="567"/>
      <c r="I331" s="596"/>
      <c r="J331" s="596"/>
      <c r="K331" s="314"/>
      <c r="L331" s="596">
        <f t="shared" si="672"/>
        <v>659.24</v>
      </c>
      <c r="M331" s="293">
        <f t="shared" si="673"/>
        <v>659.24</v>
      </c>
      <c r="N331" s="596">
        <f t="shared" si="674"/>
        <v>599.24</v>
      </c>
      <c r="O331" s="293">
        <f t="shared" si="675"/>
        <v>599.24</v>
      </c>
      <c r="P331" s="596">
        <f t="shared" si="676"/>
        <v>589.24</v>
      </c>
      <c r="Q331" s="293">
        <f t="shared" si="677"/>
        <v>589.24</v>
      </c>
      <c r="R331" s="596">
        <f t="shared" si="678"/>
        <v>581.24</v>
      </c>
      <c r="S331" s="293">
        <f t="shared" si="679"/>
        <v>581.24</v>
      </c>
      <c r="T331" s="104">
        <f t="shared" si="680"/>
        <v>573.24</v>
      </c>
      <c r="U331" s="260">
        <f t="shared" si="681"/>
        <v>573.24</v>
      </c>
      <c r="V331" s="104">
        <f t="shared" si="682"/>
        <v>568.24</v>
      </c>
      <c r="W331" s="260">
        <f t="shared" si="683"/>
        <v>568.24</v>
      </c>
      <c r="X331" s="132"/>
      <c r="Y331" s="132"/>
      <c r="Z331" s="132"/>
      <c r="AA331" s="132"/>
      <c r="AB331" s="420" t="s">
        <v>237</v>
      </c>
    </row>
    <row r="332" spans="1:31" ht="12.6" customHeight="1" x14ac:dyDescent="0.2">
      <c r="A332" s="105"/>
      <c r="B332" s="708" t="s">
        <v>889</v>
      </c>
      <c r="C332" s="749"/>
      <c r="D332" s="749"/>
      <c r="E332" s="749"/>
      <c r="F332" s="393">
        <f>0.52*X2</f>
        <v>539.24</v>
      </c>
      <c r="G332" s="313">
        <f t="shared" ref="G332" si="686">+F332*$X$1</f>
        <v>539.24</v>
      </c>
      <c r="H332" s="492"/>
      <c r="I332" s="492"/>
      <c r="J332" s="492"/>
      <c r="K332" s="328"/>
      <c r="L332" s="492">
        <f t="shared" si="672"/>
        <v>659.24</v>
      </c>
      <c r="M332" s="294">
        <f t="shared" si="673"/>
        <v>659.24</v>
      </c>
      <c r="N332" s="492">
        <f t="shared" si="674"/>
        <v>599.24</v>
      </c>
      <c r="O332" s="294">
        <f t="shared" si="675"/>
        <v>599.24</v>
      </c>
      <c r="P332" s="492">
        <f t="shared" si="676"/>
        <v>589.24</v>
      </c>
      <c r="Q332" s="294">
        <f t="shared" si="677"/>
        <v>589.24</v>
      </c>
      <c r="R332" s="492">
        <f t="shared" si="678"/>
        <v>581.24</v>
      </c>
      <c r="S332" s="294">
        <f t="shared" si="679"/>
        <v>581.24</v>
      </c>
      <c r="T332" s="103">
        <f t="shared" si="680"/>
        <v>573.24</v>
      </c>
      <c r="U332" s="313">
        <f t="shared" si="681"/>
        <v>573.24</v>
      </c>
      <c r="V332" s="103">
        <f t="shared" si="682"/>
        <v>568.24</v>
      </c>
      <c r="W332" s="313">
        <f t="shared" si="683"/>
        <v>568.24</v>
      </c>
      <c r="X332" s="132"/>
      <c r="Y332" s="132"/>
      <c r="Z332" s="132"/>
      <c r="AA332" s="132"/>
      <c r="AB332" s="568" t="s">
        <v>888</v>
      </c>
    </row>
    <row r="333" spans="1:31" ht="12.6" customHeight="1" x14ac:dyDescent="0.2">
      <c r="A333" s="105"/>
      <c r="B333" s="719" t="s">
        <v>659</v>
      </c>
      <c r="C333" s="1195"/>
      <c r="D333" s="1195"/>
      <c r="E333" s="1196"/>
      <c r="F333" s="392">
        <f>0.68*X2</f>
        <v>705.16000000000008</v>
      </c>
      <c r="G333" s="260">
        <f t="shared" si="685"/>
        <v>705.16000000000008</v>
      </c>
      <c r="H333" s="537"/>
      <c r="I333" s="596"/>
      <c r="J333" s="596"/>
      <c r="K333" s="293"/>
      <c r="L333" s="596">
        <f t="shared" si="672"/>
        <v>825.16000000000008</v>
      </c>
      <c r="M333" s="293">
        <f t="shared" si="673"/>
        <v>825.16000000000008</v>
      </c>
      <c r="N333" s="596">
        <f t="shared" si="674"/>
        <v>765.16000000000008</v>
      </c>
      <c r="O333" s="293">
        <f t="shared" si="675"/>
        <v>765.16000000000008</v>
      </c>
      <c r="P333" s="596">
        <f t="shared" si="676"/>
        <v>755.16000000000008</v>
      </c>
      <c r="Q333" s="293">
        <f t="shared" si="677"/>
        <v>755.16000000000008</v>
      </c>
      <c r="R333" s="596">
        <f t="shared" si="678"/>
        <v>747.16000000000008</v>
      </c>
      <c r="S333" s="293">
        <f t="shared" si="679"/>
        <v>747.16000000000008</v>
      </c>
      <c r="T333" s="104">
        <f t="shared" si="680"/>
        <v>739.16000000000008</v>
      </c>
      <c r="U333" s="260">
        <f t="shared" si="681"/>
        <v>739.16000000000008</v>
      </c>
      <c r="V333" s="104">
        <f t="shared" si="682"/>
        <v>734.16000000000008</v>
      </c>
      <c r="W333" s="260">
        <f t="shared" si="683"/>
        <v>734.16000000000008</v>
      </c>
      <c r="X333" s="716"/>
      <c r="Y333" s="716"/>
      <c r="Z333" s="716"/>
      <c r="AA333" s="717"/>
      <c r="AB333" s="420" t="s">
        <v>663</v>
      </c>
      <c r="AC333" s="66"/>
      <c r="AE333" s="88"/>
    </row>
    <row r="334" spans="1:31" ht="12.6" customHeight="1" x14ac:dyDescent="0.2">
      <c r="A334" s="105"/>
      <c r="B334" s="1111" t="s">
        <v>238</v>
      </c>
      <c r="C334" s="1207"/>
      <c r="D334" s="1207"/>
      <c r="E334" s="1208"/>
      <c r="F334" s="393">
        <f>0.75*X2</f>
        <v>777.75</v>
      </c>
      <c r="G334" s="313">
        <f t="shared" si="684"/>
        <v>777.75</v>
      </c>
      <c r="H334" s="492"/>
      <c r="I334" s="492"/>
      <c r="J334" s="492"/>
      <c r="K334" s="294"/>
      <c r="L334" s="492">
        <f t="shared" si="672"/>
        <v>897.75</v>
      </c>
      <c r="M334" s="294">
        <f t="shared" si="673"/>
        <v>897.75</v>
      </c>
      <c r="N334" s="492">
        <f t="shared" si="674"/>
        <v>837.75</v>
      </c>
      <c r="O334" s="294">
        <f t="shared" si="675"/>
        <v>837.75</v>
      </c>
      <c r="P334" s="492">
        <f t="shared" si="676"/>
        <v>827.75</v>
      </c>
      <c r="Q334" s="294">
        <f t="shared" si="677"/>
        <v>827.75</v>
      </c>
      <c r="R334" s="492">
        <f t="shared" si="678"/>
        <v>819.75</v>
      </c>
      <c r="S334" s="294">
        <f t="shared" si="679"/>
        <v>819.75</v>
      </c>
      <c r="T334" s="103">
        <f t="shared" si="680"/>
        <v>811.75</v>
      </c>
      <c r="U334" s="313">
        <f t="shared" si="681"/>
        <v>811.75</v>
      </c>
      <c r="V334" s="103">
        <f t="shared" si="682"/>
        <v>806.75</v>
      </c>
      <c r="W334" s="313">
        <f t="shared" si="683"/>
        <v>806.75</v>
      </c>
      <c r="X334" s="716"/>
      <c r="Y334" s="716"/>
      <c r="Z334" s="716"/>
      <c r="AA334" s="717"/>
      <c r="AB334" s="420" t="s">
        <v>239</v>
      </c>
      <c r="AC334" s="66"/>
      <c r="AE334" s="88"/>
    </row>
    <row r="335" spans="1:31" ht="12.6" customHeight="1" x14ac:dyDescent="0.2">
      <c r="A335" s="98"/>
      <c r="B335" s="719" t="s">
        <v>240</v>
      </c>
      <c r="C335" s="1203"/>
      <c r="D335" s="1203"/>
      <c r="E335" s="1204"/>
      <c r="F335" s="392">
        <f>0.745*X2</f>
        <v>772.56499999999994</v>
      </c>
      <c r="G335" s="260">
        <f t="shared" si="685"/>
        <v>772.56499999999994</v>
      </c>
      <c r="H335" s="537"/>
      <c r="I335" s="596"/>
      <c r="J335" s="596"/>
      <c r="K335" s="293"/>
      <c r="L335" s="596">
        <f t="shared" si="672"/>
        <v>892.56499999999994</v>
      </c>
      <c r="M335" s="293">
        <f t="shared" si="673"/>
        <v>892.56499999999994</v>
      </c>
      <c r="N335" s="596">
        <f t="shared" si="674"/>
        <v>832.56499999999994</v>
      </c>
      <c r="O335" s="293">
        <f t="shared" si="675"/>
        <v>832.56499999999994</v>
      </c>
      <c r="P335" s="596">
        <f t="shared" si="676"/>
        <v>822.56499999999994</v>
      </c>
      <c r="Q335" s="293">
        <f t="shared" si="677"/>
        <v>822.56499999999994</v>
      </c>
      <c r="R335" s="596">
        <f t="shared" si="678"/>
        <v>814.56499999999994</v>
      </c>
      <c r="S335" s="293">
        <f t="shared" si="679"/>
        <v>814.56499999999994</v>
      </c>
      <c r="T335" s="104">
        <f t="shared" si="680"/>
        <v>806.56499999999994</v>
      </c>
      <c r="U335" s="260">
        <f t="shared" si="681"/>
        <v>806.56499999999994</v>
      </c>
      <c r="V335" s="104">
        <f t="shared" si="682"/>
        <v>801.56499999999994</v>
      </c>
      <c r="W335" s="260">
        <f t="shared" si="683"/>
        <v>801.56499999999994</v>
      </c>
      <c r="X335" s="173"/>
      <c r="Y335" s="132"/>
      <c r="Z335" s="132"/>
      <c r="AA335" s="132"/>
      <c r="AB335" s="420">
        <v>2203</v>
      </c>
      <c r="AC335" s="232"/>
    </row>
    <row r="336" spans="1:31" ht="12.6" customHeight="1" x14ac:dyDescent="0.2">
      <c r="A336" s="98"/>
      <c r="B336" s="710" t="s">
        <v>241</v>
      </c>
      <c r="C336" s="1194"/>
      <c r="D336" s="1194"/>
      <c r="E336" s="1194"/>
      <c r="F336" s="393">
        <f>0.79*X2</f>
        <v>819.23</v>
      </c>
      <c r="G336" s="313">
        <f>+F336*$X$1</f>
        <v>819.23</v>
      </c>
      <c r="H336" s="492"/>
      <c r="I336" s="492"/>
      <c r="J336" s="492"/>
      <c r="K336" s="294"/>
      <c r="L336" s="492">
        <f t="shared" si="672"/>
        <v>939.23</v>
      </c>
      <c r="M336" s="294">
        <f t="shared" si="673"/>
        <v>939.23</v>
      </c>
      <c r="N336" s="492">
        <f t="shared" si="674"/>
        <v>879.23</v>
      </c>
      <c r="O336" s="294">
        <f t="shared" si="675"/>
        <v>879.23</v>
      </c>
      <c r="P336" s="492">
        <f t="shared" si="676"/>
        <v>869.23</v>
      </c>
      <c r="Q336" s="294">
        <f t="shared" si="677"/>
        <v>869.23</v>
      </c>
      <c r="R336" s="492">
        <f t="shared" si="678"/>
        <v>861.23</v>
      </c>
      <c r="S336" s="294">
        <f t="shared" si="679"/>
        <v>861.23</v>
      </c>
      <c r="T336" s="103">
        <f t="shared" si="680"/>
        <v>853.23</v>
      </c>
      <c r="U336" s="313">
        <f t="shared" si="681"/>
        <v>853.23</v>
      </c>
      <c r="V336" s="103">
        <f t="shared" si="682"/>
        <v>848.23</v>
      </c>
      <c r="W336" s="313">
        <f t="shared" si="683"/>
        <v>848.23</v>
      </c>
      <c r="X336" s="174"/>
      <c r="Y336" s="136"/>
      <c r="Z336" s="136"/>
      <c r="AA336" s="139"/>
      <c r="AB336" s="420">
        <v>2205</v>
      </c>
      <c r="AC336" s="66"/>
    </row>
    <row r="337" spans="1:29" ht="12.6" customHeight="1" x14ac:dyDescent="0.2">
      <c r="A337" s="98"/>
      <c r="B337" s="683" t="s">
        <v>242</v>
      </c>
      <c r="C337" s="684"/>
      <c r="D337" s="684"/>
      <c r="E337" s="684"/>
      <c r="F337" s="392">
        <f>0.49*X2</f>
        <v>508.13</v>
      </c>
      <c r="G337" s="260">
        <f>+F337*$X$1</f>
        <v>508.13</v>
      </c>
      <c r="H337" s="537"/>
      <c r="I337" s="596"/>
      <c r="J337" s="596"/>
      <c r="K337" s="293"/>
      <c r="L337" s="596">
        <f t="shared" si="672"/>
        <v>628.13</v>
      </c>
      <c r="M337" s="293">
        <f t="shared" si="673"/>
        <v>628.13</v>
      </c>
      <c r="N337" s="596">
        <f t="shared" si="674"/>
        <v>568.13</v>
      </c>
      <c r="O337" s="293">
        <f t="shared" si="675"/>
        <v>568.13</v>
      </c>
      <c r="P337" s="596">
        <f t="shared" si="676"/>
        <v>558.13</v>
      </c>
      <c r="Q337" s="293">
        <f t="shared" si="677"/>
        <v>558.13</v>
      </c>
      <c r="R337" s="596">
        <f t="shared" si="678"/>
        <v>550.13</v>
      </c>
      <c r="S337" s="293">
        <f t="shared" si="679"/>
        <v>550.13</v>
      </c>
      <c r="T337" s="104">
        <f t="shared" si="680"/>
        <v>542.13</v>
      </c>
      <c r="U337" s="260">
        <f t="shared" si="681"/>
        <v>542.13</v>
      </c>
      <c r="V337" s="104">
        <f t="shared" si="682"/>
        <v>537.13</v>
      </c>
      <c r="W337" s="260">
        <f t="shared" si="683"/>
        <v>537.13</v>
      </c>
      <c r="X337" s="136"/>
      <c r="Y337" s="136"/>
      <c r="Z337" s="136"/>
      <c r="AA337" s="139"/>
      <c r="AB337" s="420">
        <v>2207</v>
      </c>
    </row>
    <row r="338" spans="1:29" ht="12.6" customHeight="1" x14ac:dyDescent="0.2">
      <c r="A338" s="98"/>
      <c r="B338" s="704" t="s">
        <v>243</v>
      </c>
      <c r="C338" s="751"/>
      <c r="D338" s="751"/>
      <c r="E338" s="751"/>
      <c r="F338" s="393">
        <f>0.42*X2</f>
        <v>435.53999999999996</v>
      </c>
      <c r="G338" s="358">
        <f>+F338*$X$1</f>
        <v>435.53999999999996</v>
      </c>
      <c r="H338" s="96"/>
      <c r="I338" s="96"/>
      <c r="J338" s="96"/>
      <c r="K338" s="296"/>
      <c r="L338" s="492">
        <f t="shared" si="672"/>
        <v>555.54</v>
      </c>
      <c r="M338" s="294">
        <f t="shared" si="673"/>
        <v>555.54</v>
      </c>
      <c r="N338" s="492">
        <f t="shared" si="674"/>
        <v>495.53999999999996</v>
      </c>
      <c r="O338" s="294">
        <f t="shared" si="675"/>
        <v>495.53999999999996</v>
      </c>
      <c r="P338" s="492">
        <f t="shared" si="676"/>
        <v>485.53999999999996</v>
      </c>
      <c r="Q338" s="294">
        <f t="shared" si="677"/>
        <v>485.53999999999996</v>
      </c>
      <c r="R338" s="492">
        <f t="shared" si="678"/>
        <v>477.53999999999996</v>
      </c>
      <c r="S338" s="294">
        <f t="shared" si="679"/>
        <v>477.53999999999996</v>
      </c>
      <c r="T338" s="103">
        <f t="shared" si="680"/>
        <v>469.53999999999996</v>
      </c>
      <c r="U338" s="313">
        <f t="shared" si="681"/>
        <v>469.53999999999996</v>
      </c>
      <c r="V338" s="103">
        <f t="shared" si="682"/>
        <v>464.53999999999996</v>
      </c>
      <c r="W338" s="313">
        <f t="shared" si="683"/>
        <v>464.53999999999996</v>
      </c>
      <c r="X338" s="136"/>
      <c r="Y338" s="136"/>
      <c r="Z338" s="136"/>
      <c r="AA338" s="139"/>
      <c r="AB338" s="420">
        <v>2209</v>
      </c>
    </row>
    <row r="339" spans="1:29" ht="12.6" customHeight="1" x14ac:dyDescent="0.2">
      <c r="A339" s="98"/>
      <c r="B339" s="1214" t="s">
        <v>244</v>
      </c>
      <c r="C339" s="1215"/>
      <c r="D339" s="1215"/>
      <c r="E339" s="1215"/>
      <c r="F339" s="392">
        <f>4.17*X2</f>
        <v>4324.29</v>
      </c>
      <c r="G339" s="293">
        <f t="shared" ref="G339" si="687">+F339*$X$1</f>
        <v>4324.29</v>
      </c>
      <c r="H339" s="407">
        <f>F339+360</f>
        <v>4684.29</v>
      </c>
      <c r="I339" s="293">
        <f>+H339*$X$1</f>
        <v>4684.29</v>
      </c>
      <c r="J339" s="596">
        <f>F339+180</f>
        <v>4504.29</v>
      </c>
      <c r="K339" s="293">
        <f t="shared" ref="K339" si="688">+J339*$X$1</f>
        <v>4504.29</v>
      </c>
      <c r="L339" s="596">
        <f t="shared" si="672"/>
        <v>4444.29</v>
      </c>
      <c r="M339" s="293">
        <f t="shared" ref="M339" si="689">+L339*$X$1</f>
        <v>4444.29</v>
      </c>
      <c r="N339" s="596">
        <f>F339+61</f>
        <v>4385.29</v>
      </c>
      <c r="O339" s="293">
        <f t="shared" ref="O339" si="690">+N339*$X$1</f>
        <v>4385.29</v>
      </c>
      <c r="P339" s="596">
        <f>F339+54</f>
        <v>4378.29</v>
      </c>
      <c r="Q339" s="293">
        <f t="shared" ref="Q339" si="691">+P339*$X$1</f>
        <v>4378.29</v>
      </c>
      <c r="R339" s="596">
        <f>F339+47</f>
        <v>4371.29</v>
      </c>
      <c r="S339" s="293">
        <f t="shared" ref="S339" si="692">+R339*$X$1</f>
        <v>4371.29</v>
      </c>
      <c r="T339" s="596">
        <f>F339+38</f>
        <v>4362.29</v>
      </c>
      <c r="U339" s="293">
        <f t="shared" ref="U339" si="693">+T339*$X$1</f>
        <v>4362.29</v>
      </c>
      <c r="V339" s="596">
        <f>F339+33</f>
        <v>4357.29</v>
      </c>
      <c r="W339" s="293">
        <f t="shared" ref="W339" si="694">+V339*$X$1</f>
        <v>4357.29</v>
      </c>
      <c r="X339" s="750"/>
      <c r="Y339" s="716"/>
      <c r="Z339" s="716"/>
      <c r="AA339" s="717"/>
      <c r="AB339" s="420">
        <v>2216</v>
      </c>
      <c r="AC339" s="66"/>
    </row>
    <row r="340" spans="1:29" ht="12.6" customHeight="1" x14ac:dyDescent="0.2">
      <c r="A340" s="105"/>
      <c r="B340" s="942" t="s">
        <v>374</v>
      </c>
      <c r="C340" s="943"/>
      <c r="D340" s="943"/>
      <c r="E340" s="943"/>
      <c r="F340" s="605">
        <v>1350</v>
      </c>
      <c r="G340" s="600">
        <f>+F340*$X$1</f>
        <v>1350</v>
      </c>
      <c r="H340" s="602">
        <f>F340+360</f>
        <v>1710</v>
      </c>
      <c r="I340" s="600">
        <f>+H340*$X$1</f>
        <v>1710</v>
      </c>
      <c r="J340" s="602">
        <f>F340+180</f>
        <v>1530</v>
      </c>
      <c r="K340" s="600">
        <f t="shared" ref="K340" si="695">+J340*$X$1</f>
        <v>1530</v>
      </c>
      <c r="L340" s="602">
        <f t="shared" si="672"/>
        <v>1470</v>
      </c>
      <c r="M340" s="600">
        <f t="shared" ref="M340" si="696">+L340*$X$1</f>
        <v>1470</v>
      </c>
      <c r="N340" s="602">
        <f>F340+61</f>
        <v>1411</v>
      </c>
      <c r="O340" s="600">
        <f t="shared" ref="O340" si="697">+N340*$X$1</f>
        <v>1411</v>
      </c>
      <c r="P340" s="603"/>
      <c r="Q340" s="1197" t="s">
        <v>152</v>
      </c>
      <c r="R340" s="1198"/>
      <c r="S340" s="1198"/>
      <c r="T340" s="1198"/>
      <c r="U340" s="1198"/>
      <c r="V340" s="1198"/>
      <c r="W340" s="1199"/>
      <c r="X340" s="750"/>
      <c r="Y340" s="716"/>
      <c r="Z340" s="716"/>
      <c r="AA340" s="717"/>
      <c r="AB340" s="420">
        <v>2222</v>
      </c>
    </row>
    <row r="341" spans="1:29" ht="12.6" customHeight="1" x14ac:dyDescent="0.2">
      <c r="A341" s="18"/>
      <c r="B341" s="719" t="s">
        <v>717</v>
      </c>
      <c r="C341" s="720"/>
      <c r="D341" s="720"/>
      <c r="E341" s="721"/>
      <c r="F341" s="397">
        <f>0.59*X2</f>
        <v>611.82999999999993</v>
      </c>
      <c r="G341" s="293">
        <f t="shared" ref="G341" si="698">+F341*$X$1</f>
        <v>611.82999999999993</v>
      </c>
      <c r="H341" s="286"/>
      <c r="I341" s="286"/>
      <c r="J341" s="596"/>
      <c r="K341" s="596"/>
      <c r="L341" s="596">
        <f t="shared" si="672"/>
        <v>731.82999999999993</v>
      </c>
      <c r="M341" s="293">
        <f t="shared" ref="M341:M350" si="699">+L341*$X$1</f>
        <v>731.82999999999993</v>
      </c>
      <c r="N341" s="596">
        <f>F341+60</f>
        <v>671.82999999999993</v>
      </c>
      <c r="O341" s="293">
        <f t="shared" ref="O341:O369" si="700">+N341*$X$1</f>
        <v>671.82999999999993</v>
      </c>
      <c r="P341" s="596">
        <f>F341+50</f>
        <v>661.82999999999993</v>
      </c>
      <c r="Q341" s="293">
        <f t="shared" ref="Q341:Q369" si="701">+P341*$X$1</f>
        <v>661.82999999999993</v>
      </c>
      <c r="R341" s="596">
        <f>F341+42</f>
        <v>653.82999999999993</v>
      </c>
      <c r="S341" s="293">
        <f t="shared" ref="S341:S369" si="702">+R341*$X$1</f>
        <v>653.82999999999993</v>
      </c>
      <c r="T341" s="104">
        <f>F341+34</f>
        <v>645.82999999999993</v>
      </c>
      <c r="U341" s="260">
        <f t="shared" ref="U341:U349" si="703">+T341*$X$1</f>
        <v>645.82999999999993</v>
      </c>
      <c r="V341" s="104">
        <f>F341+29</f>
        <v>640.82999999999993</v>
      </c>
      <c r="W341" s="260">
        <f>+V341*$X$1</f>
        <v>640.82999999999993</v>
      </c>
      <c r="X341" s="468"/>
      <c r="Y341" s="467"/>
      <c r="Z341" s="467"/>
      <c r="AA341" s="468"/>
      <c r="AB341" s="420">
        <v>2231</v>
      </c>
      <c r="AC341" s="66"/>
    </row>
    <row r="342" spans="1:29" ht="12.6" customHeight="1" x14ac:dyDescent="0.2">
      <c r="A342" s="18"/>
      <c r="B342" s="1111" t="s">
        <v>729</v>
      </c>
      <c r="C342" s="1112"/>
      <c r="D342" s="1112"/>
      <c r="E342" s="1113"/>
      <c r="F342" s="396">
        <f>0.57*X2</f>
        <v>591.08999999999992</v>
      </c>
      <c r="G342" s="294">
        <f t="shared" ref="G342" si="704">+F342*$X$1</f>
        <v>591.08999999999992</v>
      </c>
      <c r="H342" s="285"/>
      <c r="I342" s="285"/>
      <c r="J342" s="492"/>
      <c r="K342" s="492"/>
      <c r="L342" s="492">
        <f t="shared" si="672"/>
        <v>711.08999999999992</v>
      </c>
      <c r="M342" s="294">
        <f t="shared" si="699"/>
        <v>711.08999999999992</v>
      </c>
      <c r="N342" s="492">
        <f>F342+60</f>
        <v>651.08999999999992</v>
      </c>
      <c r="O342" s="294">
        <f t="shared" si="700"/>
        <v>651.08999999999992</v>
      </c>
      <c r="P342" s="492">
        <f>F342+50</f>
        <v>641.08999999999992</v>
      </c>
      <c r="Q342" s="294">
        <f t="shared" si="701"/>
        <v>641.08999999999992</v>
      </c>
      <c r="R342" s="492">
        <f>F342+42</f>
        <v>633.08999999999992</v>
      </c>
      <c r="S342" s="294">
        <f t="shared" si="702"/>
        <v>633.08999999999992</v>
      </c>
      <c r="T342" s="103">
        <f>F342+34</f>
        <v>625.08999999999992</v>
      </c>
      <c r="U342" s="313">
        <f t="shared" si="703"/>
        <v>625.08999999999992</v>
      </c>
      <c r="V342" s="103">
        <f>F342+29</f>
        <v>620.08999999999992</v>
      </c>
      <c r="W342" s="313">
        <f>+V342*$X$1</f>
        <v>620.08999999999992</v>
      </c>
      <c r="X342" s="473"/>
      <c r="Y342" s="472"/>
      <c r="Z342" s="472"/>
      <c r="AA342" s="473"/>
      <c r="AB342" s="420">
        <v>2232</v>
      </c>
      <c r="AC342" s="66"/>
    </row>
    <row r="343" spans="1:29" ht="12.6" customHeight="1" x14ac:dyDescent="0.2">
      <c r="A343" s="18"/>
      <c r="B343" s="719" t="s">
        <v>801</v>
      </c>
      <c r="C343" s="720"/>
      <c r="D343" s="720"/>
      <c r="E343" s="721"/>
      <c r="F343" s="397">
        <f>0.99*X2</f>
        <v>1026.6299999999999</v>
      </c>
      <c r="G343" s="293">
        <f t="shared" ref="G343" si="705">+F343*$X$1</f>
        <v>1026.6299999999999</v>
      </c>
      <c r="H343" s="286"/>
      <c r="I343" s="286"/>
      <c r="J343" s="596"/>
      <c r="K343" s="596"/>
      <c r="L343" s="596">
        <f t="shared" si="672"/>
        <v>1146.6299999999999</v>
      </c>
      <c r="M343" s="293">
        <f t="shared" si="699"/>
        <v>1146.6299999999999</v>
      </c>
      <c r="N343" s="596">
        <f>F343+60</f>
        <v>1086.6299999999999</v>
      </c>
      <c r="O343" s="293">
        <f t="shared" si="700"/>
        <v>1086.6299999999999</v>
      </c>
      <c r="P343" s="596">
        <f>F343+50</f>
        <v>1076.6299999999999</v>
      </c>
      <c r="Q343" s="293">
        <f t="shared" si="701"/>
        <v>1076.6299999999999</v>
      </c>
      <c r="R343" s="596">
        <f>F343+42</f>
        <v>1068.6299999999999</v>
      </c>
      <c r="S343" s="293">
        <f t="shared" si="702"/>
        <v>1068.6299999999999</v>
      </c>
      <c r="T343" s="104">
        <f>F343+34</f>
        <v>1060.6299999999999</v>
      </c>
      <c r="U343" s="260">
        <f t="shared" si="703"/>
        <v>1060.6299999999999</v>
      </c>
      <c r="V343" s="104">
        <f>F343+29</f>
        <v>1055.6299999999999</v>
      </c>
      <c r="W343" s="260">
        <f>+V343*$X$1</f>
        <v>1055.6299999999999</v>
      </c>
      <c r="X343" s="473"/>
      <c r="Y343" s="472"/>
      <c r="Z343" s="472"/>
      <c r="AA343" s="473"/>
      <c r="AB343" s="420">
        <v>2233</v>
      </c>
      <c r="AC343" s="66"/>
    </row>
    <row r="344" spans="1:29" ht="12.6" customHeight="1" x14ac:dyDescent="0.2">
      <c r="A344" s="98"/>
      <c r="B344" s="942" t="s">
        <v>802</v>
      </c>
      <c r="C344" s="982"/>
      <c r="D344" s="982"/>
      <c r="E344" s="982"/>
      <c r="F344" s="605">
        <f>0.4*X2</f>
        <v>414.8</v>
      </c>
      <c r="G344" s="600">
        <f t="shared" ref="G344:G354" si="706">+F344*$X$1</f>
        <v>414.8</v>
      </c>
      <c r="H344" s="602"/>
      <c r="I344" s="600"/>
      <c r="J344" s="602"/>
      <c r="K344" s="600"/>
      <c r="L344" s="602">
        <f>F344+190</f>
        <v>604.79999999999995</v>
      </c>
      <c r="M344" s="600">
        <f t="shared" si="699"/>
        <v>604.79999999999995</v>
      </c>
      <c r="N344" s="602">
        <f>F344+100</f>
        <v>514.79999999999995</v>
      </c>
      <c r="O344" s="600">
        <f t="shared" si="700"/>
        <v>514.79999999999995</v>
      </c>
      <c r="P344" s="602">
        <f>F344+80</f>
        <v>494.8</v>
      </c>
      <c r="Q344" s="600">
        <f t="shared" si="701"/>
        <v>494.8</v>
      </c>
      <c r="R344" s="602">
        <f>F344+68</f>
        <v>482.8</v>
      </c>
      <c r="S344" s="600">
        <f t="shared" si="702"/>
        <v>482.8</v>
      </c>
      <c r="T344" s="612">
        <f>F344+52</f>
        <v>466.8</v>
      </c>
      <c r="U344" s="611">
        <f t="shared" si="703"/>
        <v>466.8</v>
      </c>
      <c r="V344" s="612"/>
      <c r="W344" s="611"/>
      <c r="X344" s="140"/>
      <c r="Y344" s="136"/>
      <c r="Z344" s="136"/>
      <c r="AA344" s="139"/>
      <c r="AB344" s="420">
        <v>2234</v>
      </c>
    </row>
    <row r="345" spans="1:29" ht="12.6" customHeight="1" x14ac:dyDescent="0.2">
      <c r="A345" s="98"/>
      <c r="B345" s="704" t="s">
        <v>803</v>
      </c>
      <c r="C345" s="928"/>
      <c r="D345" s="928"/>
      <c r="E345" s="928"/>
      <c r="F345" s="393">
        <f>0.56*X2</f>
        <v>580.72</v>
      </c>
      <c r="G345" s="294">
        <f t="shared" si="706"/>
        <v>580.72</v>
      </c>
      <c r="H345" s="285"/>
      <c r="I345" s="354"/>
      <c r="J345" s="492"/>
      <c r="K345" s="294"/>
      <c r="L345" s="492">
        <f>F345+190</f>
        <v>770.72</v>
      </c>
      <c r="M345" s="294">
        <f t="shared" si="699"/>
        <v>770.72</v>
      </c>
      <c r="N345" s="492">
        <f>F345+100</f>
        <v>680.72</v>
      </c>
      <c r="O345" s="294">
        <f t="shared" si="700"/>
        <v>680.72</v>
      </c>
      <c r="P345" s="492">
        <f>F345+80</f>
        <v>660.72</v>
      </c>
      <c r="Q345" s="294">
        <f t="shared" si="701"/>
        <v>660.72</v>
      </c>
      <c r="R345" s="492">
        <f>F345+68</f>
        <v>648.72</v>
      </c>
      <c r="S345" s="294">
        <f t="shared" si="702"/>
        <v>648.72</v>
      </c>
      <c r="T345" s="103">
        <f>F345+52</f>
        <v>632.72</v>
      </c>
      <c r="U345" s="313">
        <f t="shared" si="703"/>
        <v>632.72</v>
      </c>
      <c r="V345" s="103">
        <f>F345+45</f>
        <v>625.72</v>
      </c>
      <c r="W345" s="313">
        <f>+V345*$X$1</f>
        <v>625.72</v>
      </c>
      <c r="X345" s="140"/>
      <c r="Y345" s="136"/>
      <c r="Z345" s="136"/>
      <c r="AA345" s="139"/>
      <c r="AB345" s="420" t="s">
        <v>245</v>
      </c>
    </row>
    <row r="346" spans="1:29" ht="12.6" customHeight="1" x14ac:dyDescent="0.2">
      <c r="A346" s="18"/>
      <c r="B346" s="722" t="s">
        <v>843</v>
      </c>
      <c r="C346" s="723"/>
      <c r="D346" s="723"/>
      <c r="E346" s="724"/>
      <c r="F346" s="397">
        <f>0.372*X2</f>
        <v>385.76400000000001</v>
      </c>
      <c r="G346" s="293">
        <f t="shared" si="706"/>
        <v>385.76400000000001</v>
      </c>
      <c r="H346" s="286"/>
      <c r="I346" s="286"/>
      <c r="J346" s="619"/>
      <c r="K346" s="619"/>
      <c r="L346" s="619">
        <f t="shared" ref="L346:L350" si="707">F346+120</f>
        <v>505.76400000000001</v>
      </c>
      <c r="M346" s="293">
        <f t="shared" si="699"/>
        <v>505.76400000000001</v>
      </c>
      <c r="N346" s="619">
        <f t="shared" ref="N346:N369" si="708">F346+60</f>
        <v>445.76400000000001</v>
      </c>
      <c r="O346" s="293">
        <f t="shared" si="700"/>
        <v>445.76400000000001</v>
      </c>
      <c r="P346" s="619">
        <f t="shared" ref="P346:P369" si="709">F346+50</f>
        <v>435.76400000000001</v>
      </c>
      <c r="Q346" s="293">
        <f t="shared" si="701"/>
        <v>435.76400000000001</v>
      </c>
      <c r="R346" s="619">
        <f t="shared" ref="R346:R369" si="710">F346+42</f>
        <v>427.76400000000001</v>
      </c>
      <c r="S346" s="293">
        <f t="shared" si="702"/>
        <v>427.76400000000001</v>
      </c>
      <c r="T346" s="104">
        <f>F346+34</f>
        <v>419.76400000000001</v>
      </c>
      <c r="U346" s="260">
        <f t="shared" si="703"/>
        <v>419.76400000000001</v>
      </c>
      <c r="V346" s="104">
        <f>F346+29</f>
        <v>414.76400000000001</v>
      </c>
      <c r="W346" s="260">
        <f>+V346*$X$1</f>
        <v>414.76400000000001</v>
      </c>
      <c r="X346" s="505"/>
      <c r="Y346" s="506"/>
      <c r="Z346" s="506"/>
      <c r="AA346" s="505"/>
      <c r="AB346" s="420">
        <v>2235</v>
      </c>
      <c r="AC346" s="66"/>
    </row>
    <row r="347" spans="1:29" ht="12.6" customHeight="1" x14ac:dyDescent="0.2">
      <c r="A347" s="18"/>
      <c r="B347" s="722" t="s">
        <v>886</v>
      </c>
      <c r="C347" s="723"/>
      <c r="D347" s="723"/>
      <c r="E347" s="724"/>
      <c r="F347" s="396">
        <f>0.745*X2</f>
        <v>772.56499999999994</v>
      </c>
      <c r="G347" s="294">
        <f t="shared" ref="G347" si="711">+F347*$X$1</f>
        <v>772.56499999999994</v>
      </c>
      <c r="H347" s="285"/>
      <c r="I347" s="285"/>
      <c r="J347" s="492"/>
      <c r="K347" s="492"/>
      <c r="L347" s="492">
        <f t="shared" si="707"/>
        <v>892.56499999999994</v>
      </c>
      <c r="M347" s="294">
        <f t="shared" si="699"/>
        <v>892.56499999999994</v>
      </c>
      <c r="N347" s="492">
        <f t="shared" si="708"/>
        <v>832.56499999999994</v>
      </c>
      <c r="O347" s="294">
        <f t="shared" si="700"/>
        <v>832.56499999999994</v>
      </c>
      <c r="P347" s="492">
        <f t="shared" si="709"/>
        <v>822.56499999999994</v>
      </c>
      <c r="Q347" s="294">
        <f t="shared" si="701"/>
        <v>822.56499999999994</v>
      </c>
      <c r="R347" s="492">
        <f t="shared" si="710"/>
        <v>814.56499999999994</v>
      </c>
      <c r="S347" s="294">
        <f t="shared" si="702"/>
        <v>814.56499999999994</v>
      </c>
      <c r="T347" s="103">
        <f>F347+34</f>
        <v>806.56499999999994</v>
      </c>
      <c r="U347" s="313">
        <f t="shared" si="703"/>
        <v>806.56499999999994</v>
      </c>
      <c r="V347" s="103">
        <f>F347+29</f>
        <v>801.56499999999994</v>
      </c>
      <c r="W347" s="313">
        <f>+V347*$X$1</f>
        <v>801.56499999999994</v>
      </c>
      <c r="X347" s="560"/>
      <c r="Y347" s="561"/>
      <c r="Z347" s="561"/>
      <c r="AA347" s="560"/>
      <c r="AB347" s="420">
        <v>2236</v>
      </c>
      <c r="AC347" s="66"/>
    </row>
    <row r="348" spans="1:29" ht="12.6" customHeight="1" x14ac:dyDescent="0.2">
      <c r="A348" s="98"/>
      <c r="B348" s="683" t="s">
        <v>246</v>
      </c>
      <c r="C348" s="712"/>
      <c r="D348" s="712"/>
      <c r="E348" s="712"/>
      <c r="F348" s="392">
        <f>0.42*X2</f>
        <v>435.53999999999996</v>
      </c>
      <c r="G348" s="293">
        <f t="shared" si="706"/>
        <v>435.53999999999996</v>
      </c>
      <c r="H348" s="286"/>
      <c r="I348" s="353"/>
      <c r="J348" s="619"/>
      <c r="K348" s="293"/>
      <c r="L348" s="619">
        <f t="shared" si="707"/>
        <v>555.54</v>
      </c>
      <c r="M348" s="293">
        <f t="shared" si="699"/>
        <v>555.54</v>
      </c>
      <c r="N348" s="619">
        <f t="shared" si="708"/>
        <v>495.53999999999996</v>
      </c>
      <c r="O348" s="293">
        <f t="shared" si="700"/>
        <v>495.53999999999996</v>
      </c>
      <c r="P348" s="619">
        <f t="shared" si="709"/>
        <v>485.53999999999996</v>
      </c>
      <c r="Q348" s="293">
        <f t="shared" si="701"/>
        <v>485.53999999999996</v>
      </c>
      <c r="R348" s="619">
        <f t="shared" si="710"/>
        <v>477.53999999999996</v>
      </c>
      <c r="S348" s="293">
        <f t="shared" si="702"/>
        <v>477.53999999999996</v>
      </c>
      <c r="T348" s="104">
        <f>F348+34</f>
        <v>469.53999999999996</v>
      </c>
      <c r="U348" s="260">
        <f t="shared" si="703"/>
        <v>469.53999999999996</v>
      </c>
      <c r="V348" s="104">
        <f>F348+29</f>
        <v>464.53999999999996</v>
      </c>
      <c r="W348" s="260">
        <f>+V348*$X$1</f>
        <v>464.53999999999996</v>
      </c>
      <c r="X348" s="140"/>
      <c r="Y348" s="136"/>
      <c r="Z348" s="136"/>
      <c r="AA348" s="139"/>
      <c r="AB348" s="420">
        <v>2238</v>
      </c>
    </row>
    <row r="349" spans="1:29" ht="12.6" customHeight="1" x14ac:dyDescent="0.2">
      <c r="A349" s="105"/>
      <c r="B349" s="690" t="s">
        <v>247</v>
      </c>
      <c r="C349" s="698"/>
      <c r="D349" s="698"/>
      <c r="E349" s="699"/>
      <c r="F349" s="393">
        <f>0.428*X2</f>
        <v>443.83600000000001</v>
      </c>
      <c r="G349" s="294">
        <f t="shared" si="706"/>
        <v>443.83600000000001</v>
      </c>
      <c r="H349" s="285"/>
      <c r="I349" s="354"/>
      <c r="J349" s="492"/>
      <c r="K349" s="294"/>
      <c r="L349" s="492">
        <f t="shared" si="707"/>
        <v>563.83600000000001</v>
      </c>
      <c r="M349" s="294">
        <f t="shared" si="699"/>
        <v>563.83600000000001</v>
      </c>
      <c r="N349" s="492">
        <f t="shared" si="708"/>
        <v>503.83600000000001</v>
      </c>
      <c r="O349" s="294">
        <f t="shared" si="700"/>
        <v>503.83600000000001</v>
      </c>
      <c r="P349" s="492">
        <f t="shared" si="709"/>
        <v>493.83600000000001</v>
      </c>
      <c r="Q349" s="294">
        <f t="shared" si="701"/>
        <v>493.83600000000001</v>
      </c>
      <c r="R349" s="492">
        <f t="shared" si="710"/>
        <v>485.83600000000001</v>
      </c>
      <c r="S349" s="294">
        <f t="shared" si="702"/>
        <v>485.83600000000001</v>
      </c>
      <c r="T349" s="103">
        <f>F349+34</f>
        <v>477.83600000000001</v>
      </c>
      <c r="U349" s="313">
        <f t="shared" si="703"/>
        <v>477.83600000000001</v>
      </c>
      <c r="V349" s="103">
        <f>F349+29</f>
        <v>472.83600000000001</v>
      </c>
      <c r="W349" s="313">
        <f>+V349*$X$1</f>
        <v>472.83600000000001</v>
      </c>
      <c r="X349" s="140"/>
      <c r="Y349" s="136"/>
      <c r="Z349" s="136"/>
      <c r="AA349" s="139"/>
      <c r="AB349" s="420">
        <v>2239</v>
      </c>
    </row>
    <row r="350" spans="1:29" ht="12.6" customHeight="1" x14ac:dyDescent="0.2">
      <c r="A350" s="18"/>
      <c r="B350" s="683" t="s">
        <v>862</v>
      </c>
      <c r="C350" s="712"/>
      <c r="D350" s="712"/>
      <c r="E350" s="712"/>
      <c r="F350" s="392">
        <f>0.48*X2</f>
        <v>497.76</v>
      </c>
      <c r="G350" s="293">
        <f t="shared" si="706"/>
        <v>497.76</v>
      </c>
      <c r="H350" s="286"/>
      <c r="I350" s="353"/>
      <c r="J350" s="619"/>
      <c r="K350" s="293"/>
      <c r="L350" s="619">
        <f t="shared" si="707"/>
        <v>617.76</v>
      </c>
      <c r="M350" s="293">
        <f t="shared" si="699"/>
        <v>617.76</v>
      </c>
      <c r="N350" s="619">
        <f t="shared" si="708"/>
        <v>557.76</v>
      </c>
      <c r="O350" s="293">
        <f t="shared" si="700"/>
        <v>557.76</v>
      </c>
      <c r="P350" s="619">
        <f t="shared" si="709"/>
        <v>547.76</v>
      </c>
      <c r="Q350" s="293">
        <f t="shared" si="701"/>
        <v>547.76</v>
      </c>
      <c r="R350" s="619"/>
      <c r="S350" s="293"/>
      <c r="T350" s="104"/>
      <c r="U350" s="260"/>
      <c r="V350" s="104"/>
      <c r="W350" s="260"/>
      <c r="X350" s="140"/>
      <c r="Y350" s="136"/>
      <c r="Z350" s="136"/>
      <c r="AA350" s="139"/>
      <c r="AB350" s="420">
        <v>2240</v>
      </c>
    </row>
    <row r="351" spans="1:29" ht="12.6" customHeight="1" x14ac:dyDescent="0.2">
      <c r="A351" s="18"/>
      <c r="B351" s="708" t="s">
        <v>924</v>
      </c>
      <c r="C351" s="709"/>
      <c r="D351" s="709"/>
      <c r="E351" s="709"/>
      <c r="F351" s="393">
        <f>0.34*X2</f>
        <v>352.58000000000004</v>
      </c>
      <c r="G351" s="294">
        <f t="shared" ref="G351" si="712">+F351*$X$1</f>
        <v>352.58000000000004</v>
      </c>
      <c r="H351" s="285"/>
      <c r="I351" s="354"/>
      <c r="J351" s="492"/>
      <c r="K351" s="294"/>
      <c r="L351" s="492"/>
      <c r="M351" s="294"/>
      <c r="N351" s="492">
        <f t="shared" ref="N351" si="713">F351+60</f>
        <v>412.58000000000004</v>
      </c>
      <c r="O351" s="294">
        <f t="shared" ref="O351" si="714">+N351*$X$1</f>
        <v>412.58000000000004</v>
      </c>
      <c r="P351" s="492">
        <f t="shared" ref="P351" si="715">F351+50</f>
        <v>402.58000000000004</v>
      </c>
      <c r="Q351" s="294">
        <f t="shared" ref="Q351" si="716">+P351*$X$1</f>
        <v>402.58000000000004</v>
      </c>
      <c r="R351" s="492">
        <f t="shared" ref="R351" si="717">F351+42</f>
        <v>394.58000000000004</v>
      </c>
      <c r="S351" s="294">
        <f t="shared" ref="S351" si="718">+R351*$X$1</f>
        <v>394.58000000000004</v>
      </c>
      <c r="T351" s="103">
        <f t="shared" ref="T351" si="719">F351+34</f>
        <v>386.58000000000004</v>
      </c>
      <c r="U351" s="313">
        <f t="shared" ref="U351" si="720">+T351*$X$1</f>
        <v>386.58000000000004</v>
      </c>
      <c r="V351" s="103">
        <f t="shared" ref="V351" si="721">F351+29</f>
        <v>381.58000000000004</v>
      </c>
      <c r="W351" s="313">
        <f t="shared" ref="W351" si="722">+V351*$X$1</f>
        <v>381.58000000000004</v>
      </c>
      <c r="X351" s="140"/>
      <c r="Y351" s="136"/>
      <c r="Z351" s="136"/>
      <c r="AA351" s="139"/>
      <c r="AB351" s="420" t="s">
        <v>939</v>
      </c>
    </row>
    <row r="352" spans="1:29" ht="12.6" customHeight="1" x14ac:dyDescent="0.2">
      <c r="A352" s="18"/>
      <c r="B352" s="683" t="s">
        <v>849</v>
      </c>
      <c r="C352" s="712"/>
      <c r="D352" s="712"/>
      <c r="E352" s="712"/>
      <c r="F352" s="392">
        <f>0.22*X2</f>
        <v>228.14000000000001</v>
      </c>
      <c r="G352" s="293">
        <f t="shared" ref="G352:G353" si="723">+F352*$X$1</f>
        <v>228.14000000000001</v>
      </c>
      <c r="H352" s="286"/>
      <c r="I352" s="353"/>
      <c r="J352" s="596"/>
      <c r="K352" s="293"/>
      <c r="L352" s="596"/>
      <c r="M352" s="293"/>
      <c r="N352" s="596">
        <f t="shared" si="708"/>
        <v>288.14</v>
      </c>
      <c r="O352" s="293">
        <f t="shared" si="700"/>
        <v>288.14</v>
      </c>
      <c r="P352" s="596">
        <f t="shared" si="709"/>
        <v>278.14</v>
      </c>
      <c r="Q352" s="293">
        <f t="shared" si="701"/>
        <v>278.14</v>
      </c>
      <c r="R352" s="596">
        <f t="shared" si="710"/>
        <v>270.14</v>
      </c>
      <c r="S352" s="293">
        <f t="shared" si="702"/>
        <v>270.14</v>
      </c>
      <c r="T352" s="104">
        <f t="shared" ref="T352:T369" si="724">F352+34</f>
        <v>262.14</v>
      </c>
      <c r="U352" s="260">
        <f t="shared" ref="U352:U369" si="725">+T352*$X$1</f>
        <v>262.14</v>
      </c>
      <c r="V352" s="104">
        <f t="shared" ref="V352:V369" si="726">F352+29</f>
        <v>257.14</v>
      </c>
      <c r="W352" s="260">
        <f t="shared" ref="W352:W369" si="727">+V352*$X$1</f>
        <v>257.14</v>
      </c>
      <c r="X352" s="140"/>
      <c r="Y352" s="136"/>
      <c r="Z352" s="136"/>
      <c r="AA352" s="139"/>
      <c r="AB352" s="420">
        <v>2241</v>
      </c>
    </row>
    <row r="353" spans="1:29" ht="12.6" customHeight="1" x14ac:dyDescent="0.2">
      <c r="A353" s="18"/>
      <c r="B353" s="708" t="s">
        <v>850</v>
      </c>
      <c r="C353" s="709"/>
      <c r="D353" s="709"/>
      <c r="E353" s="709"/>
      <c r="F353" s="393">
        <f>0.35*X2</f>
        <v>362.95</v>
      </c>
      <c r="G353" s="294">
        <f t="shared" si="723"/>
        <v>362.95</v>
      </c>
      <c r="H353" s="285"/>
      <c r="I353" s="354"/>
      <c r="J353" s="492"/>
      <c r="K353" s="294"/>
      <c r="L353" s="492">
        <f t="shared" ref="L353:L372" si="728">F353+120</f>
        <v>482.95</v>
      </c>
      <c r="M353" s="294">
        <f t="shared" ref="M353:M370" si="729">+L353*$X$1</f>
        <v>482.95</v>
      </c>
      <c r="N353" s="492">
        <f t="shared" si="708"/>
        <v>422.95</v>
      </c>
      <c r="O353" s="294">
        <f t="shared" si="700"/>
        <v>422.95</v>
      </c>
      <c r="P353" s="492">
        <f t="shared" si="709"/>
        <v>412.95</v>
      </c>
      <c r="Q353" s="294">
        <f t="shared" si="701"/>
        <v>412.95</v>
      </c>
      <c r="R353" s="492">
        <f t="shared" si="710"/>
        <v>404.95</v>
      </c>
      <c r="S353" s="294">
        <f t="shared" si="702"/>
        <v>404.95</v>
      </c>
      <c r="T353" s="103">
        <f t="shared" si="724"/>
        <v>396.95</v>
      </c>
      <c r="U353" s="313">
        <f t="shared" si="725"/>
        <v>396.95</v>
      </c>
      <c r="V353" s="103">
        <f t="shared" si="726"/>
        <v>391.95</v>
      </c>
      <c r="W353" s="313">
        <f t="shared" si="727"/>
        <v>391.95</v>
      </c>
      <c r="X353" s="140"/>
      <c r="Y353" s="136"/>
      <c r="Z353" s="136"/>
      <c r="AA353" s="139"/>
      <c r="AB353" s="420">
        <v>2242</v>
      </c>
    </row>
    <row r="354" spans="1:29" ht="12.6" customHeight="1" x14ac:dyDescent="0.2">
      <c r="A354" s="98"/>
      <c r="B354" s="683" t="s">
        <v>248</v>
      </c>
      <c r="C354" s="712"/>
      <c r="D354" s="712"/>
      <c r="E354" s="712"/>
      <c r="F354" s="392">
        <f>0.31*X2</f>
        <v>321.46999999999997</v>
      </c>
      <c r="G354" s="293">
        <f t="shared" si="706"/>
        <v>321.46999999999997</v>
      </c>
      <c r="H354" s="286"/>
      <c r="I354" s="353"/>
      <c r="J354" s="596"/>
      <c r="K354" s="293"/>
      <c r="L354" s="596">
        <f t="shared" si="728"/>
        <v>441.46999999999997</v>
      </c>
      <c r="M354" s="293">
        <f t="shared" si="729"/>
        <v>441.46999999999997</v>
      </c>
      <c r="N354" s="596">
        <f t="shared" si="708"/>
        <v>381.46999999999997</v>
      </c>
      <c r="O354" s="293">
        <f t="shared" si="700"/>
        <v>381.46999999999997</v>
      </c>
      <c r="P354" s="596">
        <f t="shared" si="709"/>
        <v>371.46999999999997</v>
      </c>
      <c r="Q354" s="293">
        <f t="shared" si="701"/>
        <v>371.46999999999997</v>
      </c>
      <c r="R354" s="596">
        <f t="shared" si="710"/>
        <v>363.46999999999997</v>
      </c>
      <c r="S354" s="293">
        <f t="shared" si="702"/>
        <v>363.46999999999997</v>
      </c>
      <c r="T354" s="104">
        <f t="shared" si="724"/>
        <v>355.46999999999997</v>
      </c>
      <c r="U354" s="260">
        <f t="shared" si="725"/>
        <v>355.46999999999997</v>
      </c>
      <c r="V354" s="104">
        <f t="shared" si="726"/>
        <v>350.46999999999997</v>
      </c>
      <c r="W354" s="260">
        <f t="shared" si="727"/>
        <v>350.46999999999997</v>
      </c>
      <c r="X354" s="140"/>
      <c r="Y354" s="136"/>
      <c r="Z354" s="136"/>
      <c r="AA354" s="139"/>
      <c r="AB354" s="420">
        <v>2244</v>
      </c>
    </row>
    <row r="355" spans="1:29" ht="12.6" customHeight="1" x14ac:dyDescent="0.2">
      <c r="A355" s="18"/>
      <c r="B355" s="704" t="s">
        <v>853</v>
      </c>
      <c r="C355" s="705"/>
      <c r="D355" s="705"/>
      <c r="E355" s="705"/>
      <c r="F355" s="393">
        <f>0.29*X2</f>
        <v>300.72999999999996</v>
      </c>
      <c r="G355" s="294">
        <f t="shared" ref="G355:G356" si="730">+F355*$X$1</f>
        <v>300.72999999999996</v>
      </c>
      <c r="H355" s="285"/>
      <c r="I355" s="354"/>
      <c r="J355" s="492"/>
      <c r="K355" s="294"/>
      <c r="L355" s="492">
        <f t="shared" si="728"/>
        <v>420.72999999999996</v>
      </c>
      <c r="M355" s="294">
        <f t="shared" si="729"/>
        <v>420.72999999999996</v>
      </c>
      <c r="N355" s="492">
        <f t="shared" si="708"/>
        <v>360.72999999999996</v>
      </c>
      <c r="O355" s="294">
        <f t="shared" si="700"/>
        <v>360.72999999999996</v>
      </c>
      <c r="P355" s="492">
        <f t="shared" si="709"/>
        <v>350.72999999999996</v>
      </c>
      <c r="Q355" s="294">
        <f t="shared" si="701"/>
        <v>350.72999999999996</v>
      </c>
      <c r="R355" s="492">
        <f t="shared" si="710"/>
        <v>342.72999999999996</v>
      </c>
      <c r="S355" s="294">
        <f t="shared" si="702"/>
        <v>342.72999999999996</v>
      </c>
      <c r="T355" s="103">
        <f t="shared" si="724"/>
        <v>334.72999999999996</v>
      </c>
      <c r="U355" s="313">
        <f t="shared" si="725"/>
        <v>334.72999999999996</v>
      </c>
      <c r="V355" s="103">
        <f t="shared" si="726"/>
        <v>329.72999999999996</v>
      </c>
      <c r="W355" s="313">
        <f t="shared" si="727"/>
        <v>329.72999999999996</v>
      </c>
      <c r="X355" s="140"/>
      <c r="Y355" s="136"/>
      <c r="Z355" s="136"/>
      <c r="AA355" s="139"/>
      <c r="AB355" s="420">
        <v>2245</v>
      </c>
    </row>
    <row r="356" spans="1:29" ht="12.6" customHeight="1" x14ac:dyDescent="0.2">
      <c r="A356" s="18"/>
      <c r="B356" s="683" t="s">
        <v>852</v>
      </c>
      <c r="C356" s="712"/>
      <c r="D356" s="712"/>
      <c r="E356" s="712"/>
      <c r="F356" s="392">
        <f>0.3*X2</f>
        <v>311.09999999999997</v>
      </c>
      <c r="G356" s="293">
        <f t="shared" si="730"/>
        <v>311.09999999999997</v>
      </c>
      <c r="H356" s="286"/>
      <c r="I356" s="353"/>
      <c r="J356" s="596"/>
      <c r="K356" s="293"/>
      <c r="L356" s="596">
        <f t="shared" si="728"/>
        <v>431.09999999999997</v>
      </c>
      <c r="M356" s="293">
        <f t="shared" si="729"/>
        <v>431.09999999999997</v>
      </c>
      <c r="N356" s="596">
        <f t="shared" si="708"/>
        <v>371.09999999999997</v>
      </c>
      <c r="O356" s="293">
        <f t="shared" si="700"/>
        <v>371.09999999999997</v>
      </c>
      <c r="P356" s="627">
        <f t="shared" ref="P356" si="731">F356+50</f>
        <v>361.09999999999997</v>
      </c>
      <c r="Q356" s="293">
        <f t="shared" ref="Q356" si="732">+P356*$X$1</f>
        <v>361.09999999999997</v>
      </c>
      <c r="R356" s="627">
        <f t="shared" ref="R356" si="733">F356+42</f>
        <v>353.09999999999997</v>
      </c>
      <c r="S356" s="293">
        <f t="shared" ref="S356" si="734">+R356*$X$1</f>
        <v>353.09999999999997</v>
      </c>
      <c r="T356" s="104">
        <f t="shared" ref="T356" si="735">F356+34</f>
        <v>345.09999999999997</v>
      </c>
      <c r="U356" s="260">
        <f t="shared" ref="U356" si="736">+T356*$X$1</f>
        <v>345.09999999999997</v>
      </c>
      <c r="V356" s="104">
        <f t="shared" ref="V356" si="737">F356+29</f>
        <v>340.09999999999997</v>
      </c>
      <c r="W356" s="260">
        <f t="shared" ref="W356" si="738">+V356*$X$1</f>
        <v>340.09999999999997</v>
      </c>
      <c r="X356" s="140"/>
      <c r="Y356" s="136"/>
      <c r="Z356" s="136"/>
      <c r="AA356" s="139"/>
      <c r="AB356" s="420" t="s">
        <v>851</v>
      </c>
    </row>
    <row r="357" spans="1:29" ht="12.6" customHeight="1" x14ac:dyDescent="0.2">
      <c r="A357" s="98"/>
      <c r="B357" s="704" t="s">
        <v>539</v>
      </c>
      <c r="C357" s="705"/>
      <c r="D357" s="705"/>
      <c r="E357" s="705"/>
      <c r="F357" s="339">
        <v>1299</v>
      </c>
      <c r="G357" s="294">
        <f>+F357*$X$1</f>
        <v>1299</v>
      </c>
      <c r="H357" s="285"/>
      <c r="I357" s="354"/>
      <c r="J357" s="492"/>
      <c r="K357" s="294"/>
      <c r="L357" s="492">
        <f t="shared" si="728"/>
        <v>1419</v>
      </c>
      <c r="M357" s="294">
        <f t="shared" si="729"/>
        <v>1419</v>
      </c>
      <c r="N357" s="492">
        <f t="shared" si="708"/>
        <v>1359</v>
      </c>
      <c r="O357" s="294">
        <f t="shared" si="700"/>
        <v>1359</v>
      </c>
      <c r="P357" s="492">
        <f t="shared" si="709"/>
        <v>1349</v>
      </c>
      <c r="Q357" s="294">
        <f t="shared" si="701"/>
        <v>1349</v>
      </c>
      <c r="R357" s="492">
        <f t="shared" si="710"/>
        <v>1341</v>
      </c>
      <c r="S357" s="294">
        <f t="shared" si="702"/>
        <v>1341</v>
      </c>
      <c r="T357" s="103">
        <f t="shared" si="724"/>
        <v>1333</v>
      </c>
      <c r="U357" s="313">
        <f t="shared" si="725"/>
        <v>1333</v>
      </c>
      <c r="V357" s="103">
        <f t="shared" si="726"/>
        <v>1328</v>
      </c>
      <c r="W357" s="313">
        <f t="shared" si="727"/>
        <v>1328</v>
      </c>
      <c r="X357" s="140"/>
      <c r="Y357" s="136"/>
      <c r="Z357" s="136"/>
      <c r="AA357" s="139"/>
      <c r="AB357" s="420">
        <v>2246</v>
      </c>
    </row>
    <row r="358" spans="1:29" ht="12.6" customHeight="1" x14ac:dyDescent="0.2">
      <c r="A358" s="18"/>
      <c r="B358" s="683" t="s">
        <v>864</v>
      </c>
      <c r="C358" s="712"/>
      <c r="D358" s="712"/>
      <c r="E358" s="712"/>
      <c r="F358" s="526">
        <f>2.85*X2</f>
        <v>2955.4500000000003</v>
      </c>
      <c r="G358" s="293">
        <f t="shared" ref="G358" si="739">+F358*$X$1</f>
        <v>2955.4500000000003</v>
      </c>
      <c r="H358" s="286"/>
      <c r="I358" s="353"/>
      <c r="J358" s="596">
        <f>F358+180</f>
        <v>3135.4500000000003</v>
      </c>
      <c r="K358" s="293">
        <f t="shared" ref="K358" si="740">+J358*$X$1</f>
        <v>3135.4500000000003</v>
      </c>
      <c r="L358" s="596">
        <f t="shared" si="728"/>
        <v>3075.4500000000003</v>
      </c>
      <c r="M358" s="293">
        <f t="shared" si="729"/>
        <v>3075.4500000000003</v>
      </c>
      <c r="N358" s="596">
        <f t="shared" si="708"/>
        <v>3015.4500000000003</v>
      </c>
      <c r="O358" s="293">
        <f t="shared" si="700"/>
        <v>3015.4500000000003</v>
      </c>
      <c r="P358" s="596">
        <f t="shared" si="709"/>
        <v>3005.4500000000003</v>
      </c>
      <c r="Q358" s="293">
        <f t="shared" si="701"/>
        <v>3005.4500000000003</v>
      </c>
      <c r="R358" s="596">
        <f t="shared" si="710"/>
        <v>2997.4500000000003</v>
      </c>
      <c r="S358" s="293">
        <f t="shared" si="702"/>
        <v>2997.4500000000003</v>
      </c>
      <c r="T358" s="104">
        <f t="shared" si="724"/>
        <v>2989.4500000000003</v>
      </c>
      <c r="U358" s="260">
        <f t="shared" si="725"/>
        <v>2989.4500000000003</v>
      </c>
      <c r="V358" s="104">
        <f t="shared" si="726"/>
        <v>2984.4500000000003</v>
      </c>
      <c r="W358" s="260">
        <f t="shared" si="727"/>
        <v>2984.4500000000003</v>
      </c>
      <c r="X358" s="140"/>
      <c r="Y358" s="136"/>
      <c r="Z358" s="136"/>
      <c r="AA358" s="139"/>
      <c r="AB358" s="420">
        <v>2247</v>
      </c>
    </row>
    <row r="359" spans="1:29" ht="12.6" customHeight="1" x14ac:dyDescent="0.2">
      <c r="A359" s="18"/>
      <c r="B359" s="690" t="s">
        <v>492</v>
      </c>
      <c r="C359" s="935"/>
      <c r="D359" s="935"/>
      <c r="E359" s="936"/>
      <c r="F359" s="396">
        <f>0.47*X2</f>
        <v>487.39</v>
      </c>
      <c r="G359" s="294">
        <f t="shared" ref="G359:G363" si="741">+F359*$X$1</f>
        <v>487.39</v>
      </c>
      <c r="H359" s="285"/>
      <c r="I359" s="354"/>
      <c r="J359" s="492"/>
      <c r="K359" s="294"/>
      <c r="L359" s="492">
        <f t="shared" si="728"/>
        <v>607.39</v>
      </c>
      <c r="M359" s="294">
        <f t="shared" si="729"/>
        <v>607.39</v>
      </c>
      <c r="N359" s="492">
        <f t="shared" si="708"/>
        <v>547.39</v>
      </c>
      <c r="O359" s="294">
        <f t="shared" si="700"/>
        <v>547.39</v>
      </c>
      <c r="P359" s="492">
        <f t="shared" si="709"/>
        <v>537.39</v>
      </c>
      <c r="Q359" s="294">
        <f t="shared" si="701"/>
        <v>537.39</v>
      </c>
      <c r="R359" s="492">
        <f t="shared" si="710"/>
        <v>529.39</v>
      </c>
      <c r="S359" s="294">
        <f t="shared" si="702"/>
        <v>529.39</v>
      </c>
      <c r="T359" s="103">
        <f t="shared" si="724"/>
        <v>521.39</v>
      </c>
      <c r="U359" s="313">
        <f t="shared" si="725"/>
        <v>521.39</v>
      </c>
      <c r="V359" s="103">
        <f t="shared" si="726"/>
        <v>516.39</v>
      </c>
      <c r="W359" s="313">
        <f t="shared" si="727"/>
        <v>516.39</v>
      </c>
      <c r="X359" s="132"/>
      <c r="Y359" s="132"/>
      <c r="Z359" s="132"/>
      <c r="AA359" s="132"/>
      <c r="AB359" s="434">
        <v>2251</v>
      </c>
    </row>
    <row r="360" spans="1:29" ht="12.6" customHeight="1" x14ac:dyDescent="0.2">
      <c r="A360" s="18"/>
      <c r="B360" s="693" t="s">
        <v>710</v>
      </c>
      <c r="C360" s="714"/>
      <c r="D360" s="714"/>
      <c r="E360" s="715"/>
      <c r="F360" s="397">
        <f>0.47*X2</f>
        <v>487.39</v>
      </c>
      <c r="G360" s="293">
        <f t="shared" si="741"/>
        <v>487.39</v>
      </c>
      <c r="H360" s="286"/>
      <c r="I360" s="353"/>
      <c r="J360" s="596"/>
      <c r="K360" s="293"/>
      <c r="L360" s="596">
        <f t="shared" si="728"/>
        <v>607.39</v>
      </c>
      <c r="M360" s="293">
        <f t="shared" si="729"/>
        <v>607.39</v>
      </c>
      <c r="N360" s="596">
        <f t="shared" si="708"/>
        <v>547.39</v>
      </c>
      <c r="O360" s="293">
        <f t="shared" si="700"/>
        <v>547.39</v>
      </c>
      <c r="P360" s="596">
        <f t="shared" si="709"/>
        <v>537.39</v>
      </c>
      <c r="Q360" s="293">
        <f t="shared" si="701"/>
        <v>537.39</v>
      </c>
      <c r="R360" s="596">
        <f t="shared" si="710"/>
        <v>529.39</v>
      </c>
      <c r="S360" s="293">
        <f t="shared" si="702"/>
        <v>529.39</v>
      </c>
      <c r="T360" s="104">
        <f t="shared" si="724"/>
        <v>521.39</v>
      </c>
      <c r="U360" s="260">
        <f t="shared" si="725"/>
        <v>521.39</v>
      </c>
      <c r="V360" s="104">
        <f t="shared" si="726"/>
        <v>516.39</v>
      </c>
      <c r="W360" s="260">
        <f t="shared" si="727"/>
        <v>516.39</v>
      </c>
      <c r="X360" s="132"/>
      <c r="Y360" s="132"/>
      <c r="Z360" s="132"/>
      <c r="AA360" s="132"/>
      <c r="AB360" s="420">
        <v>2252</v>
      </c>
    </row>
    <row r="361" spans="1:29" ht="12.6" customHeight="1" x14ac:dyDescent="0.2">
      <c r="A361" s="105"/>
      <c r="B361" s="690" t="s">
        <v>249</v>
      </c>
      <c r="C361" s="691"/>
      <c r="D361" s="691"/>
      <c r="E361" s="692"/>
      <c r="F361" s="393">
        <f>0.35*X2</f>
        <v>362.95</v>
      </c>
      <c r="G361" s="294">
        <f t="shared" si="741"/>
        <v>362.95</v>
      </c>
      <c r="H361" s="285"/>
      <c r="I361" s="354"/>
      <c r="J361" s="492"/>
      <c r="K361" s="294"/>
      <c r="L361" s="492">
        <f t="shared" si="728"/>
        <v>482.95</v>
      </c>
      <c r="M361" s="294">
        <f t="shared" si="729"/>
        <v>482.95</v>
      </c>
      <c r="N361" s="492">
        <f t="shared" si="708"/>
        <v>422.95</v>
      </c>
      <c r="O361" s="294">
        <f t="shared" si="700"/>
        <v>422.95</v>
      </c>
      <c r="P361" s="492">
        <f t="shared" si="709"/>
        <v>412.95</v>
      </c>
      <c r="Q361" s="294">
        <f t="shared" si="701"/>
        <v>412.95</v>
      </c>
      <c r="R361" s="492">
        <f t="shared" si="710"/>
        <v>404.95</v>
      </c>
      <c r="S361" s="294">
        <f t="shared" si="702"/>
        <v>404.95</v>
      </c>
      <c r="T361" s="103">
        <f t="shared" si="724"/>
        <v>396.95</v>
      </c>
      <c r="U361" s="313">
        <f t="shared" si="725"/>
        <v>396.95</v>
      </c>
      <c r="V361" s="103">
        <f t="shared" si="726"/>
        <v>391.95</v>
      </c>
      <c r="W361" s="313">
        <f t="shared" si="727"/>
        <v>391.95</v>
      </c>
      <c r="X361" s="173"/>
      <c r="Y361" s="132"/>
      <c r="Z361" s="132"/>
      <c r="AA361" s="152"/>
      <c r="AB361" s="420">
        <v>2254</v>
      </c>
      <c r="AC361" s="66"/>
    </row>
    <row r="362" spans="1:29" ht="12.6" customHeight="1" x14ac:dyDescent="0.2">
      <c r="A362" s="105"/>
      <c r="B362" s="693" t="s">
        <v>504</v>
      </c>
      <c r="C362" s="694"/>
      <c r="D362" s="694"/>
      <c r="E362" s="695"/>
      <c r="F362" s="392">
        <f>0.372*X2</f>
        <v>385.76400000000001</v>
      </c>
      <c r="G362" s="293">
        <f t="shared" si="741"/>
        <v>385.76400000000001</v>
      </c>
      <c r="H362" s="286"/>
      <c r="I362" s="353"/>
      <c r="J362" s="596"/>
      <c r="K362" s="293"/>
      <c r="L362" s="596">
        <f t="shared" si="728"/>
        <v>505.76400000000001</v>
      </c>
      <c r="M362" s="293">
        <f t="shared" si="729"/>
        <v>505.76400000000001</v>
      </c>
      <c r="N362" s="596">
        <f t="shared" si="708"/>
        <v>445.76400000000001</v>
      </c>
      <c r="O362" s="293">
        <f t="shared" si="700"/>
        <v>445.76400000000001</v>
      </c>
      <c r="P362" s="596">
        <f t="shared" si="709"/>
        <v>435.76400000000001</v>
      </c>
      <c r="Q362" s="293">
        <f t="shared" si="701"/>
        <v>435.76400000000001</v>
      </c>
      <c r="R362" s="596">
        <f t="shared" si="710"/>
        <v>427.76400000000001</v>
      </c>
      <c r="S362" s="293">
        <f t="shared" si="702"/>
        <v>427.76400000000001</v>
      </c>
      <c r="T362" s="104">
        <f t="shared" si="724"/>
        <v>419.76400000000001</v>
      </c>
      <c r="U362" s="260">
        <f t="shared" si="725"/>
        <v>419.76400000000001</v>
      </c>
      <c r="V362" s="104">
        <f t="shared" si="726"/>
        <v>414.76400000000001</v>
      </c>
      <c r="W362" s="260">
        <f t="shared" si="727"/>
        <v>414.76400000000001</v>
      </c>
      <c r="X362" s="173"/>
      <c r="Y362" s="132"/>
      <c r="Z362" s="132"/>
      <c r="AA362" s="152"/>
      <c r="AB362" s="420" t="s">
        <v>529</v>
      </c>
      <c r="AC362" s="66"/>
    </row>
    <row r="363" spans="1:29" ht="12.6" customHeight="1" x14ac:dyDescent="0.2">
      <c r="A363" s="105"/>
      <c r="B363" s="1017" t="s">
        <v>250</v>
      </c>
      <c r="C363" s="1018"/>
      <c r="D363" s="1018"/>
      <c r="E363" s="1019"/>
      <c r="F363" s="600">
        <v>430</v>
      </c>
      <c r="G363" s="600">
        <f t="shared" si="741"/>
        <v>430</v>
      </c>
      <c r="H363" s="601"/>
      <c r="I363" s="604"/>
      <c r="J363" s="602"/>
      <c r="K363" s="600"/>
      <c r="L363" s="602">
        <f t="shared" si="728"/>
        <v>550</v>
      </c>
      <c r="M363" s="600">
        <f t="shared" si="729"/>
        <v>550</v>
      </c>
      <c r="N363" s="602">
        <f t="shared" si="708"/>
        <v>490</v>
      </c>
      <c r="O363" s="600">
        <f t="shared" si="700"/>
        <v>490</v>
      </c>
      <c r="P363" s="602">
        <f t="shared" si="709"/>
        <v>480</v>
      </c>
      <c r="Q363" s="600">
        <f t="shared" si="701"/>
        <v>480</v>
      </c>
      <c r="R363" s="602">
        <f t="shared" si="710"/>
        <v>472</v>
      </c>
      <c r="S363" s="600">
        <f t="shared" si="702"/>
        <v>472</v>
      </c>
      <c r="T363" s="612">
        <f t="shared" si="724"/>
        <v>464</v>
      </c>
      <c r="U363" s="611">
        <f t="shared" si="725"/>
        <v>464</v>
      </c>
      <c r="V363" s="612">
        <f t="shared" si="726"/>
        <v>459</v>
      </c>
      <c r="W363" s="611">
        <f t="shared" si="727"/>
        <v>459</v>
      </c>
      <c r="X363" s="173"/>
      <c r="Y363" s="132"/>
      <c r="Z363" s="132"/>
      <c r="AA363" s="132"/>
      <c r="AB363" s="420">
        <v>2255</v>
      </c>
      <c r="AC363" s="66"/>
    </row>
    <row r="364" spans="1:29" ht="12.6" customHeight="1" x14ac:dyDescent="0.2">
      <c r="A364" s="98"/>
      <c r="B364" s="708" t="s">
        <v>916</v>
      </c>
      <c r="C364" s="709"/>
      <c r="D364" s="709"/>
      <c r="E364" s="709"/>
      <c r="F364" s="392">
        <f>1.842*X2</f>
        <v>1910.154</v>
      </c>
      <c r="G364" s="293">
        <f t="shared" ref="G364" si="742">+F364*$X$1</f>
        <v>1910.154</v>
      </c>
      <c r="H364" s="286"/>
      <c r="I364" s="353"/>
      <c r="J364" s="597"/>
      <c r="K364" s="293"/>
      <c r="L364" s="597">
        <f t="shared" ref="L364" si="743">F364+120</f>
        <v>2030.154</v>
      </c>
      <c r="M364" s="293">
        <f t="shared" ref="M364" si="744">+L364*$X$1</f>
        <v>2030.154</v>
      </c>
      <c r="N364" s="597">
        <f t="shared" ref="N364" si="745">F364+60</f>
        <v>1970.154</v>
      </c>
      <c r="O364" s="293">
        <f t="shared" ref="O364" si="746">+N364*$X$1</f>
        <v>1970.154</v>
      </c>
      <c r="P364" s="597">
        <f t="shared" ref="P364" si="747">F364+50</f>
        <v>1960.154</v>
      </c>
      <c r="Q364" s="293">
        <f t="shared" ref="Q364" si="748">+P364*$X$1</f>
        <v>1960.154</v>
      </c>
      <c r="R364" s="597">
        <f t="shared" ref="R364" si="749">F364+42</f>
        <v>1952.154</v>
      </c>
      <c r="S364" s="293">
        <f t="shared" ref="S364" si="750">+R364*$X$1</f>
        <v>1952.154</v>
      </c>
      <c r="T364" s="104">
        <f t="shared" ref="T364" si="751">F364+34</f>
        <v>1944.154</v>
      </c>
      <c r="U364" s="260">
        <f t="shared" ref="U364" si="752">+T364*$X$1</f>
        <v>1944.154</v>
      </c>
      <c r="V364" s="104">
        <f t="shared" ref="V364" si="753">F364+29</f>
        <v>1939.154</v>
      </c>
      <c r="W364" s="260">
        <f t="shared" ref="W364" si="754">+V364*$X$1</f>
        <v>1939.154</v>
      </c>
      <c r="X364" s="140"/>
      <c r="Y364" s="136"/>
      <c r="Z364" s="136"/>
      <c r="AA364" s="139"/>
      <c r="AB364" s="420">
        <v>2258</v>
      </c>
    </row>
    <row r="365" spans="1:29" ht="12.6" customHeight="1" x14ac:dyDescent="0.2">
      <c r="A365" s="18"/>
      <c r="B365" s="710" t="s">
        <v>691</v>
      </c>
      <c r="C365" s="946"/>
      <c r="D365" s="946"/>
      <c r="E365" s="946"/>
      <c r="F365" s="393">
        <f>0.53*X2</f>
        <v>549.61</v>
      </c>
      <c r="G365" s="294">
        <f t="shared" ref="G365" si="755">+F365*$X$1</f>
        <v>549.61</v>
      </c>
      <c r="H365" s="492"/>
      <c r="I365" s="294"/>
      <c r="J365" s="492"/>
      <c r="K365" s="294"/>
      <c r="L365" s="492">
        <f t="shared" si="728"/>
        <v>669.61</v>
      </c>
      <c r="M365" s="294">
        <f t="shared" si="729"/>
        <v>669.61</v>
      </c>
      <c r="N365" s="492">
        <f t="shared" si="708"/>
        <v>609.61</v>
      </c>
      <c r="O365" s="294">
        <f t="shared" si="700"/>
        <v>609.61</v>
      </c>
      <c r="P365" s="492">
        <f t="shared" si="709"/>
        <v>599.61</v>
      </c>
      <c r="Q365" s="294">
        <f t="shared" si="701"/>
        <v>599.61</v>
      </c>
      <c r="R365" s="492">
        <f t="shared" si="710"/>
        <v>591.61</v>
      </c>
      <c r="S365" s="294">
        <f t="shared" si="702"/>
        <v>591.61</v>
      </c>
      <c r="T365" s="103">
        <f t="shared" si="724"/>
        <v>583.61</v>
      </c>
      <c r="U365" s="313">
        <f t="shared" si="725"/>
        <v>583.61</v>
      </c>
      <c r="V365" s="103">
        <f t="shared" si="726"/>
        <v>578.61</v>
      </c>
      <c r="W365" s="313">
        <f t="shared" si="727"/>
        <v>578.61</v>
      </c>
      <c r="X365" s="716"/>
      <c r="Y365" s="797"/>
      <c r="Z365" s="797"/>
      <c r="AA365" s="717"/>
      <c r="AB365" s="420">
        <v>2260</v>
      </c>
      <c r="AC365" s="66"/>
    </row>
    <row r="366" spans="1:29" ht="12.6" customHeight="1" x14ac:dyDescent="0.2">
      <c r="A366" s="18"/>
      <c r="B366" s="979" t="s">
        <v>669</v>
      </c>
      <c r="C366" s="980"/>
      <c r="D366" s="980"/>
      <c r="E366" s="980"/>
      <c r="F366" s="392">
        <f>0.6*X2</f>
        <v>622.19999999999993</v>
      </c>
      <c r="G366" s="293">
        <f t="shared" ref="G366:G367" si="756">+F366*$X$1</f>
        <v>622.19999999999993</v>
      </c>
      <c r="H366" s="573"/>
      <c r="I366" s="293"/>
      <c r="J366" s="596"/>
      <c r="K366" s="293"/>
      <c r="L366" s="596">
        <f t="shared" si="728"/>
        <v>742.19999999999993</v>
      </c>
      <c r="M366" s="293">
        <f t="shared" si="729"/>
        <v>742.19999999999993</v>
      </c>
      <c r="N366" s="596">
        <f t="shared" si="708"/>
        <v>682.19999999999993</v>
      </c>
      <c r="O366" s="293">
        <f t="shared" si="700"/>
        <v>682.19999999999993</v>
      </c>
      <c r="P366" s="596">
        <f t="shared" si="709"/>
        <v>672.19999999999993</v>
      </c>
      <c r="Q366" s="293">
        <f t="shared" si="701"/>
        <v>672.19999999999993</v>
      </c>
      <c r="R366" s="596">
        <f t="shared" si="710"/>
        <v>664.19999999999993</v>
      </c>
      <c r="S366" s="293">
        <f t="shared" si="702"/>
        <v>664.19999999999993</v>
      </c>
      <c r="T366" s="104">
        <f t="shared" si="724"/>
        <v>656.19999999999993</v>
      </c>
      <c r="U366" s="260">
        <f t="shared" si="725"/>
        <v>656.19999999999993</v>
      </c>
      <c r="V366" s="104">
        <f t="shared" si="726"/>
        <v>651.19999999999993</v>
      </c>
      <c r="W366" s="260">
        <f t="shared" si="727"/>
        <v>651.19999999999993</v>
      </c>
      <c r="X366" s="716"/>
      <c r="Y366" s="797"/>
      <c r="Z366" s="797"/>
      <c r="AA366" s="717"/>
      <c r="AB366" s="420">
        <v>2261</v>
      </c>
      <c r="AC366" s="66"/>
    </row>
    <row r="367" spans="1:29" ht="12.6" customHeight="1" x14ac:dyDescent="0.2">
      <c r="A367" s="18"/>
      <c r="B367" s="710" t="s">
        <v>693</v>
      </c>
      <c r="C367" s="946"/>
      <c r="D367" s="946"/>
      <c r="E367" s="946"/>
      <c r="F367" s="393">
        <f>0.58*X2</f>
        <v>601.45999999999992</v>
      </c>
      <c r="G367" s="294">
        <f t="shared" si="756"/>
        <v>601.45999999999992</v>
      </c>
      <c r="H367" s="492"/>
      <c r="I367" s="294"/>
      <c r="J367" s="492"/>
      <c r="K367" s="294"/>
      <c r="L367" s="492">
        <f t="shared" si="728"/>
        <v>721.45999999999992</v>
      </c>
      <c r="M367" s="294">
        <f t="shared" si="729"/>
        <v>721.45999999999992</v>
      </c>
      <c r="N367" s="492">
        <f t="shared" si="708"/>
        <v>661.45999999999992</v>
      </c>
      <c r="O367" s="294">
        <f t="shared" si="700"/>
        <v>661.45999999999992</v>
      </c>
      <c r="P367" s="492">
        <f t="shared" si="709"/>
        <v>651.45999999999992</v>
      </c>
      <c r="Q367" s="294">
        <f t="shared" si="701"/>
        <v>651.45999999999992</v>
      </c>
      <c r="R367" s="492">
        <f t="shared" si="710"/>
        <v>643.45999999999992</v>
      </c>
      <c r="S367" s="294">
        <f t="shared" si="702"/>
        <v>643.45999999999992</v>
      </c>
      <c r="T367" s="103">
        <f t="shared" si="724"/>
        <v>635.45999999999992</v>
      </c>
      <c r="U367" s="313">
        <f t="shared" si="725"/>
        <v>635.45999999999992</v>
      </c>
      <c r="V367" s="103">
        <f t="shared" si="726"/>
        <v>630.45999999999992</v>
      </c>
      <c r="W367" s="313">
        <f t="shared" si="727"/>
        <v>630.45999999999992</v>
      </c>
      <c r="X367" s="716"/>
      <c r="Y367" s="797"/>
      <c r="Z367" s="797"/>
      <c r="AA367" s="717"/>
      <c r="AB367" s="420">
        <v>2262</v>
      </c>
      <c r="AC367" s="66"/>
    </row>
    <row r="368" spans="1:29" ht="12.6" customHeight="1" x14ac:dyDescent="0.2">
      <c r="A368" s="18"/>
      <c r="B368" s="979" t="s">
        <v>636</v>
      </c>
      <c r="C368" s="980"/>
      <c r="D368" s="980"/>
      <c r="E368" s="980"/>
      <c r="F368" s="392">
        <f>1.25*X2</f>
        <v>1296.25</v>
      </c>
      <c r="G368" s="293">
        <f t="shared" ref="G368" si="757">+F368*$X$1</f>
        <v>1296.25</v>
      </c>
      <c r="H368" s="573"/>
      <c r="I368" s="293"/>
      <c r="J368" s="596"/>
      <c r="K368" s="293"/>
      <c r="L368" s="596">
        <f t="shared" si="728"/>
        <v>1416.25</v>
      </c>
      <c r="M368" s="293">
        <f t="shared" si="729"/>
        <v>1416.25</v>
      </c>
      <c r="N368" s="596">
        <f t="shared" si="708"/>
        <v>1356.25</v>
      </c>
      <c r="O368" s="293">
        <f t="shared" si="700"/>
        <v>1356.25</v>
      </c>
      <c r="P368" s="596">
        <f t="shared" si="709"/>
        <v>1346.25</v>
      </c>
      <c r="Q368" s="293">
        <f t="shared" si="701"/>
        <v>1346.25</v>
      </c>
      <c r="R368" s="596">
        <f t="shared" si="710"/>
        <v>1338.25</v>
      </c>
      <c r="S368" s="293">
        <f t="shared" si="702"/>
        <v>1338.25</v>
      </c>
      <c r="T368" s="104">
        <f t="shared" si="724"/>
        <v>1330.25</v>
      </c>
      <c r="U368" s="260">
        <f t="shared" si="725"/>
        <v>1330.25</v>
      </c>
      <c r="V368" s="104">
        <f t="shared" si="726"/>
        <v>1325.25</v>
      </c>
      <c r="W368" s="260">
        <f t="shared" si="727"/>
        <v>1325.25</v>
      </c>
      <c r="X368" s="716"/>
      <c r="Y368" s="797"/>
      <c r="Z368" s="797"/>
      <c r="AA368" s="717"/>
      <c r="AB368" s="420">
        <v>2264</v>
      </c>
      <c r="AC368" s="66"/>
    </row>
    <row r="369" spans="1:29" ht="12.6" customHeight="1" x14ac:dyDescent="0.2">
      <c r="A369" s="18"/>
      <c r="B369" s="710" t="s">
        <v>692</v>
      </c>
      <c r="C369" s="946"/>
      <c r="D369" s="946"/>
      <c r="E369" s="946"/>
      <c r="F369" s="393">
        <f>0.81*X2</f>
        <v>839.97</v>
      </c>
      <c r="G369" s="294">
        <f t="shared" ref="G369" si="758">+F369*$X$1</f>
        <v>839.97</v>
      </c>
      <c r="H369" s="492"/>
      <c r="I369" s="294"/>
      <c r="J369" s="492"/>
      <c r="K369" s="294"/>
      <c r="L369" s="492">
        <f t="shared" si="728"/>
        <v>959.97</v>
      </c>
      <c r="M369" s="294">
        <f t="shared" si="729"/>
        <v>959.97</v>
      </c>
      <c r="N369" s="492">
        <f t="shared" si="708"/>
        <v>899.97</v>
      </c>
      <c r="O369" s="294">
        <f t="shared" si="700"/>
        <v>899.97</v>
      </c>
      <c r="P369" s="492">
        <f t="shared" si="709"/>
        <v>889.97</v>
      </c>
      <c r="Q369" s="294">
        <f t="shared" si="701"/>
        <v>889.97</v>
      </c>
      <c r="R369" s="492">
        <f t="shared" si="710"/>
        <v>881.97</v>
      </c>
      <c r="S369" s="294">
        <f t="shared" si="702"/>
        <v>881.97</v>
      </c>
      <c r="T369" s="103">
        <f t="shared" si="724"/>
        <v>873.97</v>
      </c>
      <c r="U369" s="313">
        <f t="shared" si="725"/>
        <v>873.97</v>
      </c>
      <c r="V369" s="103">
        <f t="shared" si="726"/>
        <v>868.97</v>
      </c>
      <c r="W369" s="313">
        <f t="shared" si="727"/>
        <v>868.97</v>
      </c>
      <c r="X369" s="716"/>
      <c r="Y369" s="797"/>
      <c r="Z369" s="797"/>
      <c r="AA369" s="717"/>
      <c r="AB369" s="420">
        <v>2266</v>
      </c>
      <c r="AC369" s="66"/>
    </row>
    <row r="370" spans="1:29" ht="12.6" customHeight="1" x14ac:dyDescent="0.2">
      <c r="A370" s="18"/>
      <c r="B370" s="1212" t="s">
        <v>251</v>
      </c>
      <c r="C370" s="1213"/>
      <c r="D370" s="1213"/>
      <c r="E370" s="1213"/>
      <c r="F370" s="588">
        <f>1.96*X2</f>
        <v>2032.52</v>
      </c>
      <c r="G370" s="293">
        <f t="shared" ref="G370:G371" si="759">+F370*$X$1</f>
        <v>2032.52</v>
      </c>
      <c r="H370" s="621">
        <f>F370+500</f>
        <v>2532.52</v>
      </c>
      <c r="I370" s="293">
        <f t="shared" ref="I370" si="760">+H370*$X$1</f>
        <v>2532.52</v>
      </c>
      <c r="J370" s="621">
        <f>F370+210</f>
        <v>2242.52</v>
      </c>
      <c r="K370" s="293">
        <f t="shared" ref="K370" si="761">+J370*$X$1</f>
        <v>2242.52</v>
      </c>
      <c r="L370" s="621">
        <f>F370+170</f>
        <v>2202.52</v>
      </c>
      <c r="M370" s="293">
        <f t="shared" si="729"/>
        <v>2202.52</v>
      </c>
      <c r="N370" s="621"/>
      <c r="O370" s="293"/>
      <c r="P370" s="621"/>
      <c r="Q370" s="293"/>
      <c r="R370" s="621"/>
      <c r="S370" s="293"/>
      <c r="T370" s="621"/>
      <c r="U370" s="293"/>
      <c r="V370" s="621"/>
      <c r="W370" s="293"/>
      <c r="X370" s="716"/>
      <c r="Y370" s="797"/>
      <c r="Z370" s="797"/>
      <c r="AA370" s="717"/>
      <c r="AB370" s="420">
        <v>2268</v>
      </c>
      <c r="AC370" s="66"/>
    </row>
    <row r="371" spans="1:29" ht="12.6" customHeight="1" x14ac:dyDescent="0.2">
      <c r="A371" s="18"/>
      <c r="B371" s="710" t="s">
        <v>252</v>
      </c>
      <c r="C371" s="1194"/>
      <c r="D371" s="1194"/>
      <c r="E371" s="1194"/>
      <c r="F371" s="393">
        <f>0.443*X2</f>
        <v>459.39100000000002</v>
      </c>
      <c r="G371" s="294">
        <f t="shared" si="759"/>
        <v>459.39100000000002</v>
      </c>
      <c r="H371" s="285"/>
      <c r="I371" s="285"/>
      <c r="J371" s="492"/>
      <c r="K371" s="492"/>
      <c r="L371" s="492">
        <f t="shared" si="728"/>
        <v>579.39100000000008</v>
      </c>
      <c r="M371" s="294">
        <f>+L371*$X$1</f>
        <v>579.39100000000008</v>
      </c>
      <c r="N371" s="492">
        <f>F371+60</f>
        <v>519.39100000000008</v>
      </c>
      <c r="O371" s="294">
        <f>+N371*$X$1</f>
        <v>519.39100000000008</v>
      </c>
      <c r="P371" s="492">
        <f>F371+50</f>
        <v>509.39100000000002</v>
      </c>
      <c r="Q371" s="294">
        <f>+P371*$X$1</f>
        <v>509.39100000000002</v>
      </c>
      <c r="R371" s="492">
        <f>F371+42</f>
        <v>501.39100000000002</v>
      </c>
      <c r="S371" s="294">
        <f>+R371*$X$1</f>
        <v>501.39100000000002</v>
      </c>
      <c r="T371" s="103">
        <f>F371+34</f>
        <v>493.39100000000002</v>
      </c>
      <c r="U371" s="313">
        <f>+T371*$X$1</f>
        <v>493.39100000000002</v>
      </c>
      <c r="V371" s="103">
        <f>F371+29</f>
        <v>488.39100000000002</v>
      </c>
      <c r="W371" s="313">
        <f>+V371*$X$1</f>
        <v>488.39100000000002</v>
      </c>
      <c r="X371" s="179"/>
      <c r="Y371" s="181"/>
      <c r="Z371" s="181"/>
      <c r="AA371" s="179"/>
      <c r="AB371" s="420">
        <v>2270</v>
      </c>
      <c r="AC371" s="66"/>
    </row>
    <row r="372" spans="1:29" ht="12.6" customHeight="1" x14ac:dyDescent="0.2">
      <c r="A372" s="18"/>
      <c r="B372" s="979" t="s">
        <v>253</v>
      </c>
      <c r="C372" s="981"/>
      <c r="D372" s="981"/>
      <c r="E372" s="981"/>
      <c r="F372" s="392">
        <f>0.59*X2</f>
        <v>611.82999999999993</v>
      </c>
      <c r="G372" s="293">
        <f>+F372*$X$1</f>
        <v>611.82999999999993</v>
      </c>
      <c r="H372" s="286"/>
      <c r="I372" s="286"/>
      <c r="J372" s="627"/>
      <c r="K372" s="627"/>
      <c r="L372" s="627">
        <f t="shared" si="728"/>
        <v>731.82999999999993</v>
      </c>
      <c r="M372" s="293">
        <f>+L372*$X$1</f>
        <v>731.82999999999993</v>
      </c>
      <c r="N372" s="627">
        <f>F372+60</f>
        <v>671.82999999999993</v>
      </c>
      <c r="O372" s="293">
        <f>+N372*$X$1</f>
        <v>671.82999999999993</v>
      </c>
      <c r="P372" s="627">
        <f>F372+50</f>
        <v>661.82999999999993</v>
      </c>
      <c r="Q372" s="293">
        <f>+P372*$X$1</f>
        <v>661.82999999999993</v>
      </c>
      <c r="R372" s="627">
        <f>F372+42</f>
        <v>653.82999999999993</v>
      </c>
      <c r="S372" s="293">
        <f>+R372*$X$1</f>
        <v>653.82999999999993</v>
      </c>
      <c r="T372" s="104">
        <f>F372+34</f>
        <v>645.82999999999993</v>
      </c>
      <c r="U372" s="260">
        <f>+T372*$X$1</f>
        <v>645.82999999999993</v>
      </c>
      <c r="V372" s="104">
        <f>F372+29</f>
        <v>640.82999999999993</v>
      </c>
      <c r="W372" s="260">
        <f>+V372*$X$1</f>
        <v>640.82999999999993</v>
      </c>
      <c r="X372" s="179"/>
      <c r="Y372" s="181"/>
      <c r="Z372" s="181"/>
      <c r="AA372" s="179"/>
      <c r="AB372" s="420">
        <v>2275</v>
      </c>
      <c r="AC372" s="66"/>
    </row>
    <row r="373" spans="1:29" ht="12.6" customHeight="1" x14ac:dyDescent="0.2">
      <c r="A373" s="18"/>
      <c r="B373" s="710" t="s">
        <v>634</v>
      </c>
      <c r="C373" s="711"/>
      <c r="D373" s="711"/>
      <c r="E373" s="711"/>
      <c r="F373" s="393">
        <f>0.59*X2</f>
        <v>611.82999999999993</v>
      </c>
      <c r="G373" s="294">
        <f t="shared" ref="G373:G374" si="762">+F373*$X$1</f>
        <v>611.82999999999993</v>
      </c>
      <c r="H373" s="285"/>
      <c r="I373" s="285"/>
      <c r="J373" s="492"/>
      <c r="K373" s="492"/>
      <c r="L373" s="492">
        <f t="shared" ref="L373:L390" si="763">F373+120</f>
        <v>731.82999999999993</v>
      </c>
      <c r="M373" s="294">
        <f t="shared" ref="M373:M393" si="764">+L373*$X$1</f>
        <v>731.82999999999993</v>
      </c>
      <c r="N373" s="492">
        <f t="shared" ref="N373:N389" si="765">F373+60</f>
        <v>671.82999999999993</v>
      </c>
      <c r="O373" s="294">
        <f t="shared" ref="O373:O393" si="766">+N373*$X$1</f>
        <v>671.82999999999993</v>
      </c>
      <c r="P373" s="492">
        <f t="shared" ref="P373:P389" si="767">F373+50</f>
        <v>661.82999999999993</v>
      </c>
      <c r="Q373" s="294">
        <f t="shared" ref="Q373:Q393" si="768">+P373*$X$1</f>
        <v>661.82999999999993</v>
      </c>
      <c r="R373" s="492">
        <f t="shared" ref="R373:R389" si="769">F373+42</f>
        <v>653.82999999999993</v>
      </c>
      <c r="S373" s="294">
        <f t="shared" ref="S373:S393" si="770">+R373*$X$1</f>
        <v>653.82999999999993</v>
      </c>
      <c r="T373" s="103">
        <f t="shared" ref="T373:T389" si="771">F373+34</f>
        <v>645.82999999999993</v>
      </c>
      <c r="U373" s="313">
        <f t="shared" ref="U373:U393" si="772">+T373*$X$1</f>
        <v>645.82999999999993</v>
      </c>
      <c r="V373" s="103">
        <f t="shared" ref="V373:V389" si="773">F373+29</f>
        <v>640.82999999999993</v>
      </c>
      <c r="W373" s="313">
        <f t="shared" ref="W373:W393" si="774">+V373*$X$1</f>
        <v>640.82999999999993</v>
      </c>
      <c r="X373" s="230"/>
      <c r="Y373" s="231"/>
      <c r="Z373" s="231"/>
      <c r="AA373" s="230"/>
      <c r="AB373" s="420">
        <v>2279</v>
      </c>
      <c r="AC373" s="66"/>
    </row>
    <row r="374" spans="1:29" ht="12.6" customHeight="1" x14ac:dyDescent="0.2">
      <c r="A374" s="18"/>
      <c r="B374" s="979" t="s">
        <v>254</v>
      </c>
      <c r="C374" s="981"/>
      <c r="D374" s="981"/>
      <c r="E374" s="981"/>
      <c r="F374" s="392">
        <f>0.484*X2</f>
        <v>501.90799999999996</v>
      </c>
      <c r="G374" s="293">
        <f t="shared" si="762"/>
        <v>501.90799999999996</v>
      </c>
      <c r="H374" s="286"/>
      <c r="I374" s="286"/>
      <c r="J374" s="627"/>
      <c r="K374" s="627"/>
      <c r="L374" s="627">
        <f t="shared" si="763"/>
        <v>621.9079999999999</v>
      </c>
      <c r="M374" s="293">
        <f t="shared" si="764"/>
        <v>621.9079999999999</v>
      </c>
      <c r="N374" s="627">
        <f t="shared" si="765"/>
        <v>561.9079999999999</v>
      </c>
      <c r="O374" s="293">
        <f t="shared" si="766"/>
        <v>561.9079999999999</v>
      </c>
      <c r="P374" s="627">
        <f t="shared" si="767"/>
        <v>551.9079999999999</v>
      </c>
      <c r="Q374" s="293">
        <f t="shared" si="768"/>
        <v>551.9079999999999</v>
      </c>
      <c r="R374" s="627">
        <f t="shared" si="769"/>
        <v>543.9079999999999</v>
      </c>
      <c r="S374" s="293">
        <f t="shared" si="770"/>
        <v>543.9079999999999</v>
      </c>
      <c r="T374" s="104">
        <f t="shared" si="771"/>
        <v>535.9079999999999</v>
      </c>
      <c r="U374" s="260">
        <f t="shared" si="772"/>
        <v>535.9079999999999</v>
      </c>
      <c r="V374" s="104">
        <f t="shared" si="773"/>
        <v>530.9079999999999</v>
      </c>
      <c r="W374" s="260">
        <f t="shared" si="774"/>
        <v>530.9079999999999</v>
      </c>
      <c r="X374" s="179"/>
      <c r="Y374" s="181"/>
      <c r="Z374" s="181"/>
      <c r="AA374" s="179"/>
      <c r="AB374" s="420">
        <v>2280</v>
      </c>
      <c r="AC374" s="66"/>
    </row>
    <row r="375" spans="1:29" ht="12.6" customHeight="1" x14ac:dyDescent="0.2">
      <c r="A375" s="18"/>
      <c r="B375" s="710" t="s">
        <v>498</v>
      </c>
      <c r="C375" s="711"/>
      <c r="D375" s="711"/>
      <c r="E375" s="711"/>
      <c r="F375" s="393">
        <f>0.42*X2</f>
        <v>435.53999999999996</v>
      </c>
      <c r="G375" s="294">
        <f t="shared" ref="G375:G379" si="775">+F375*$X$1</f>
        <v>435.53999999999996</v>
      </c>
      <c r="H375" s="285"/>
      <c r="I375" s="285"/>
      <c r="J375" s="492"/>
      <c r="K375" s="492"/>
      <c r="L375" s="492">
        <f t="shared" si="763"/>
        <v>555.54</v>
      </c>
      <c r="M375" s="294">
        <f t="shared" si="764"/>
        <v>555.54</v>
      </c>
      <c r="N375" s="492">
        <f t="shared" si="765"/>
        <v>495.53999999999996</v>
      </c>
      <c r="O375" s="294">
        <f t="shared" si="766"/>
        <v>495.53999999999996</v>
      </c>
      <c r="P375" s="492">
        <f t="shared" si="767"/>
        <v>485.53999999999996</v>
      </c>
      <c r="Q375" s="294">
        <f t="shared" si="768"/>
        <v>485.53999999999996</v>
      </c>
      <c r="R375" s="492">
        <f t="shared" si="769"/>
        <v>477.53999999999996</v>
      </c>
      <c r="S375" s="294">
        <f t="shared" si="770"/>
        <v>477.53999999999996</v>
      </c>
      <c r="T375" s="103">
        <f t="shared" si="771"/>
        <v>469.53999999999996</v>
      </c>
      <c r="U375" s="313">
        <f t="shared" si="772"/>
        <v>469.53999999999996</v>
      </c>
      <c r="V375" s="103">
        <f t="shared" si="773"/>
        <v>464.53999999999996</v>
      </c>
      <c r="W375" s="313">
        <f t="shared" si="774"/>
        <v>464.53999999999996</v>
      </c>
      <c r="X375" s="179"/>
      <c r="Y375" s="181"/>
      <c r="Z375" s="181"/>
      <c r="AA375" s="179"/>
      <c r="AB375" s="420">
        <v>2281</v>
      </c>
      <c r="AC375" s="66"/>
    </row>
    <row r="376" spans="1:29" ht="12.6" customHeight="1" x14ac:dyDescent="0.2">
      <c r="A376" s="18"/>
      <c r="B376" s="746" t="s">
        <v>905</v>
      </c>
      <c r="C376" s="987"/>
      <c r="D376" s="987"/>
      <c r="E376" s="988"/>
      <c r="F376" s="397">
        <f>0.609*X2</f>
        <v>631.53300000000002</v>
      </c>
      <c r="G376" s="293">
        <f t="shared" ref="G376" si="776">+F376*$X$1</f>
        <v>631.53300000000002</v>
      </c>
      <c r="H376" s="286"/>
      <c r="I376" s="353"/>
      <c r="J376" s="627"/>
      <c r="K376" s="293"/>
      <c r="L376" s="627">
        <f t="shared" si="763"/>
        <v>751.53300000000002</v>
      </c>
      <c r="M376" s="293">
        <f t="shared" si="764"/>
        <v>751.53300000000002</v>
      </c>
      <c r="N376" s="627">
        <f t="shared" si="765"/>
        <v>691.53300000000002</v>
      </c>
      <c r="O376" s="293">
        <f t="shared" si="766"/>
        <v>691.53300000000002</v>
      </c>
      <c r="P376" s="627">
        <f t="shared" si="767"/>
        <v>681.53300000000002</v>
      </c>
      <c r="Q376" s="293">
        <f t="shared" si="768"/>
        <v>681.53300000000002</v>
      </c>
      <c r="R376" s="627">
        <f t="shared" si="769"/>
        <v>673.53300000000002</v>
      </c>
      <c r="S376" s="293">
        <f t="shared" si="770"/>
        <v>673.53300000000002</v>
      </c>
      <c r="T376" s="104">
        <f t="shared" si="771"/>
        <v>665.53300000000002</v>
      </c>
      <c r="U376" s="260">
        <f t="shared" si="772"/>
        <v>665.53300000000002</v>
      </c>
      <c r="V376" s="104">
        <f t="shared" si="773"/>
        <v>660.53300000000002</v>
      </c>
      <c r="W376" s="260">
        <f t="shared" si="774"/>
        <v>660.53300000000002</v>
      </c>
      <c r="X376" s="132"/>
      <c r="Y376" s="132"/>
      <c r="Z376" s="132"/>
      <c r="AA376" s="132"/>
      <c r="AB376" s="420">
        <v>2282</v>
      </c>
    </row>
    <row r="377" spans="1:29" ht="12.6" customHeight="1" x14ac:dyDescent="0.2">
      <c r="A377" s="18"/>
      <c r="B377" s="746" t="s">
        <v>904</v>
      </c>
      <c r="C377" s="987"/>
      <c r="D377" s="987"/>
      <c r="E377" s="988"/>
      <c r="F377" s="396">
        <f>0.57*X2</f>
        <v>591.08999999999992</v>
      </c>
      <c r="G377" s="294">
        <f t="shared" si="775"/>
        <v>591.08999999999992</v>
      </c>
      <c r="H377" s="285"/>
      <c r="I377" s="354"/>
      <c r="J377" s="492"/>
      <c r="K377" s="294"/>
      <c r="L377" s="492">
        <f t="shared" si="763"/>
        <v>711.08999999999992</v>
      </c>
      <c r="M377" s="294">
        <f t="shared" si="764"/>
        <v>711.08999999999992</v>
      </c>
      <c r="N377" s="492">
        <f t="shared" si="765"/>
        <v>651.08999999999992</v>
      </c>
      <c r="O377" s="294">
        <f t="shared" si="766"/>
        <v>651.08999999999992</v>
      </c>
      <c r="P377" s="492">
        <f t="shared" si="767"/>
        <v>641.08999999999992</v>
      </c>
      <c r="Q377" s="294">
        <f t="shared" si="768"/>
        <v>641.08999999999992</v>
      </c>
      <c r="R377" s="492">
        <f t="shared" si="769"/>
        <v>633.08999999999992</v>
      </c>
      <c r="S377" s="294">
        <f t="shared" si="770"/>
        <v>633.08999999999992</v>
      </c>
      <c r="T377" s="103">
        <f t="shared" si="771"/>
        <v>625.08999999999992</v>
      </c>
      <c r="U377" s="313">
        <f t="shared" si="772"/>
        <v>625.08999999999992</v>
      </c>
      <c r="V377" s="103">
        <f t="shared" si="773"/>
        <v>620.08999999999992</v>
      </c>
      <c r="W377" s="313">
        <f t="shared" si="774"/>
        <v>620.08999999999992</v>
      </c>
      <c r="X377" s="132"/>
      <c r="Y377" s="132"/>
      <c r="Z377" s="132"/>
      <c r="AA377" s="132"/>
      <c r="AB377" s="420">
        <v>2283</v>
      </c>
    </row>
    <row r="378" spans="1:29" ht="12.6" customHeight="1" x14ac:dyDescent="0.2">
      <c r="A378" s="18"/>
      <c r="B378" s="979" t="s">
        <v>348</v>
      </c>
      <c r="C378" s="981"/>
      <c r="D378" s="981"/>
      <c r="E378" s="981"/>
      <c r="F378" s="392">
        <f>0.64*X2</f>
        <v>663.68000000000006</v>
      </c>
      <c r="G378" s="293">
        <f t="shared" si="775"/>
        <v>663.68000000000006</v>
      </c>
      <c r="H378" s="286"/>
      <c r="I378" s="286"/>
      <c r="J378" s="627"/>
      <c r="K378" s="627"/>
      <c r="L378" s="627">
        <f t="shared" si="763"/>
        <v>783.68000000000006</v>
      </c>
      <c r="M378" s="293">
        <f t="shared" si="764"/>
        <v>783.68000000000006</v>
      </c>
      <c r="N378" s="627">
        <f t="shared" si="765"/>
        <v>723.68000000000006</v>
      </c>
      <c r="O378" s="293">
        <f t="shared" si="766"/>
        <v>723.68000000000006</v>
      </c>
      <c r="P378" s="627">
        <f t="shared" si="767"/>
        <v>713.68000000000006</v>
      </c>
      <c r="Q378" s="293">
        <f t="shared" si="768"/>
        <v>713.68000000000006</v>
      </c>
      <c r="R378" s="627">
        <f t="shared" si="769"/>
        <v>705.68000000000006</v>
      </c>
      <c r="S378" s="293">
        <f t="shared" si="770"/>
        <v>705.68000000000006</v>
      </c>
      <c r="T378" s="104">
        <f t="shared" si="771"/>
        <v>697.68000000000006</v>
      </c>
      <c r="U378" s="260">
        <f t="shared" si="772"/>
        <v>697.68000000000006</v>
      </c>
      <c r="V378" s="104">
        <f t="shared" si="773"/>
        <v>692.68000000000006</v>
      </c>
      <c r="W378" s="260">
        <f t="shared" si="774"/>
        <v>692.68000000000006</v>
      </c>
      <c r="X378" s="192"/>
      <c r="Y378" s="191"/>
      <c r="Z378" s="191"/>
      <c r="AA378" s="192"/>
      <c r="AB378" s="420">
        <v>2285</v>
      </c>
      <c r="AC378" s="66"/>
    </row>
    <row r="379" spans="1:29" ht="12.6" customHeight="1" x14ac:dyDescent="0.2">
      <c r="A379" s="18"/>
      <c r="B379" s="710" t="s">
        <v>349</v>
      </c>
      <c r="C379" s="711"/>
      <c r="D379" s="711"/>
      <c r="E379" s="711"/>
      <c r="F379" s="393">
        <f>0.356*X2</f>
        <v>369.17199999999997</v>
      </c>
      <c r="G379" s="294">
        <f t="shared" si="775"/>
        <v>369.17199999999997</v>
      </c>
      <c r="H379" s="285"/>
      <c r="I379" s="285"/>
      <c r="J379" s="492"/>
      <c r="K379" s="492"/>
      <c r="L379" s="492">
        <f t="shared" si="763"/>
        <v>489.17199999999997</v>
      </c>
      <c r="M379" s="294">
        <f t="shared" si="764"/>
        <v>489.17199999999997</v>
      </c>
      <c r="N379" s="492">
        <f t="shared" si="765"/>
        <v>429.17199999999997</v>
      </c>
      <c r="O379" s="294">
        <f t="shared" si="766"/>
        <v>429.17199999999997</v>
      </c>
      <c r="P379" s="492">
        <f t="shared" si="767"/>
        <v>419.17199999999997</v>
      </c>
      <c r="Q379" s="294">
        <f t="shared" si="768"/>
        <v>419.17199999999997</v>
      </c>
      <c r="R379" s="492">
        <f t="shared" si="769"/>
        <v>411.17199999999997</v>
      </c>
      <c r="S379" s="294">
        <f t="shared" si="770"/>
        <v>411.17199999999997</v>
      </c>
      <c r="T379" s="103">
        <f t="shared" si="771"/>
        <v>403.17199999999997</v>
      </c>
      <c r="U379" s="313">
        <f t="shared" si="772"/>
        <v>403.17199999999997</v>
      </c>
      <c r="V379" s="103">
        <f t="shared" si="773"/>
        <v>398.17199999999997</v>
      </c>
      <c r="W379" s="313">
        <f t="shared" si="774"/>
        <v>398.17199999999997</v>
      </c>
      <c r="X379" s="193"/>
      <c r="Y379" s="194"/>
      <c r="Z379" s="194"/>
      <c r="AA379" s="193"/>
      <c r="AB379" s="420">
        <v>2286</v>
      </c>
      <c r="AC379" s="66"/>
    </row>
    <row r="380" spans="1:29" ht="12.6" customHeight="1" x14ac:dyDescent="0.2">
      <c r="A380" s="18"/>
      <c r="B380" s="1205" t="s">
        <v>386</v>
      </c>
      <c r="C380" s="1206"/>
      <c r="D380" s="1206"/>
      <c r="E380" s="1206"/>
      <c r="F380" s="397">
        <f>0.51*X2</f>
        <v>528.87</v>
      </c>
      <c r="G380" s="314">
        <f t="shared" ref="G380:G382" si="777">+F380*$X$1</f>
        <v>528.87</v>
      </c>
      <c r="H380" s="518"/>
      <c r="I380" s="518"/>
      <c r="J380" s="104"/>
      <c r="K380" s="104"/>
      <c r="L380" s="627">
        <f t="shared" si="763"/>
        <v>648.87</v>
      </c>
      <c r="M380" s="293">
        <f t="shared" si="764"/>
        <v>648.87</v>
      </c>
      <c r="N380" s="627">
        <f t="shared" si="765"/>
        <v>588.87</v>
      </c>
      <c r="O380" s="293">
        <f t="shared" si="766"/>
        <v>588.87</v>
      </c>
      <c r="P380" s="627">
        <f t="shared" si="767"/>
        <v>578.87</v>
      </c>
      <c r="Q380" s="293">
        <f t="shared" si="768"/>
        <v>578.87</v>
      </c>
      <c r="R380" s="627">
        <f t="shared" si="769"/>
        <v>570.87</v>
      </c>
      <c r="S380" s="293">
        <f t="shared" si="770"/>
        <v>570.87</v>
      </c>
      <c r="T380" s="104">
        <f t="shared" si="771"/>
        <v>562.87</v>
      </c>
      <c r="U380" s="260">
        <f t="shared" si="772"/>
        <v>562.87</v>
      </c>
      <c r="V380" s="104">
        <f t="shared" si="773"/>
        <v>557.87</v>
      </c>
      <c r="W380" s="260">
        <f t="shared" si="774"/>
        <v>557.87</v>
      </c>
      <c r="X380" s="225"/>
      <c r="Y380" s="224"/>
      <c r="Z380" s="224"/>
      <c r="AA380" s="225"/>
      <c r="AB380" s="420">
        <v>2287</v>
      </c>
      <c r="AC380" s="66"/>
    </row>
    <row r="381" spans="1:29" ht="12.6" customHeight="1" x14ac:dyDescent="0.2">
      <c r="A381" s="18"/>
      <c r="B381" s="1200" t="s">
        <v>397</v>
      </c>
      <c r="C381" s="1201"/>
      <c r="D381" s="1201"/>
      <c r="E381" s="1202"/>
      <c r="F381" s="393">
        <f>1.01*X2</f>
        <v>1047.3700000000001</v>
      </c>
      <c r="G381" s="294">
        <f t="shared" si="777"/>
        <v>1047.3700000000001</v>
      </c>
      <c r="H381" s="285"/>
      <c r="I381" s="285"/>
      <c r="J381" s="492"/>
      <c r="K381" s="492"/>
      <c r="L381" s="492">
        <f t="shared" si="763"/>
        <v>1167.3700000000001</v>
      </c>
      <c r="M381" s="294">
        <f t="shared" si="764"/>
        <v>1167.3700000000001</v>
      </c>
      <c r="N381" s="492">
        <f t="shared" si="765"/>
        <v>1107.3700000000001</v>
      </c>
      <c r="O381" s="294">
        <f t="shared" si="766"/>
        <v>1107.3700000000001</v>
      </c>
      <c r="P381" s="492">
        <f t="shared" si="767"/>
        <v>1097.3700000000001</v>
      </c>
      <c r="Q381" s="294">
        <f t="shared" si="768"/>
        <v>1097.3700000000001</v>
      </c>
      <c r="R381" s="492">
        <f t="shared" si="769"/>
        <v>1089.3700000000001</v>
      </c>
      <c r="S381" s="294">
        <f t="shared" si="770"/>
        <v>1089.3700000000001</v>
      </c>
      <c r="T381" s="103">
        <f t="shared" si="771"/>
        <v>1081.3700000000001</v>
      </c>
      <c r="U381" s="313">
        <f t="shared" si="772"/>
        <v>1081.3700000000001</v>
      </c>
      <c r="V381" s="103">
        <f t="shared" si="773"/>
        <v>1076.3700000000001</v>
      </c>
      <c r="W381" s="313">
        <f t="shared" si="774"/>
        <v>1076.3700000000001</v>
      </c>
      <c r="X381" s="226"/>
      <c r="Y381" s="227"/>
      <c r="Z381" s="227"/>
      <c r="AA381" s="226"/>
      <c r="AB381" s="420">
        <v>2289</v>
      </c>
      <c r="AC381" s="66"/>
    </row>
    <row r="382" spans="1:29" ht="12.6" customHeight="1" x14ac:dyDescent="0.2">
      <c r="A382" s="18"/>
      <c r="B382" s="719" t="s">
        <v>716</v>
      </c>
      <c r="C382" s="720"/>
      <c r="D382" s="720"/>
      <c r="E382" s="721"/>
      <c r="F382" s="397">
        <f>0.73*X2</f>
        <v>757.01</v>
      </c>
      <c r="G382" s="293">
        <f t="shared" si="777"/>
        <v>757.01</v>
      </c>
      <c r="H382" s="286"/>
      <c r="I382" s="286"/>
      <c r="J382" s="627"/>
      <c r="K382" s="627"/>
      <c r="L382" s="627">
        <f t="shared" si="763"/>
        <v>877.01</v>
      </c>
      <c r="M382" s="293">
        <f t="shared" si="764"/>
        <v>877.01</v>
      </c>
      <c r="N382" s="627">
        <f t="shared" si="765"/>
        <v>817.01</v>
      </c>
      <c r="O382" s="293">
        <f t="shared" si="766"/>
        <v>817.01</v>
      </c>
      <c r="P382" s="627">
        <f t="shared" si="767"/>
        <v>807.01</v>
      </c>
      <c r="Q382" s="293">
        <f t="shared" si="768"/>
        <v>807.01</v>
      </c>
      <c r="R382" s="627">
        <f t="shared" si="769"/>
        <v>799.01</v>
      </c>
      <c r="S382" s="293">
        <f t="shared" si="770"/>
        <v>799.01</v>
      </c>
      <c r="T382" s="104">
        <f t="shared" si="771"/>
        <v>791.01</v>
      </c>
      <c r="U382" s="260">
        <f t="shared" si="772"/>
        <v>791.01</v>
      </c>
      <c r="V382" s="104">
        <f t="shared" si="773"/>
        <v>786.01</v>
      </c>
      <c r="W382" s="260">
        <f t="shared" si="774"/>
        <v>786.01</v>
      </c>
      <c r="X382" s="465"/>
      <c r="Y382" s="466"/>
      <c r="Z382" s="466"/>
      <c r="AA382" s="465"/>
      <c r="AB382" s="420">
        <v>2290</v>
      </c>
      <c r="AC382" s="66"/>
    </row>
    <row r="383" spans="1:29" ht="12.6" customHeight="1" x14ac:dyDescent="0.2">
      <c r="A383" s="18"/>
      <c r="B383" s="1111" t="s">
        <v>497</v>
      </c>
      <c r="C383" s="1112"/>
      <c r="D383" s="1112"/>
      <c r="E383" s="1113"/>
      <c r="F383" s="396">
        <f>0.549*X2</f>
        <v>569.3130000000001</v>
      </c>
      <c r="G383" s="294">
        <f t="shared" ref="G383" si="778">+F383*$X$1</f>
        <v>569.3130000000001</v>
      </c>
      <c r="H383" s="285"/>
      <c r="I383" s="285"/>
      <c r="J383" s="492"/>
      <c r="K383" s="492"/>
      <c r="L383" s="492">
        <f t="shared" si="763"/>
        <v>689.3130000000001</v>
      </c>
      <c r="M383" s="294">
        <f t="shared" si="764"/>
        <v>689.3130000000001</v>
      </c>
      <c r="N383" s="492">
        <f t="shared" si="765"/>
        <v>629.3130000000001</v>
      </c>
      <c r="O383" s="294">
        <f t="shared" si="766"/>
        <v>629.3130000000001</v>
      </c>
      <c r="P383" s="492">
        <f t="shared" si="767"/>
        <v>619.3130000000001</v>
      </c>
      <c r="Q383" s="294">
        <f t="shared" si="768"/>
        <v>619.3130000000001</v>
      </c>
      <c r="R383" s="492">
        <f t="shared" si="769"/>
        <v>611.3130000000001</v>
      </c>
      <c r="S383" s="294">
        <f t="shared" si="770"/>
        <v>611.3130000000001</v>
      </c>
      <c r="T383" s="103">
        <f t="shared" si="771"/>
        <v>603.3130000000001</v>
      </c>
      <c r="U383" s="313">
        <f t="shared" si="772"/>
        <v>603.3130000000001</v>
      </c>
      <c r="V383" s="103">
        <f t="shared" si="773"/>
        <v>598.3130000000001</v>
      </c>
      <c r="W383" s="313">
        <f t="shared" si="774"/>
        <v>598.3130000000001</v>
      </c>
      <c r="X383" s="253"/>
      <c r="Y383" s="257"/>
      <c r="Z383" s="257"/>
      <c r="AA383" s="253"/>
      <c r="AB383" s="420">
        <v>2291</v>
      </c>
      <c r="AC383" s="66"/>
    </row>
    <row r="384" spans="1:29" ht="12.6" customHeight="1" x14ac:dyDescent="0.2">
      <c r="A384" s="18"/>
      <c r="B384" s="719" t="s">
        <v>635</v>
      </c>
      <c r="C384" s="720"/>
      <c r="D384" s="720"/>
      <c r="E384" s="721"/>
      <c r="F384" s="397">
        <f>0.37*X2</f>
        <v>383.69</v>
      </c>
      <c r="G384" s="293">
        <f t="shared" ref="G384" si="779">+F384*$X$1</f>
        <v>383.69</v>
      </c>
      <c r="H384" s="286"/>
      <c r="I384" s="286"/>
      <c r="J384" s="627"/>
      <c r="K384" s="627"/>
      <c r="L384" s="627">
        <f t="shared" si="763"/>
        <v>503.69</v>
      </c>
      <c r="M384" s="293">
        <f t="shared" si="764"/>
        <v>503.69</v>
      </c>
      <c r="N384" s="627">
        <f t="shared" si="765"/>
        <v>443.69</v>
      </c>
      <c r="O384" s="293">
        <f t="shared" si="766"/>
        <v>443.69</v>
      </c>
      <c r="P384" s="627">
        <f t="shared" si="767"/>
        <v>433.69</v>
      </c>
      <c r="Q384" s="293">
        <f t="shared" si="768"/>
        <v>433.69</v>
      </c>
      <c r="R384" s="627">
        <f t="shared" si="769"/>
        <v>425.69</v>
      </c>
      <c r="S384" s="293">
        <f t="shared" si="770"/>
        <v>425.69</v>
      </c>
      <c r="T384" s="104">
        <f t="shared" si="771"/>
        <v>417.69</v>
      </c>
      <c r="U384" s="260">
        <f t="shared" si="772"/>
        <v>417.69</v>
      </c>
      <c r="V384" s="104">
        <f t="shared" si="773"/>
        <v>412.69</v>
      </c>
      <c r="W384" s="260">
        <f t="shared" si="774"/>
        <v>412.69</v>
      </c>
      <c r="X384" s="258"/>
      <c r="Y384" s="259"/>
      <c r="Z384" s="259"/>
      <c r="AA384" s="258"/>
      <c r="AB384" s="420">
        <v>2292</v>
      </c>
      <c r="AC384" s="66"/>
    </row>
    <row r="385" spans="1:34" ht="12.6" customHeight="1" x14ac:dyDescent="0.2">
      <c r="A385" s="18"/>
      <c r="B385" s="1111" t="s">
        <v>515</v>
      </c>
      <c r="C385" s="1112"/>
      <c r="D385" s="1112"/>
      <c r="E385" s="1113"/>
      <c r="F385" s="396">
        <f>0.94*X2</f>
        <v>974.78</v>
      </c>
      <c r="G385" s="294">
        <f t="shared" ref="G385" si="780">+F385*$X$1</f>
        <v>974.78</v>
      </c>
      <c r="H385" s="285"/>
      <c r="I385" s="285"/>
      <c r="J385" s="492"/>
      <c r="K385" s="492"/>
      <c r="L385" s="492">
        <f t="shared" si="763"/>
        <v>1094.78</v>
      </c>
      <c r="M385" s="294">
        <f t="shared" si="764"/>
        <v>1094.78</v>
      </c>
      <c r="N385" s="492">
        <f t="shared" si="765"/>
        <v>1034.78</v>
      </c>
      <c r="O385" s="294">
        <f t="shared" si="766"/>
        <v>1034.78</v>
      </c>
      <c r="P385" s="492">
        <f t="shared" si="767"/>
        <v>1024.78</v>
      </c>
      <c r="Q385" s="294">
        <f t="shared" si="768"/>
        <v>1024.78</v>
      </c>
      <c r="R385" s="492">
        <f t="shared" si="769"/>
        <v>1016.78</v>
      </c>
      <c r="S385" s="294">
        <f t="shared" si="770"/>
        <v>1016.78</v>
      </c>
      <c r="T385" s="103">
        <f t="shared" si="771"/>
        <v>1008.78</v>
      </c>
      <c r="U385" s="313">
        <f t="shared" si="772"/>
        <v>1008.78</v>
      </c>
      <c r="V385" s="103">
        <f t="shared" si="773"/>
        <v>1003.78</v>
      </c>
      <c r="W385" s="313">
        <f t="shared" si="774"/>
        <v>1003.78</v>
      </c>
      <c r="X385" s="261"/>
      <c r="Y385" s="262"/>
      <c r="Z385" s="262"/>
      <c r="AA385" s="261"/>
      <c r="AB385" s="420">
        <v>2293</v>
      </c>
      <c r="AC385" s="66"/>
    </row>
    <row r="386" spans="1:34" ht="12.6" customHeight="1" x14ac:dyDescent="0.2">
      <c r="A386" s="18"/>
      <c r="B386" s="719" t="s">
        <v>574</v>
      </c>
      <c r="C386" s="720"/>
      <c r="D386" s="720"/>
      <c r="E386" s="721"/>
      <c r="F386" s="563">
        <v>380</v>
      </c>
      <c r="G386" s="293">
        <f t="shared" ref="G386" si="781">+F386*$X$1</f>
        <v>380</v>
      </c>
      <c r="H386" s="286"/>
      <c r="I386" s="286"/>
      <c r="J386" s="627"/>
      <c r="K386" s="627"/>
      <c r="L386" s="627">
        <f t="shared" si="763"/>
        <v>500</v>
      </c>
      <c r="M386" s="293">
        <f t="shared" si="764"/>
        <v>500</v>
      </c>
      <c r="N386" s="627">
        <f t="shared" si="765"/>
        <v>440</v>
      </c>
      <c r="O386" s="293">
        <f t="shared" si="766"/>
        <v>440</v>
      </c>
      <c r="P386" s="627">
        <f t="shared" si="767"/>
        <v>430</v>
      </c>
      <c r="Q386" s="293">
        <f t="shared" si="768"/>
        <v>430</v>
      </c>
      <c r="R386" s="627">
        <f t="shared" si="769"/>
        <v>422</v>
      </c>
      <c r="S386" s="293">
        <f t="shared" si="770"/>
        <v>422</v>
      </c>
      <c r="T386" s="104">
        <f t="shared" si="771"/>
        <v>414</v>
      </c>
      <c r="U386" s="260">
        <f t="shared" si="772"/>
        <v>414</v>
      </c>
      <c r="V386" s="104">
        <f t="shared" si="773"/>
        <v>409</v>
      </c>
      <c r="W386" s="260">
        <f t="shared" si="774"/>
        <v>409</v>
      </c>
      <c r="X386" s="337"/>
      <c r="Y386" s="338"/>
      <c r="Z386" s="338"/>
      <c r="AA386" s="337"/>
      <c r="AB386" s="420">
        <v>2294</v>
      </c>
      <c r="AC386" s="66"/>
    </row>
    <row r="387" spans="1:34" ht="12.6" customHeight="1" x14ac:dyDescent="0.2">
      <c r="A387" s="18"/>
      <c r="B387" s="1111" t="s">
        <v>454</v>
      </c>
      <c r="C387" s="1112"/>
      <c r="D387" s="1112"/>
      <c r="E387" s="1113"/>
      <c r="F387" s="396">
        <f>0.7*X2</f>
        <v>725.9</v>
      </c>
      <c r="G387" s="294">
        <f t="shared" ref="G387" si="782">+F387*$X$1</f>
        <v>725.9</v>
      </c>
      <c r="H387" s="285"/>
      <c r="I387" s="285"/>
      <c r="J387" s="492"/>
      <c r="K387" s="492"/>
      <c r="L387" s="492">
        <f t="shared" si="763"/>
        <v>845.9</v>
      </c>
      <c r="M387" s="294">
        <f t="shared" si="764"/>
        <v>845.9</v>
      </c>
      <c r="N387" s="492">
        <f t="shared" si="765"/>
        <v>785.9</v>
      </c>
      <c r="O387" s="294">
        <f t="shared" si="766"/>
        <v>785.9</v>
      </c>
      <c r="P387" s="492">
        <f t="shared" si="767"/>
        <v>775.9</v>
      </c>
      <c r="Q387" s="294">
        <f t="shared" si="768"/>
        <v>775.9</v>
      </c>
      <c r="R387" s="492">
        <f t="shared" si="769"/>
        <v>767.9</v>
      </c>
      <c r="S387" s="294">
        <f t="shared" si="770"/>
        <v>767.9</v>
      </c>
      <c r="T387" s="103">
        <f t="shared" si="771"/>
        <v>759.9</v>
      </c>
      <c r="U387" s="313">
        <f t="shared" si="772"/>
        <v>759.9</v>
      </c>
      <c r="V387" s="103">
        <f t="shared" si="773"/>
        <v>754.9</v>
      </c>
      <c r="W387" s="313">
        <f t="shared" si="774"/>
        <v>754.9</v>
      </c>
      <c r="X387" s="228"/>
      <c r="Y387" s="229"/>
      <c r="Z387" s="229"/>
      <c r="AA387" s="228"/>
      <c r="AB387" s="420">
        <v>2295</v>
      </c>
      <c r="AC387" s="66"/>
    </row>
    <row r="388" spans="1:34" ht="12.6" customHeight="1" x14ac:dyDescent="0.2">
      <c r="A388" s="18"/>
      <c r="B388" s="1188" t="s">
        <v>400</v>
      </c>
      <c r="C388" s="1189"/>
      <c r="D388" s="1189"/>
      <c r="E388" s="1190"/>
      <c r="F388" s="616">
        <f>0.46*X2</f>
        <v>477.02000000000004</v>
      </c>
      <c r="G388" s="600">
        <f t="shared" ref="G388" si="783">+F388*$X$1</f>
        <v>477.02000000000004</v>
      </c>
      <c r="H388" s="601"/>
      <c r="I388" s="601"/>
      <c r="J388" s="626"/>
      <c r="K388" s="626"/>
      <c r="L388" s="626">
        <f t="shared" si="763"/>
        <v>597.02</v>
      </c>
      <c r="M388" s="600">
        <f t="shared" si="764"/>
        <v>597.02</v>
      </c>
      <c r="N388" s="626">
        <f t="shared" si="765"/>
        <v>537.02</v>
      </c>
      <c r="O388" s="600">
        <f t="shared" si="766"/>
        <v>537.02</v>
      </c>
      <c r="P388" s="626">
        <f t="shared" si="767"/>
        <v>527.02</v>
      </c>
      <c r="Q388" s="600">
        <f t="shared" si="768"/>
        <v>527.02</v>
      </c>
      <c r="R388" s="626">
        <f t="shared" si="769"/>
        <v>519.02</v>
      </c>
      <c r="S388" s="600">
        <f t="shared" si="770"/>
        <v>519.02</v>
      </c>
      <c r="T388" s="612">
        <f t="shared" si="771"/>
        <v>511.02000000000004</v>
      </c>
      <c r="U388" s="611">
        <f t="shared" si="772"/>
        <v>511.02000000000004</v>
      </c>
      <c r="V388" s="612">
        <f t="shared" si="773"/>
        <v>506.02000000000004</v>
      </c>
      <c r="W388" s="611">
        <f t="shared" si="774"/>
        <v>506.02000000000004</v>
      </c>
      <c r="X388" s="228"/>
      <c r="Y388" s="229"/>
      <c r="Z388" s="229"/>
      <c r="AA388" s="228"/>
      <c r="AB388" s="420">
        <v>2296</v>
      </c>
      <c r="AC388" s="66"/>
    </row>
    <row r="389" spans="1:34" ht="12.6" customHeight="1" x14ac:dyDescent="0.2">
      <c r="A389" s="18"/>
      <c r="B389" s="1111" t="s">
        <v>556</v>
      </c>
      <c r="C389" s="1112"/>
      <c r="D389" s="1112"/>
      <c r="E389" s="1113"/>
      <c r="F389" s="396">
        <f>0.57*X2</f>
        <v>591.08999999999992</v>
      </c>
      <c r="G389" s="294">
        <f t="shared" ref="G389" si="784">+F389*$X$1</f>
        <v>591.08999999999992</v>
      </c>
      <c r="H389" s="285"/>
      <c r="I389" s="285"/>
      <c r="J389" s="492"/>
      <c r="K389" s="294"/>
      <c r="L389" s="492">
        <f t="shared" si="763"/>
        <v>711.08999999999992</v>
      </c>
      <c r="M389" s="294">
        <f t="shared" si="764"/>
        <v>711.08999999999992</v>
      </c>
      <c r="N389" s="492">
        <f t="shared" si="765"/>
        <v>651.08999999999992</v>
      </c>
      <c r="O389" s="294">
        <f t="shared" si="766"/>
        <v>651.08999999999992</v>
      </c>
      <c r="P389" s="492">
        <f t="shared" si="767"/>
        <v>641.08999999999992</v>
      </c>
      <c r="Q389" s="294">
        <f t="shared" si="768"/>
        <v>641.08999999999992</v>
      </c>
      <c r="R389" s="492">
        <f t="shared" si="769"/>
        <v>633.08999999999992</v>
      </c>
      <c r="S389" s="294">
        <f t="shared" si="770"/>
        <v>633.08999999999992</v>
      </c>
      <c r="T389" s="103">
        <f t="shared" si="771"/>
        <v>625.08999999999992</v>
      </c>
      <c r="U389" s="313">
        <f t="shared" si="772"/>
        <v>625.08999999999992</v>
      </c>
      <c r="V389" s="103">
        <f t="shared" si="773"/>
        <v>620.08999999999992</v>
      </c>
      <c r="W389" s="313">
        <f t="shared" si="774"/>
        <v>620.08999999999992</v>
      </c>
      <c r="X389" s="322"/>
      <c r="Y389" s="323"/>
      <c r="Z389" s="323"/>
      <c r="AA389" s="322"/>
      <c r="AB389" s="420">
        <v>2299</v>
      </c>
      <c r="AC389" s="66"/>
    </row>
    <row r="390" spans="1:34" ht="12.6" customHeight="1" x14ac:dyDescent="0.2">
      <c r="A390" s="18"/>
      <c r="B390" s="746" t="s">
        <v>914</v>
      </c>
      <c r="C390" s="747"/>
      <c r="D390" s="747"/>
      <c r="E390" s="748"/>
      <c r="F390" s="392">
        <f>1.98*X2</f>
        <v>2053.2599999999998</v>
      </c>
      <c r="G390" s="293">
        <f>+F390*$X$1</f>
        <v>2053.2599999999998</v>
      </c>
      <c r="H390" s="407">
        <f t="shared" ref="H390" si="785">F390+360</f>
        <v>2413.2599999999998</v>
      </c>
      <c r="I390" s="293">
        <f t="shared" ref="I390" si="786">+H390*$X$1</f>
        <v>2413.2599999999998</v>
      </c>
      <c r="J390" s="627">
        <f t="shared" ref="J390" si="787">F390+180</f>
        <v>2233.2599999999998</v>
      </c>
      <c r="K390" s="293">
        <f t="shared" ref="K390" si="788">+J390*$X$1</f>
        <v>2233.2599999999998</v>
      </c>
      <c r="L390" s="627">
        <f t="shared" si="763"/>
        <v>2173.2599999999998</v>
      </c>
      <c r="M390" s="293">
        <f t="shared" ref="M390" si="789">+L390*$X$1</f>
        <v>2173.2599999999998</v>
      </c>
      <c r="N390" s="627">
        <f t="shared" ref="N390" si="790">F390+61</f>
        <v>2114.2599999999998</v>
      </c>
      <c r="O390" s="293">
        <f t="shared" ref="O390" si="791">+N390*$X$1</f>
        <v>2114.2599999999998</v>
      </c>
      <c r="P390" s="627">
        <f t="shared" ref="P390" si="792">F390+54</f>
        <v>2107.2599999999998</v>
      </c>
      <c r="Q390" s="293">
        <f t="shared" ref="Q390" si="793">+P390*$X$1</f>
        <v>2107.2599999999998</v>
      </c>
      <c r="R390" s="627">
        <f t="shared" ref="R390" si="794">F390+47</f>
        <v>2100.2599999999998</v>
      </c>
      <c r="S390" s="293">
        <f t="shared" ref="S390" si="795">+R390*$X$1</f>
        <v>2100.2599999999998</v>
      </c>
      <c r="T390" s="627">
        <f t="shared" ref="T390" si="796">F390+38</f>
        <v>2091.2599999999998</v>
      </c>
      <c r="U390" s="293">
        <f t="shared" ref="U390" si="797">+T390*$X$1</f>
        <v>2091.2599999999998</v>
      </c>
      <c r="V390" s="627">
        <f t="shared" ref="V390" si="798">F390+33</f>
        <v>2086.2599999999998</v>
      </c>
      <c r="W390" s="293">
        <f t="shared" ref="W390" si="799">+V390*$X$1</f>
        <v>2086.2599999999998</v>
      </c>
      <c r="X390" s="750"/>
      <c r="Y390" s="797"/>
      <c r="Z390" s="797"/>
      <c r="AA390" s="717"/>
      <c r="AB390" s="420">
        <v>2310</v>
      </c>
      <c r="AC390" s="66"/>
    </row>
    <row r="391" spans="1:34" ht="12.6" customHeight="1" x14ac:dyDescent="0.2">
      <c r="A391" s="18"/>
      <c r="B391" s="710" t="s">
        <v>444</v>
      </c>
      <c r="C391" s="946"/>
      <c r="D391" s="946"/>
      <c r="E391" s="946"/>
      <c r="F391" s="393">
        <f>1.35*X2</f>
        <v>1399.95</v>
      </c>
      <c r="G391" s="294">
        <f>+F391*$X$1</f>
        <v>1399.95</v>
      </c>
      <c r="H391" s="101">
        <f t="shared" ref="H391:H392" si="800">F391+360</f>
        <v>1759.95</v>
      </c>
      <c r="I391" s="294">
        <f t="shared" ref="I391:I393" si="801">+H391*$X$1</f>
        <v>1759.95</v>
      </c>
      <c r="J391" s="492">
        <f t="shared" ref="J391:J392" si="802">F391+180</f>
        <v>1579.95</v>
      </c>
      <c r="K391" s="294">
        <f t="shared" ref="K391:K393" si="803">+J391*$X$1</f>
        <v>1579.95</v>
      </c>
      <c r="L391" s="492">
        <f t="shared" ref="L391:L392" si="804">F391+120</f>
        <v>1519.95</v>
      </c>
      <c r="M391" s="294">
        <f t="shared" si="764"/>
        <v>1519.95</v>
      </c>
      <c r="N391" s="492">
        <f t="shared" ref="N391:N392" si="805">F391+61</f>
        <v>1460.95</v>
      </c>
      <c r="O391" s="294">
        <f t="shared" si="766"/>
        <v>1460.95</v>
      </c>
      <c r="P391" s="492">
        <f t="shared" ref="P391:P392" si="806">F391+54</f>
        <v>1453.95</v>
      </c>
      <c r="Q391" s="294">
        <f t="shared" si="768"/>
        <v>1453.95</v>
      </c>
      <c r="R391" s="492">
        <f t="shared" ref="R391:R392" si="807">F391+47</f>
        <v>1446.95</v>
      </c>
      <c r="S391" s="294">
        <f t="shared" si="770"/>
        <v>1446.95</v>
      </c>
      <c r="T391" s="492">
        <f t="shared" ref="T391:T392" si="808">F391+38</f>
        <v>1437.95</v>
      </c>
      <c r="U391" s="294">
        <f t="shared" si="772"/>
        <v>1437.95</v>
      </c>
      <c r="V391" s="492">
        <f t="shared" ref="V391:V392" si="809">F391+33</f>
        <v>1432.95</v>
      </c>
      <c r="W391" s="294">
        <f t="shared" si="774"/>
        <v>1432.95</v>
      </c>
      <c r="X391" s="750"/>
      <c r="Y391" s="797"/>
      <c r="Z391" s="797"/>
      <c r="AA391" s="717"/>
      <c r="AB391" s="420">
        <v>2322</v>
      </c>
      <c r="AC391" s="66"/>
    </row>
    <row r="392" spans="1:34" ht="12.6" customHeight="1" x14ac:dyDescent="0.2">
      <c r="A392" s="18"/>
      <c r="B392" s="979" t="s">
        <v>867</v>
      </c>
      <c r="C392" s="980"/>
      <c r="D392" s="980"/>
      <c r="E392" s="980"/>
      <c r="F392" s="392">
        <f>1.71*X2</f>
        <v>1773.27</v>
      </c>
      <c r="G392" s="293">
        <f>+F392*$X$1</f>
        <v>1773.27</v>
      </c>
      <c r="H392" s="407">
        <f t="shared" si="800"/>
        <v>2133.27</v>
      </c>
      <c r="I392" s="293">
        <f t="shared" si="801"/>
        <v>2133.27</v>
      </c>
      <c r="J392" s="627">
        <f t="shared" si="802"/>
        <v>1953.27</v>
      </c>
      <c r="K392" s="293">
        <f t="shared" si="803"/>
        <v>1953.27</v>
      </c>
      <c r="L392" s="627">
        <f t="shared" si="804"/>
        <v>1893.27</v>
      </c>
      <c r="M392" s="293">
        <f t="shared" si="764"/>
        <v>1893.27</v>
      </c>
      <c r="N392" s="627">
        <f t="shared" si="805"/>
        <v>1834.27</v>
      </c>
      <c r="O392" s="293">
        <f t="shared" si="766"/>
        <v>1834.27</v>
      </c>
      <c r="P392" s="627">
        <f t="shared" si="806"/>
        <v>1827.27</v>
      </c>
      <c r="Q392" s="293">
        <f t="shared" si="768"/>
        <v>1827.27</v>
      </c>
      <c r="R392" s="627">
        <f t="shared" si="807"/>
        <v>1820.27</v>
      </c>
      <c r="S392" s="293">
        <f t="shared" si="770"/>
        <v>1820.27</v>
      </c>
      <c r="T392" s="627">
        <f t="shared" si="808"/>
        <v>1811.27</v>
      </c>
      <c r="U392" s="293">
        <f t="shared" si="772"/>
        <v>1811.27</v>
      </c>
      <c r="V392" s="627">
        <f t="shared" si="809"/>
        <v>1806.27</v>
      </c>
      <c r="W392" s="293">
        <f t="shared" si="774"/>
        <v>1806.27</v>
      </c>
      <c r="X392" s="750"/>
      <c r="Y392" s="797"/>
      <c r="Z392" s="797"/>
      <c r="AA392" s="717"/>
      <c r="AB392" s="420">
        <v>2327</v>
      </c>
      <c r="AC392" s="66"/>
    </row>
    <row r="393" spans="1:34" ht="12.6" customHeight="1" x14ac:dyDescent="0.2">
      <c r="A393" s="18"/>
      <c r="B393" s="690" t="s">
        <v>255</v>
      </c>
      <c r="C393" s="691"/>
      <c r="D393" s="691"/>
      <c r="E393" s="692"/>
      <c r="F393" s="393">
        <f>3.407*X2</f>
        <v>3533.0590000000002</v>
      </c>
      <c r="G393" s="294">
        <f>+F393*$X$1</f>
        <v>3533.0590000000002</v>
      </c>
      <c r="H393" s="492">
        <f>F393+500</f>
        <v>4033.0590000000002</v>
      </c>
      <c r="I393" s="294">
        <f t="shared" si="801"/>
        <v>4033.0590000000002</v>
      </c>
      <c r="J393" s="492">
        <f>F393+210</f>
        <v>3743.0590000000002</v>
      </c>
      <c r="K393" s="294">
        <f t="shared" si="803"/>
        <v>3743.0590000000002</v>
      </c>
      <c r="L393" s="492">
        <f>F393+170</f>
        <v>3703.0590000000002</v>
      </c>
      <c r="M393" s="294">
        <f t="shared" si="764"/>
        <v>3703.0590000000002</v>
      </c>
      <c r="N393" s="492">
        <f>F393+130</f>
        <v>3663.0590000000002</v>
      </c>
      <c r="O393" s="294">
        <f t="shared" si="766"/>
        <v>3663.0590000000002</v>
      </c>
      <c r="P393" s="492">
        <f>F393+100</f>
        <v>3633.0590000000002</v>
      </c>
      <c r="Q393" s="294">
        <f t="shared" si="768"/>
        <v>3633.0590000000002</v>
      </c>
      <c r="R393" s="492">
        <f>F393+80</f>
        <v>3613.0590000000002</v>
      </c>
      <c r="S393" s="294">
        <f t="shared" si="770"/>
        <v>3613.0590000000002</v>
      </c>
      <c r="T393" s="492">
        <f>F393+65</f>
        <v>3598.0590000000002</v>
      </c>
      <c r="U393" s="294">
        <f t="shared" si="772"/>
        <v>3598.0590000000002</v>
      </c>
      <c r="V393" s="492">
        <f>F393+50</f>
        <v>3583.0590000000002</v>
      </c>
      <c r="W393" s="294">
        <f t="shared" si="774"/>
        <v>3583.0590000000002</v>
      </c>
      <c r="X393" s="750"/>
      <c r="Y393" s="797"/>
      <c r="Z393" s="797"/>
      <c r="AA393" s="717"/>
      <c r="AB393" s="420">
        <v>2330</v>
      </c>
      <c r="AC393" s="66"/>
    </row>
    <row r="394" spans="1:34" ht="12.6" customHeight="1" x14ac:dyDescent="0.2">
      <c r="A394" s="105"/>
      <c r="B394" s="746" t="s">
        <v>943</v>
      </c>
      <c r="C394" s="747"/>
      <c r="D394" s="747"/>
      <c r="E394" s="748"/>
      <c r="F394" s="392">
        <f>1.3*X2</f>
        <v>1348.1000000000001</v>
      </c>
      <c r="G394" s="293">
        <f t="shared" ref="G394" si="810">+F394*$X$1</f>
        <v>1348.1000000000001</v>
      </c>
      <c r="H394" s="627">
        <f>F394+500</f>
        <v>1848.1000000000001</v>
      </c>
      <c r="I394" s="293">
        <f t="shared" ref="I394" si="811">+H394*$X$1</f>
        <v>1848.1000000000001</v>
      </c>
      <c r="J394" s="627">
        <f>F394+210</f>
        <v>1558.1000000000001</v>
      </c>
      <c r="K394" s="293">
        <f t="shared" ref="K394" si="812">+J394*$X$1</f>
        <v>1558.1000000000001</v>
      </c>
      <c r="L394" s="627">
        <f>F394+170</f>
        <v>1518.1000000000001</v>
      </c>
      <c r="M394" s="293">
        <f t="shared" ref="M394" si="813">+L394*$X$1</f>
        <v>1518.1000000000001</v>
      </c>
      <c r="N394" s="627">
        <f>F394+130</f>
        <v>1478.1000000000001</v>
      </c>
      <c r="O394" s="293">
        <f t="shared" ref="O394" si="814">+N394*$X$1</f>
        <v>1478.1000000000001</v>
      </c>
      <c r="P394" s="627">
        <f>F394+100</f>
        <v>1448.1000000000001</v>
      </c>
      <c r="Q394" s="293">
        <f t="shared" ref="Q394" si="815">+P394*$X$1</f>
        <v>1448.1000000000001</v>
      </c>
      <c r="R394" s="627">
        <f>F394+80</f>
        <v>1428.1000000000001</v>
      </c>
      <c r="S394" s="293">
        <f t="shared" ref="S394" si="816">+R394*$X$1</f>
        <v>1428.1000000000001</v>
      </c>
      <c r="T394" s="627">
        <f>F394+65</f>
        <v>1413.1000000000001</v>
      </c>
      <c r="U394" s="293">
        <f t="shared" ref="U394" si="817">+T394*$X$1</f>
        <v>1413.1000000000001</v>
      </c>
      <c r="V394" s="627">
        <f>F394+50</f>
        <v>1398.1000000000001</v>
      </c>
      <c r="W394" s="293">
        <f t="shared" ref="W394" si="818">+V394*$X$1</f>
        <v>1398.1000000000001</v>
      </c>
      <c r="X394" s="750"/>
      <c r="Y394" s="797"/>
      <c r="Z394" s="797"/>
      <c r="AA394" s="717"/>
      <c r="AB394" s="420">
        <v>2331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718" t="s">
        <v>11</v>
      </c>
      <c r="C398" s="815" t="s">
        <v>12</v>
      </c>
      <c r="D398" s="816"/>
      <c r="E398" s="816"/>
      <c r="F398" s="671" t="s">
        <v>13</v>
      </c>
      <c r="G398" s="671" t="s">
        <v>13</v>
      </c>
      <c r="H398" s="673" t="s">
        <v>836</v>
      </c>
      <c r="I398" s="673"/>
      <c r="J398" s="674"/>
      <c r="K398" s="674"/>
      <c r="L398" s="674"/>
      <c r="M398" s="674"/>
      <c r="N398" s="674"/>
      <c r="O398" s="674"/>
      <c r="P398" s="674"/>
      <c r="Q398" s="674"/>
      <c r="R398" s="674"/>
      <c r="S398" s="674"/>
      <c r="T398" s="674"/>
      <c r="U398" s="674"/>
      <c r="V398" s="674"/>
      <c r="W398" s="674"/>
      <c r="X398" s="657" t="s">
        <v>14</v>
      </c>
      <c r="Y398" s="658"/>
      <c r="Z398" s="658"/>
      <c r="AA398" s="659"/>
      <c r="AB398" s="663" t="s">
        <v>15</v>
      </c>
      <c r="AE398" s="65"/>
      <c r="AF398" s="645" t="s">
        <v>3</v>
      </c>
      <c r="AG398" s="646"/>
      <c r="AH398" s="646"/>
    </row>
    <row r="399" spans="1:34" ht="12" customHeight="1" x14ac:dyDescent="0.2">
      <c r="A399" s="18"/>
      <c r="B399" s="718"/>
      <c r="C399" s="816"/>
      <c r="D399" s="816"/>
      <c r="E399" s="816"/>
      <c r="F399" s="672"/>
      <c r="G399" s="672"/>
      <c r="H399" s="517"/>
      <c r="I399" s="509" t="s">
        <v>293</v>
      </c>
      <c r="J399" s="511"/>
      <c r="K399" s="509" t="s">
        <v>17</v>
      </c>
      <c r="L399" s="512"/>
      <c r="M399" s="512" t="s">
        <v>18</v>
      </c>
      <c r="N399" s="512"/>
      <c r="O399" s="509" t="s">
        <v>19</v>
      </c>
      <c r="P399" s="512"/>
      <c r="Q399" s="512" t="s">
        <v>295</v>
      </c>
      <c r="R399" s="512"/>
      <c r="S399" s="512" t="s">
        <v>20</v>
      </c>
      <c r="T399" s="512"/>
      <c r="U399" s="512" t="s">
        <v>21</v>
      </c>
      <c r="V399" s="512"/>
      <c r="W399" s="512" t="s">
        <v>22</v>
      </c>
      <c r="X399" s="660"/>
      <c r="Y399" s="661"/>
      <c r="Z399" s="661"/>
      <c r="AA399" s="662"/>
      <c r="AB399" s="664"/>
    </row>
    <row r="400" spans="1:34" ht="12.6" customHeight="1" x14ac:dyDescent="0.2">
      <c r="A400" s="105"/>
      <c r="B400" s="746" t="s">
        <v>935</v>
      </c>
      <c r="C400" s="747"/>
      <c r="D400" s="747"/>
      <c r="E400" s="748"/>
      <c r="F400" s="392">
        <f>5.4*X2</f>
        <v>5599.8</v>
      </c>
      <c r="G400" s="293">
        <f t="shared" ref="G400" si="819">+F400*$X$1</f>
        <v>5599.8</v>
      </c>
      <c r="H400" s="644">
        <f>F400+800</f>
        <v>6399.8</v>
      </c>
      <c r="I400" s="293">
        <f t="shared" ref="I400" si="820">+H400*$X$1</f>
        <v>6399.8</v>
      </c>
      <c r="J400" s="644">
        <f>F400+320</f>
        <v>5919.8</v>
      </c>
      <c r="K400" s="293">
        <f t="shared" ref="K400" si="821">+J400*$X$1</f>
        <v>5919.8</v>
      </c>
      <c r="L400" s="644">
        <f>F400+260</f>
        <v>5859.8</v>
      </c>
      <c r="M400" s="293">
        <f t="shared" ref="M400" si="822">+L400*$X$1</f>
        <v>5859.8</v>
      </c>
      <c r="N400" s="644">
        <f>F400+200</f>
        <v>5799.8</v>
      </c>
      <c r="O400" s="293">
        <f t="shared" ref="O400" si="823">+N400*$X$1</f>
        <v>5799.8</v>
      </c>
      <c r="P400" s="644">
        <f>F400+150</f>
        <v>5749.8</v>
      </c>
      <c r="Q400" s="293">
        <f t="shared" ref="Q400" si="824">+P400*$X$1</f>
        <v>5749.8</v>
      </c>
      <c r="R400" s="644">
        <f>F400+120</f>
        <v>5719.8</v>
      </c>
      <c r="S400" s="293">
        <f t="shared" ref="S400" si="825">+R400*$X$1</f>
        <v>5719.8</v>
      </c>
      <c r="T400" s="644">
        <f>F400+100</f>
        <v>5699.8</v>
      </c>
      <c r="U400" s="293">
        <f t="shared" ref="U400" si="826">+T400*$X$1</f>
        <v>5699.8</v>
      </c>
      <c r="V400" s="644">
        <f>F400+75</f>
        <v>5674.8</v>
      </c>
      <c r="W400" s="293">
        <f t="shared" ref="W400" si="827">+V400*$X$1</f>
        <v>5674.8</v>
      </c>
      <c r="X400" s="750"/>
      <c r="Y400" s="797"/>
      <c r="Z400" s="797"/>
      <c r="AA400" s="717"/>
      <c r="AB400" s="420">
        <v>2332</v>
      </c>
      <c r="AC400" s="66"/>
    </row>
    <row r="401" spans="1:29" ht="12.6" customHeight="1" x14ac:dyDescent="0.2">
      <c r="A401" s="105"/>
      <c r="B401" s="690" t="s">
        <v>401</v>
      </c>
      <c r="C401" s="698"/>
      <c r="D401" s="698"/>
      <c r="E401" s="699"/>
      <c r="F401" s="393">
        <f>1.26*X2</f>
        <v>1306.6200000000001</v>
      </c>
      <c r="G401" s="294">
        <f t="shared" ref="G401" si="828">+F401*$X$1</f>
        <v>1306.6200000000001</v>
      </c>
      <c r="H401" s="492">
        <f>F401+500</f>
        <v>1806.6200000000001</v>
      </c>
      <c r="I401" s="294">
        <f>+H401*$X$1</f>
        <v>1806.6200000000001</v>
      </c>
      <c r="J401" s="492">
        <f>F401+210</f>
        <v>1516.6200000000001</v>
      </c>
      <c r="K401" s="294">
        <f>+J401*$X$1</f>
        <v>1516.6200000000001</v>
      </c>
      <c r="L401" s="492">
        <f>F401+170</f>
        <v>1476.6200000000001</v>
      </c>
      <c r="M401" s="294">
        <f>+L401*$X$1</f>
        <v>1476.6200000000001</v>
      </c>
      <c r="N401" s="492">
        <f>F401+130</f>
        <v>1436.6200000000001</v>
      </c>
      <c r="O401" s="294">
        <f>+N401*$X$1</f>
        <v>1436.6200000000001</v>
      </c>
      <c r="P401" s="492">
        <f>F401+100</f>
        <v>1406.6200000000001</v>
      </c>
      <c r="Q401" s="294">
        <f>+P401*$X$1</f>
        <v>1406.6200000000001</v>
      </c>
      <c r="R401" s="492">
        <f>F401+80</f>
        <v>1386.6200000000001</v>
      </c>
      <c r="S401" s="294">
        <f>+R401*$X$1</f>
        <v>1386.6200000000001</v>
      </c>
      <c r="T401" s="492">
        <f>F401+65</f>
        <v>1371.6200000000001</v>
      </c>
      <c r="U401" s="294">
        <f>+T401*$X$1</f>
        <v>1371.6200000000001</v>
      </c>
      <c r="V401" s="492">
        <f>F401+50</f>
        <v>1356.6200000000001</v>
      </c>
      <c r="W401" s="294">
        <f>+V401*$X$1</f>
        <v>1356.6200000000001</v>
      </c>
      <c r="X401" s="750"/>
      <c r="Y401" s="797"/>
      <c r="Z401" s="797"/>
      <c r="AA401" s="717"/>
      <c r="AB401" s="420">
        <v>2334</v>
      </c>
      <c r="AC401" s="66"/>
    </row>
    <row r="402" spans="1:29" ht="12.6" customHeight="1" x14ac:dyDescent="0.2">
      <c r="A402" s="105"/>
      <c r="B402" s="939" t="s">
        <v>256</v>
      </c>
      <c r="C402" s="940"/>
      <c r="D402" s="940"/>
      <c r="E402" s="941"/>
      <c r="F402" s="397">
        <f>1.5*X2</f>
        <v>1555.5</v>
      </c>
      <c r="G402" s="314">
        <f t="shared" ref="G402" si="829">+F402*$X$1</f>
        <v>1555.5</v>
      </c>
      <c r="H402" s="644">
        <f>F402+500</f>
        <v>2055.5</v>
      </c>
      <c r="I402" s="293">
        <f t="shared" ref="I402" si="830">+H402*$X$1</f>
        <v>2055.5</v>
      </c>
      <c r="J402" s="644">
        <f>F402+210</f>
        <v>1765.5</v>
      </c>
      <c r="K402" s="293">
        <f t="shared" ref="K402" si="831">+J402*$X$1</f>
        <v>1765.5</v>
      </c>
      <c r="L402" s="644">
        <f>F402+170</f>
        <v>1725.5</v>
      </c>
      <c r="M402" s="293">
        <f t="shared" ref="M402" si="832">+L402*$X$1</f>
        <v>1725.5</v>
      </c>
      <c r="N402" s="644">
        <f>F402+130</f>
        <v>1685.5</v>
      </c>
      <c r="O402" s="293">
        <f t="shared" ref="O402" si="833">+N402*$X$1</f>
        <v>1685.5</v>
      </c>
      <c r="P402" s="644">
        <f>F402+100</f>
        <v>1655.5</v>
      </c>
      <c r="Q402" s="293">
        <f t="shared" ref="Q402" si="834">+P402*$X$1</f>
        <v>1655.5</v>
      </c>
      <c r="R402" s="644">
        <f>F402+80</f>
        <v>1635.5</v>
      </c>
      <c r="S402" s="293">
        <f t="shared" ref="S402" si="835">+R402*$X$1</f>
        <v>1635.5</v>
      </c>
      <c r="T402" s="644">
        <f>F402+65</f>
        <v>1620.5</v>
      </c>
      <c r="U402" s="293">
        <f t="shared" ref="U402" si="836">+T402*$X$1</f>
        <v>1620.5</v>
      </c>
      <c r="V402" s="644">
        <f>F402+50</f>
        <v>1605.5</v>
      </c>
      <c r="W402" s="293">
        <f t="shared" ref="W402" si="837">+V402*$X$1</f>
        <v>1605.5</v>
      </c>
      <c r="X402" s="750"/>
      <c r="Y402" s="797"/>
      <c r="Z402" s="797"/>
      <c r="AA402" s="717"/>
      <c r="AB402" s="434">
        <v>2336</v>
      </c>
      <c r="AC402" s="66"/>
    </row>
    <row r="403" spans="1:29" ht="12.6" customHeight="1" x14ac:dyDescent="0.2">
      <c r="A403" s="18"/>
      <c r="B403" s="690" t="s">
        <v>257</v>
      </c>
      <c r="C403" s="698"/>
      <c r="D403" s="698"/>
      <c r="E403" s="699"/>
      <c r="F403" s="393">
        <f>1.4*X2</f>
        <v>1451.8</v>
      </c>
      <c r="G403" s="294">
        <f>+F403*$X$1</f>
        <v>1451.8</v>
      </c>
      <c r="H403" s="101">
        <f t="shared" ref="H403:H408" si="838">F403+360</f>
        <v>1811.8</v>
      </c>
      <c r="I403" s="294">
        <f t="shared" ref="I403:I408" si="839">+H403*$X$1</f>
        <v>1811.8</v>
      </c>
      <c r="J403" s="492">
        <f t="shared" ref="J403:J408" si="840">F403+180</f>
        <v>1631.8</v>
      </c>
      <c r="K403" s="294">
        <f t="shared" ref="K403:K408" si="841">+J403*$X$1</f>
        <v>1631.8</v>
      </c>
      <c r="L403" s="492">
        <f t="shared" ref="L403:L408" si="842">F403+120</f>
        <v>1571.8</v>
      </c>
      <c r="M403" s="294">
        <f t="shared" ref="M403:M408" si="843">+L403*$X$1</f>
        <v>1571.8</v>
      </c>
      <c r="N403" s="492">
        <f t="shared" ref="N403:N408" si="844">F403+61</f>
        <v>1512.8</v>
      </c>
      <c r="O403" s="294">
        <f t="shared" ref="O403:O408" si="845">+N403*$X$1</f>
        <v>1512.8</v>
      </c>
      <c r="P403" s="492">
        <f t="shared" ref="P403:P408" si="846">F403+54</f>
        <v>1505.8</v>
      </c>
      <c r="Q403" s="294">
        <f t="shared" ref="Q403:Q408" si="847">+P403*$X$1</f>
        <v>1505.8</v>
      </c>
      <c r="R403" s="492">
        <f t="shared" ref="R403:R408" si="848">F403+47</f>
        <v>1498.8</v>
      </c>
      <c r="S403" s="294">
        <f t="shared" ref="S403:S408" si="849">+R403*$X$1</f>
        <v>1498.8</v>
      </c>
      <c r="T403" s="492">
        <f>F403+38</f>
        <v>1489.8</v>
      </c>
      <c r="U403" s="294">
        <f t="shared" ref="U403:U408" si="850">+T403*$X$1</f>
        <v>1489.8</v>
      </c>
      <c r="V403" s="492">
        <f>F403+33</f>
        <v>1484.8</v>
      </c>
      <c r="W403" s="294">
        <f t="shared" ref="W403:W408" si="851">+V403*$X$1</f>
        <v>1484.8</v>
      </c>
      <c r="X403" s="750"/>
      <c r="Y403" s="797"/>
      <c r="Z403" s="797"/>
      <c r="AA403" s="717"/>
      <c r="AB403" s="420">
        <v>2337</v>
      </c>
      <c r="AC403" s="66"/>
    </row>
    <row r="404" spans="1:29" ht="12.6" customHeight="1" x14ac:dyDescent="0.2">
      <c r="A404" s="18"/>
      <c r="B404" s="693" t="s">
        <v>258</v>
      </c>
      <c r="C404" s="696"/>
      <c r="D404" s="696"/>
      <c r="E404" s="697"/>
      <c r="F404" s="392">
        <f>1.85*X2</f>
        <v>1918.45</v>
      </c>
      <c r="G404" s="293">
        <f t="shared" ref="G404" si="852">+F404*$X$1</f>
        <v>1918.45</v>
      </c>
      <c r="H404" s="407">
        <f t="shared" si="838"/>
        <v>2278.4499999999998</v>
      </c>
      <c r="I404" s="293">
        <f t="shared" si="839"/>
        <v>2278.4499999999998</v>
      </c>
      <c r="J404" s="627">
        <f t="shared" si="840"/>
        <v>2098.4499999999998</v>
      </c>
      <c r="K404" s="293">
        <f t="shared" si="841"/>
        <v>2098.4499999999998</v>
      </c>
      <c r="L404" s="627">
        <f t="shared" si="842"/>
        <v>2038.45</v>
      </c>
      <c r="M404" s="293">
        <f t="shared" si="843"/>
        <v>2038.45</v>
      </c>
      <c r="N404" s="627">
        <f t="shared" si="844"/>
        <v>1979.45</v>
      </c>
      <c r="O404" s="293">
        <f t="shared" si="845"/>
        <v>1979.45</v>
      </c>
      <c r="P404" s="627">
        <f t="shared" si="846"/>
        <v>1972.45</v>
      </c>
      <c r="Q404" s="293">
        <f t="shared" si="847"/>
        <v>1972.45</v>
      </c>
      <c r="R404" s="627">
        <f t="shared" si="848"/>
        <v>1965.45</v>
      </c>
      <c r="S404" s="293">
        <f t="shared" si="849"/>
        <v>1965.45</v>
      </c>
      <c r="T404" s="627">
        <f>F404+38</f>
        <v>1956.45</v>
      </c>
      <c r="U404" s="293">
        <f t="shared" si="850"/>
        <v>1956.45</v>
      </c>
      <c r="V404" s="627">
        <f>F404+33</f>
        <v>1951.45</v>
      </c>
      <c r="W404" s="293">
        <f t="shared" si="851"/>
        <v>1951.45</v>
      </c>
      <c r="X404" s="750"/>
      <c r="Y404" s="797"/>
      <c r="Z404" s="797"/>
      <c r="AA404" s="717"/>
      <c r="AB404" s="420">
        <v>2338</v>
      </c>
      <c r="AC404" s="66"/>
    </row>
    <row r="405" spans="1:29" ht="12.6" customHeight="1" x14ac:dyDescent="0.2">
      <c r="A405" s="18"/>
      <c r="B405" s="690" t="s">
        <v>337</v>
      </c>
      <c r="C405" s="698"/>
      <c r="D405" s="698"/>
      <c r="E405" s="699"/>
      <c r="F405" s="398">
        <f>1.4*X2</f>
        <v>1451.8</v>
      </c>
      <c r="G405" s="294">
        <f>+F405*$X$1</f>
        <v>1451.8</v>
      </c>
      <c r="H405" s="101">
        <f t="shared" si="838"/>
        <v>1811.8</v>
      </c>
      <c r="I405" s="294">
        <f t="shared" si="839"/>
        <v>1811.8</v>
      </c>
      <c r="J405" s="492">
        <f t="shared" si="840"/>
        <v>1631.8</v>
      </c>
      <c r="K405" s="294">
        <f t="shared" si="841"/>
        <v>1631.8</v>
      </c>
      <c r="L405" s="492">
        <f t="shared" si="842"/>
        <v>1571.8</v>
      </c>
      <c r="M405" s="294">
        <f t="shared" si="843"/>
        <v>1571.8</v>
      </c>
      <c r="N405" s="492">
        <f t="shared" si="844"/>
        <v>1512.8</v>
      </c>
      <c r="O405" s="294">
        <f t="shared" si="845"/>
        <v>1512.8</v>
      </c>
      <c r="P405" s="492">
        <f t="shared" si="846"/>
        <v>1505.8</v>
      </c>
      <c r="Q405" s="294">
        <f t="shared" si="847"/>
        <v>1505.8</v>
      </c>
      <c r="R405" s="492">
        <f t="shared" si="848"/>
        <v>1498.8</v>
      </c>
      <c r="S405" s="294">
        <f t="shared" si="849"/>
        <v>1498.8</v>
      </c>
      <c r="T405" s="492">
        <f>F405+38</f>
        <v>1489.8</v>
      </c>
      <c r="U405" s="294">
        <f t="shared" si="850"/>
        <v>1489.8</v>
      </c>
      <c r="V405" s="492">
        <f>F405+33</f>
        <v>1484.8</v>
      </c>
      <c r="W405" s="294">
        <f t="shared" si="851"/>
        <v>1484.8</v>
      </c>
      <c r="X405" s="178"/>
      <c r="Y405" s="181"/>
      <c r="Z405" s="181"/>
      <c r="AA405" s="180"/>
      <c r="AB405" s="420">
        <v>2340</v>
      </c>
      <c r="AC405" s="66"/>
    </row>
    <row r="406" spans="1:29" ht="12.6" customHeight="1" x14ac:dyDescent="0.2">
      <c r="A406" s="18"/>
      <c r="B406" s="693" t="s">
        <v>726</v>
      </c>
      <c r="C406" s="696"/>
      <c r="D406" s="696"/>
      <c r="E406" s="697"/>
      <c r="F406" s="392">
        <f>12.48*X2</f>
        <v>12941.76</v>
      </c>
      <c r="G406" s="293">
        <f t="shared" ref="G406" si="853">+F406*$X$1</f>
        <v>12941.76</v>
      </c>
      <c r="H406" s="407">
        <f t="shared" si="838"/>
        <v>13301.76</v>
      </c>
      <c r="I406" s="293">
        <f t="shared" si="839"/>
        <v>13301.76</v>
      </c>
      <c r="J406" s="627">
        <f t="shared" si="840"/>
        <v>13121.76</v>
      </c>
      <c r="K406" s="293">
        <f t="shared" si="841"/>
        <v>13121.76</v>
      </c>
      <c r="L406" s="627">
        <f t="shared" si="842"/>
        <v>13061.76</v>
      </c>
      <c r="M406" s="293">
        <f t="shared" si="843"/>
        <v>13061.76</v>
      </c>
      <c r="N406" s="627">
        <f t="shared" si="844"/>
        <v>13002.76</v>
      </c>
      <c r="O406" s="293">
        <f t="shared" si="845"/>
        <v>13002.76</v>
      </c>
      <c r="P406" s="627">
        <f t="shared" si="846"/>
        <v>12995.76</v>
      </c>
      <c r="Q406" s="293">
        <f t="shared" si="847"/>
        <v>12995.76</v>
      </c>
      <c r="R406" s="627">
        <f t="shared" si="848"/>
        <v>12988.76</v>
      </c>
      <c r="S406" s="293">
        <f t="shared" si="849"/>
        <v>12988.76</v>
      </c>
      <c r="T406" s="627">
        <f>F406+38</f>
        <v>12979.76</v>
      </c>
      <c r="U406" s="293">
        <f t="shared" si="850"/>
        <v>12979.76</v>
      </c>
      <c r="V406" s="627">
        <f>F406+33</f>
        <v>12974.76</v>
      </c>
      <c r="W406" s="293">
        <f t="shared" si="851"/>
        <v>12974.76</v>
      </c>
      <c r="X406" s="469"/>
      <c r="Y406" s="470"/>
      <c r="Z406" s="470"/>
      <c r="AA406" s="471"/>
      <c r="AB406" s="420">
        <v>2342</v>
      </c>
      <c r="AC406" s="66"/>
    </row>
    <row r="407" spans="1:29" ht="12.6" customHeight="1" x14ac:dyDescent="0.2">
      <c r="A407" s="18"/>
      <c r="B407" s="690" t="s">
        <v>725</v>
      </c>
      <c r="C407" s="698"/>
      <c r="D407" s="698"/>
      <c r="E407" s="699"/>
      <c r="F407" s="393">
        <f>15.6*X2</f>
        <v>16177.199999999999</v>
      </c>
      <c r="G407" s="294">
        <f t="shared" ref="G407" si="854">+F407*$X$1</f>
        <v>16177.199999999999</v>
      </c>
      <c r="H407" s="101">
        <f t="shared" si="838"/>
        <v>16537.199999999997</v>
      </c>
      <c r="I407" s="294">
        <f t="shared" si="839"/>
        <v>16537.199999999997</v>
      </c>
      <c r="J407" s="492">
        <f t="shared" si="840"/>
        <v>16357.199999999999</v>
      </c>
      <c r="K407" s="294">
        <f t="shared" si="841"/>
        <v>16357.199999999999</v>
      </c>
      <c r="L407" s="492">
        <f t="shared" si="842"/>
        <v>16297.199999999999</v>
      </c>
      <c r="M407" s="294">
        <f t="shared" si="843"/>
        <v>16297.199999999999</v>
      </c>
      <c r="N407" s="492">
        <f t="shared" si="844"/>
        <v>16238.199999999999</v>
      </c>
      <c r="O407" s="294">
        <f t="shared" si="845"/>
        <v>16238.199999999999</v>
      </c>
      <c r="P407" s="492">
        <f t="shared" si="846"/>
        <v>16231.199999999999</v>
      </c>
      <c r="Q407" s="294">
        <f t="shared" si="847"/>
        <v>16231.199999999999</v>
      </c>
      <c r="R407" s="492">
        <f t="shared" si="848"/>
        <v>16224.199999999999</v>
      </c>
      <c r="S407" s="294">
        <f t="shared" si="849"/>
        <v>16224.199999999999</v>
      </c>
      <c r="T407" s="492">
        <f t="shared" ref="T407:T412" si="855">F407+38</f>
        <v>16215.199999999999</v>
      </c>
      <c r="U407" s="294">
        <f t="shared" si="850"/>
        <v>16215.199999999999</v>
      </c>
      <c r="V407" s="492">
        <f t="shared" ref="V407:V412" si="856">F407+33</f>
        <v>16210.199999999999</v>
      </c>
      <c r="W407" s="294">
        <f t="shared" si="851"/>
        <v>16210.199999999999</v>
      </c>
      <c r="X407" s="469"/>
      <c r="Y407" s="470"/>
      <c r="Z407" s="470"/>
      <c r="AA407" s="471"/>
      <c r="AB407" s="420">
        <v>2343</v>
      </c>
      <c r="AC407" s="66"/>
    </row>
    <row r="408" spans="1:29" ht="12.6" customHeight="1" x14ac:dyDescent="0.2">
      <c r="A408" s="18"/>
      <c r="B408" s="746" t="s">
        <v>879</v>
      </c>
      <c r="C408" s="747"/>
      <c r="D408" s="747"/>
      <c r="E408" s="748"/>
      <c r="F408" s="392">
        <f>9.5*X2</f>
        <v>9851.5</v>
      </c>
      <c r="G408" s="293">
        <f>+F408*$X$1</f>
        <v>9851.5</v>
      </c>
      <c r="H408" s="627">
        <f t="shared" si="838"/>
        <v>10211.5</v>
      </c>
      <c r="I408" s="293">
        <f t="shared" si="839"/>
        <v>10211.5</v>
      </c>
      <c r="J408" s="627">
        <f t="shared" si="840"/>
        <v>10031.5</v>
      </c>
      <c r="K408" s="293">
        <f t="shared" si="841"/>
        <v>10031.5</v>
      </c>
      <c r="L408" s="627">
        <f t="shared" si="842"/>
        <v>9971.5</v>
      </c>
      <c r="M408" s="293">
        <f t="shared" si="843"/>
        <v>9971.5</v>
      </c>
      <c r="N408" s="627">
        <f t="shared" si="844"/>
        <v>9912.5</v>
      </c>
      <c r="O408" s="293">
        <f t="shared" si="845"/>
        <v>9912.5</v>
      </c>
      <c r="P408" s="627">
        <f t="shared" si="846"/>
        <v>9905.5</v>
      </c>
      <c r="Q408" s="293">
        <f t="shared" si="847"/>
        <v>9905.5</v>
      </c>
      <c r="R408" s="627">
        <f t="shared" si="848"/>
        <v>9898.5</v>
      </c>
      <c r="S408" s="293">
        <f t="shared" si="849"/>
        <v>9898.5</v>
      </c>
      <c r="T408" s="627">
        <f t="shared" si="855"/>
        <v>9889.5</v>
      </c>
      <c r="U408" s="293">
        <f t="shared" si="850"/>
        <v>9889.5</v>
      </c>
      <c r="V408" s="627">
        <f t="shared" si="856"/>
        <v>9884.5</v>
      </c>
      <c r="W408" s="293">
        <f t="shared" si="851"/>
        <v>9884.5</v>
      </c>
      <c r="X408" s="553"/>
      <c r="Y408" s="554"/>
      <c r="Z408" s="554"/>
      <c r="AA408" s="555"/>
      <c r="AB408" s="420" t="s">
        <v>880</v>
      </c>
      <c r="AC408" s="66"/>
    </row>
    <row r="409" spans="1:29" ht="12.6" customHeight="1" x14ac:dyDescent="0.2">
      <c r="A409" s="18"/>
      <c r="B409" s="690" t="s">
        <v>455</v>
      </c>
      <c r="C409" s="698"/>
      <c r="D409" s="698"/>
      <c r="E409" s="699"/>
      <c r="F409" s="393">
        <f>8.48*X2</f>
        <v>8793.76</v>
      </c>
      <c r="G409" s="294">
        <f t="shared" ref="G409" si="857">+F409*$X$1</f>
        <v>8793.76</v>
      </c>
      <c r="H409" s="492">
        <f t="shared" ref="H409:H414" si="858">F409+360</f>
        <v>9153.76</v>
      </c>
      <c r="I409" s="294">
        <f t="shared" ref="I409:I414" si="859">+H409*$X$1</f>
        <v>9153.76</v>
      </c>
      <c r="J409" s="492">
        <f t="shared" ref="J409:J414" si="860">F409+180</f>
        <v>8973.76</v>
      </c>
      <c r="K409" s="294">
        <f t="shared" ref="K409:K413" si="861">+J409*$X$1</f>
        <v>8973.76</v>
      </c>
      <c r="L409" s="492">
        <f t="shared" ref="L409:L414" si="862">F409+120</f>
        <v>8913.76</v>
      </c>
      <c r="M409" s="294">
        <f t="shared" ref="M409:M413" si="863">+L409*$X$1</f>
        <v>8913.76</v>
      </c>
      <c r="N409" s="492">
        <f t="shared" ref="N409:N414" si="864">F409+61</f>
        <v>8854.76</v>
      </c>
      <c r="O409" s="294">
        <f t="shared" ref="O409:O413" si="865">+N409*$X$1</f>
        <v>8854.76</v>
      </c>
      <c r="P409" s="492">
        <f t="shared" ref="P409:P414" si="866">F409+54</f>
        <v>8847.76</v>
      </c>
      <c r="Q409" s="294">
        <f t="shared" ref="Q409:Q413" si="867">+P409*$X$1</f>
        <v>8847.76</v>
      </c>
      <c r="R409" s="492">
        <f t="shared" ref="R409:R414" si="868">F409+47</f>
        <v>8840.76</v>
      </c>
      <c r="S409" s="294">
        <f t="shared" ref="S409:S413" si="869">+R409*$X$1</f>
        <v>8840.76</v>
      </c>
      <c r="T409" s="492">
        <f t="shared" si="855"/>
        <v>8831.76</v>
      </c>
      <c r="U409" s="294">
        <f t="shared" ref="U409:U412" si="870">+T409*$X$1</f>
        <v>8831.76</v>
      </c>
      <c r="V409" s="492">
        <f t="shared" si="856"/>
        <v>8826.76</v>
      </c>
      <c r="W409" s="294">
        <f t="shared" ref="W409:W412" si="871">+V409*$X$1</f>
        <v>8826.76</v>
      </c>
      <c r="X409" s="244"/>
      <c r="Y409" s="242"/>
      <c r="Z409" s="242"/>
      <c r="AA409" s="243"/>
      <c r="AB409" s="420">
        <v>2346</v>
      </c>
      <c r="AC409" s="66"/>
    </row>
    <row r="410" spans="1:29" ht="12.6" customHeight="1" x14ac:dyDescent="0.2">
      <c r="A410" s="18"/>
      <c r="B410" s="693" t="s">
        <v>727</v>
      </c>
      <c r="C410" s="696"/>
      <c r="D410" s="696"/>
      <c r="E410" s="697"/>
      <c r="F410" s="392">
        <f>11.84*X2</f>
        <v>12278.08</v>
      </c>
      <c r="G410" s="293">
        <f t="shared" ref="G410" si="872">+F410*$X$1</f>
        <v>12278.08</v>
      </c>
      <c r="H410" s="627">
        <f t="shared" si="858"/>
        <v>12638.08</v>
      </c>
      <c r="I410" s="293">
        <f t="shared" si="859"/>
        <v>12638.08</v>
      </c>
      <c r="J410" s="627">
        <f t="shared" si="860"/>
        <v>12458.08</v>
      </c>
      <c r="K410" s="293">
        <f t="shared" si="861"/>
        <v>12458.08</v>
      </c>
      <c r="L410" s="627">
        <f t="shared" si="862"/>
        <v>12398.08</v>
      </c>
      <c r="M410" s="293">
        <f t="shared" si="863"/>
        <v>12398.08</v>
      </c>
      <c r="N410" s="627">
        <f t="shared" si="864"/>
        <v>12339.08</v>
      </c>
      <c r="O410" s="293">
        <f t="shared" si="865"/>
        <v>12339.08</v>
      </c>
      <c r="P410" s="627">
        <f t="shared" si="866"/>
        <v>12332.08</v>
      </c>
      <c r="Q410" s="293">
        <f t="shared" si="867"/>
        <v>12332.08</v>
      </c>
      <c r="R410" s="627">
        <f t="shared" si="868"/>
        <v>12325.08</v>
      </c>
      <c r="S410" s="293">
        <f t="shared" si="869"/>
        <v>12325.08</v>
      </c>
      <c r="T410" s="627">
        <f t="shared" si="855"/>
        <v>12316.08</v>
      </c>
      <c r="U410" s="293">
        <f t="shared" si="870"/>
        <v>12316.08</v>
      </c>
      <c r="V410" s="627">
        <f t="shared" si="856"/>
        <v>12311.08</v>
      </c>
      <c r="W410" s="293">
        <f t="shared" si="871"/>
        <v>12311.08</v>
      </c>
      <c r="X410" s="469"/>
      <c r="Y410" s="470"/>
      <c r="Z410" s="470"/>
      <c r="AA410" s="471"/>
      <c r="AB410" s="420" t="s">
        <v>736</v>
      </c>
      <c r="AC410" s="66"/>
    </row>
    <row r="411" spans="1:29" ht="12.6" customHeight="1" x14ac:dyDescent="0.2">
      <c r="A411" s="18"/>
      <c r="B411" s="690" t="s">
        <v>728</v>
      </c>
      <c r="C411" s="698"/>
      <c r="D411" s="698"/>
      <c r="E411" s="699"/>
      <c r="F411" s="393">
        <f>12.63*X2</f>
        <v>13097.310000000001</v>
      </c>
      <c r="G411" s="294">
        <f t="shared" ref="G411" si="873">+F411*$X$1</f>
        <v>13097.310000000001</v>
      </c>
      <c r="H411" s="492">
        <f t="shared" si="858"/>
        <v>13457.310000000001</v>
      </c>
      <c r="I411" s="294">
        <f t="shared" si="859"/>
        <v>13457.310000000001</v>
      </c>
      <c r="J411" s="492">
        <f t="shared" si="860"/>
        <v>13277.310000000001</v>
      </c>
      <c r="K411" s="294">
        <f t="shared" si="861"/>
        <v>13277.310000000001</v>
      </c>
      <c r="L411" s="492">
        <f t="shared" si="862"/>
        <v>13217.310000000001</v>
      </c>
      <c r="M411" s="294">
        <f t="shared" si="863"/>
        <v>13217.310000000001</v>
      </c>
      <c r="N411" s="492">
        <f t="shared" si="864"/>
        <v>13158.310000000001</v>
      </c>
      <c r="O411" s="294">
        <f t="shared" si="865"/>
        <v>13158.310000000001</v>
      </c>
      <c r="P411" s="492">
        <f t="shared" si="866"/>
        <v>13151.310000000001</v>
      </c>
      <c r="Q411" s="294">
        <f t="shared" si="867"/>
        <v>13151.310000000001</v>
      </c>
      <c r="R411" s="492">
        <f t="shared" si="868"/>
        <v>13144.310000000001</v>
      </c>
      <c r="S411" s="294">
        <f t="shared" si="869"/>
        <v>13144.310000000001</v>
      </c>
      <c r="T411" s="492">
        <f t="shared" si="855"/>
        <v>13135.310000000001</v>
      </c>
      <c r="U411" s="294">
        <f t="shared" si="870"/>
        <v>13135.310000000001</v>
      </c>
      <c r="V411" s="492">
        <f t="shared" si="856"/>
        <v>13130.310000000001</v>
      </c>
      <c r="W411" s="294">
        <f t="shared" si="871"/>
        <v>13130.310000000001</v>
      </c>
      <c r="X411" s="469"/>
      <c r="Y411" s="470"/>
      <c r="Z411" s="470"/>
      <c r="AA411" s="471"/>
      <c r="AB411" s="420" t="s">
        <v>787</v>
      </c>
      <c r="AC411" s="66"/>
    </row>
    <row r="412" spans="1:29" ht="12.6" customHeight="1" x14ac:dyDescent="0.2">
      <c r="A412" s="18"/>
      <c r="B412" s="693" t="s">
        <v>609</v>
      </c>
      <c r="C412" s="696"/>
      <c r="D412" s="696"/>
      <c r="E412" s="697"/>
      <c r="F412" s="392">
        <f>2.56*X2</f>
        <v>2654.7200000000003</v>
      </c>
      <c r="G412" s="293">
        <f t="shared" ref="G412" si="874">+F412*$X$1</f>
        <v>2654.7200000000003</v>
      </c>
      <c r="H412" s="627">
        <f t="shared" si="858"/>
        <v>3014.7200000000003</v>
      </c>
      <c r="I412" s="293">
        <f t="shared" si="859"/>
        <v>3014.7200000000003</v>
      </c>
      <c r="J412" s="627">
        <f t="shared" si="860"/>
        <v>2834.7200000000003</v>
      </c>
      <c r="K412" s="293">
        <f t="shared" si="861"/>
        <v>2834.7200000000003</v>
      </c>
      <c r="L412" s="627">
        <f t="shared" si="862"/>
        <v>2774.7200000000003</v>
      </c>
      <c r="M412" s="293">
        <f t="shared" si="863"/>
        <v>2774.7200000000003</v>
      </c>
      <c r="N412" s="627">
        <f t="shared" si="864"/>
        <v>2715.7200000000003</v>
      </c>
      <c r="O412" s="293">
        <f t="shared" si="865"/>
        <v>2715.7200000000003</v>
      </c>
      <c r="P412" s="627">
        <f t="shared" si="866"/>
        <v>2708.7200000000003</v>
      </c>
      <c r="Q412" s="293">
        <f t="shared" si="867"/>
        <v>2708.7200000000003</v>
      </c>
      <c r="R412" s="627">
        <f t="shared" si="868"/>
        <v>2701.7200000000003</v>
      </c>
      <c r="S412" s="293">
        <f t="shared" si="869"/>
        <v>2701.7200000000003</v>
      </c>
      <c r="T412" s="627">
        <f t="shared" si="855"/>
        <v>2692.7200000000003</v>
      </c>
      <c r="U412" s="293">
        <f t="shared" si="870"/>
        <v>2692.7200000000003</v>
      </c>
      <c r="V412" s="627">
        <f t="shared" si="856"/>
        <v>2687.7200000000003</v>
      </c>
      <c r="W412" s="293">
        <f t="shared" si="871"/>
        <v>2687.7200000000003</v>
      </c>
      <c r="X412" s="386"/>
      <c r="Y412" s="387"/>
      <c r="Z412" s="387"/>
      <c r="AA412" s="388"/>
      <c r="AB412" s="420">
        <v>2350</v>
      </c>
      <c r="AC412" s="66"/>
    </row>
    <row r="413" spans="1:29" ht="12.6" customHeight="1" x14ac:dyDescent="0.2">
      <c r="A413" s="18"/>
      <c r="B413" s="690" t="s">
        <v>696</v>
      </c>
      <c r="C413" s="698"/>
      <c r="D413" s="698"/>
      <c r="E413" s="699"/>
      <c r="F413" s="393">
        <f>3.3*X2</f>
        <v>3422.1</v>
      </c>
      <c r="G413" s="294">
        <f t="shared" ref="G413" si="875">+F413*$X$1</f>
        <v>3422.1</v>
      </c>
      <c r="H413" s="492">
        <f t="shared" si="858"/>
        <v>3782.1</v>
      </c>
      <c r="I413" s="294">
        <f t="shared" si="859"/>
        <v>3782.1</v>
      </c>
      <c r="J413" s="492">
        <f t="shared" si="860"/>
        <v>3602.1</v>
      </c>
      <c r="K413" s="294">
        <f t="shared" si="861"/>
        <v>3602.1</v>
      </c>
      <c r="L413" s="492">
        <f t="shared" si="862"/>
        <v>3542.1</v>
      </c>
      <c r="M413" s="294">
        <f t="shared" si="863"/>
        <v>3542.1</v>
      </c>
      <c r="N413" s="492">
        <f t="shared" si="864"/>
        <v>3483.1</v>
      </c>
      <c r="O413" s="294">
        <f t="shared" si="865"/>
        <v>3483.1</v>
      </c>
      <c r="P413" s="492">
        <f t="shared" si="866"/>
        <v>3476.1</v>
      </c>
      <c r="Q413" s="294">
        <f t="shared" si="867"/>
        <v>3476.1</v>
      </c>
      <c r="R413" s="492">
        <f t="shared" si="868"/>
        <v>3469.1</v>
      </c>
      <c r="S413" s="294">
        <f t="shared" si="869"/>
        <v>3469.1</v>
      </c>
      <c r="T413" s="492"/>
      <c r="U413" s="294"/>
      <c r="V413" s="492"/>
      <c r="W413" s="294"/>
      <c r="X413" s="453"/>
      <c r="Y413" s="454"/>
      <c r="Z413" s="454"/>
      <c r="AA413" s="455"/>
      <c r="AB413" s="420">
        <v>2351</v>
      </c>
      <c r="AC413" s="66"/>
    </row>
    <row r="414" spans="1:29" ht="12.6" customHeight="1" x14ac:dyDescent="0.2">
      <c r="A414" s="18"/>
      <c r="B414" s="693" t="s">
        <v>709</v>
      </c>
      <c r="C414" s="696"/>
      <c r="D414" s="696"/>
      <c r="E414" s="697"/>
      <c r="F414" s="392">
        <f>1.59*X2</f>
        <v>1648.8300000000002</v>
      </c>
      <c r="G414" s="293">
        <f t="shared" ref="G414" si="876">+F414*$X$1</f>
        <v>1648.8300000000002</v>
      </c>
      <c r="H414" s="627">
        <f t="shared" si="858"/>
        <v>2008.8300000000002</v>
      </c>
      <c r="I414" s="293">
        <f t="shared" si="859"/>
        <v>2008.8300000000002</v>
      </c>
      <c r="J414" s="627">
        <f t="shared" si="860"/>
        <v>1828.8300000000002</v>
      </c>
      <c r="K414" s="293">
        <f t="shared" ref="K414" si="877">+J414*$X$1</f>
        <v>1828.8300000000002</v>
      </c>
      <c r="L414" s="627">
        <f t="shared" si="862"/>
        <v>1768.8300000000002</v>
      </c>
      <c r="M414" s="293">
        <f t="shared" ref="M414" si="878">+L414*$X$1</f>
        <v>1768.8300000000002</v>
      </c>
      <c r="N414" s="627">
        <f t="shared" si="864"/>
        <v>1709.8300000000002</v>
      </c>
      <c r="O414" s="293">
        <f t="shared" ref="O414" si="879">+N414*$X$1</f>
        <v>1709.8300000000002</v>
      </c>
      <c r="P414" s="627">
        <f t="shared" si="866"/>
        <v>1702.8300000000002</v>
      </c>
      <c r="Q414" s="293">
        <f t="shared" ref="Q414" si="880">+P414*$X$1</f>
        <v>1702.8300000000002</v>
      </c>
      <c r="R414" s="627">
        <f t="shared" si="868"/>
        <v>1695.8300000000002</v>
      </c>
      <c r="S414" s="293">
        <f t="shared" ref="S414" si="881">+R414*$X$1</f>
        <v>1695.8300000000002</v>
      </c>
      <c r="T414" s="627">
        <f>F414+38</f>
        <v>1686.8300000000002</v>
      </c>
      <c r="U414" s="293">
        <f t="shared" ref="U414" si="882">+T414*$X$1</f>
        <v>1686.8300000000002</v>
      </c>
      <c r="V414" s="627">
        <f>F414+33</f>
        <v>1681.8300000000002</v>
      </c>
      <c r="W414" s="293">
        <f t="shared" ref="W414" si="883">+V414*$X$1</f>
        <v>1681.8300000000002</v>
      </c>
      <c r="X414" s="459"/>
      <c r="Y414" s="460"/>
      <c r="Z414" s="460"/>
      <c r="AA414" s="461"/>
      <c r="AB414" s="420">
        <v>2352</v>
      </c>
      <c r="AC414" s="66"/>
    </row>
    <row r="415" spans="1:29" ht="12.6" customHeight="1" x14ac:dyDescent="0.2">
      <c r="A415" s="18"/>
      <c r="B415" s="746" t="s">
        <v>944</v>
      </c>
      <c r="C415" s="747"/>
      <c r="D415" s="747"/>
      <c r="E415" s="748"/>
      <c r="F415" s="393">
        <f>1.48*X2</f>
        <v>1534.76</v>
      </c>
      <c r="G415" s="294">
        <f t="shared" ref="G415" si="884">+F415*$X$1</f>
        <v>1534.76</v>
      </c>
      <c r="H415" s="492">
        <f t="shared" ref="H415" si="885">F415+360</f>
        <v>1894.76</v>
      </c>
      <c r="I415" s="294">
        <f t="shared" ref="I415" si="886">+H415*$X$1</f>
        <v>1894.76</v>
      </c>
      <c r="J415" s="492">
        <f t="shared" ref="J415" si="887">F415+180</f>
        <v>1714.76</v>
      </c>
      <c r="K415" s="294">
        <f t="shared" ref="K415" si="888">+J415*$X$1</f>
        <v>1714.76</v>
      </c>
      <c r="L415" s="492">
        <f t="shared" ref="L415" si="889">F415+120</f>
        <v>1654.76</v>
      </c>
      <c r="M415" s="294">
        <f t="shared" ref="M415" si="890">+L415*$X$1</f>
        <v>1654.76</v>
      </c>
      <c r="N415" s="492">
        <f t="shared" ref="N415" si="891">F415+61</f>
        <v>1595.76</v>
      </c>
      <c r="O415" s="294">
        <f t="shared" ref="O415" si="892">+N415*$X$1</f>
        <v>1595.76</v>
      </c>
      <c r="P415" s="492">
        <f t="shared" ref="P415" si="893">F415+54</f>
        <v>1588.76</v>
      </c>
      <c r="Q415" s="294">
        <f t="shared" ref="Q415" si="894">+P415*$X$1</f>
        <v>1588.76</v>
      </c>
      <c r="R415" s="492">
        <f t="shared" ref="R415" si="895">F415+47</f>
        <v>1581.76</v>
      </c>
      <c r="S415" s="294">
        <f t="shared" ref="S415" si="896">+R415*$X$1</f>
        <v>1581.76</v>
      </c>
      <c r="T415" s="492">
        <f>F415+38</f>
        <v>1572.76</v>
      </c>
      <c r="U415" s="294">
        <f t="shared" ref="U415" si="897">+T415*$X$1</f>
        <v>1572.76</v>
      </c>
      <c r="V415" s="492">
        <f>F415+33</f>
        <v>1567.76</v>
      </c>
      <c r="W415" s="294">
        <f t="shared" ref="W415" si="898">+V415*$X$1</f>
        <v>1567.76</v>
      </c>
      <c r="X415" s="625"/>
      <c r="Y415" s="623"/>
      <c r="Z415" s="623"/>
      <c r="AA415" s="624"/>
      <c r="AB415" s="420">
        <v>2353</v>
      </c>
      <c r="AC415" s="66"/>
    </row>
    <row r="416" spans="1:29" ht="12.6" customHeight="1" x14ac:dyDescent="0.2">
      <c r="A416" s="18"/>
      <c r="B416" s="693" t="s">
        <v>858</v>
      </c>
      <c r="C416" s="696"/>
      <c r="D416" s="696"/>
      <c r="E416" s="697"/>
      <c r="F416" s="293">
        <f>3.463*X2</f>
        <v>3591.1309999999999</v>
      </c>
      <c r="G416" s="293">
        <f>+F416*$X$1</f>
        <v>3591.1309999999999</v>
      </c>
      <c r="H416" s="621">
        <f>F416+450</f>
        <v>4041.1309999999999</v>
      </c>
      <c r="I416" s="293">
        <f t="shared" ref="I416" si="899">+H416*$X$1</f>
        <v>4041.1309999999999</v>
      </c>
      <c r="J416" s="621">
        <f>F416+200</f>
        <v>3791.1309999999999</v>
      </c>
      <c r="K416" s="293">
        <f>+J416*$X$1</f>
        <v>3791.1309999999999</v>
      </c>
      <c r="L416" s="621">
        <f>F416+140</f>
        <v>3731.1309999999999</v>
      </c>
      <c r="M416" s="293">
        <f>+L416*$X$1</f>
        <v>3731.1309999999999</v>
      </c>
      <c r="N416" s="621">
        <f>F416+70</f>
        <v>3661.1309999999999</v>
      </c>
      <c r="O416" s="293">
        <f>+N416*$X$1</f>
        <v>3661.1309999999999</v>
      </c>
      <c r="P416" s="621">
        <f>F416+60</f>
        <v>3651.1309999999999</v>
      </c>
      <c r="Q416" s="293">
        <f>+P416*$X$1</f>
        <v>3651.1309999999999</v>
      </c>
      <c r="R416" s="621">
        <f>F416+50</f>
        <v>3641.1309999999999</v>
      </c>
      <c r="S416" s="293">
        <f>+R416*$X$1</f>
        <v>3641.1309999999999</v>
      </c>
      <c r="T416" s="104">
        <f>F416+44</f>
        <v>3635.1309999999999</v>
      </c>
      <c r="U416" s="260">
        <f>+T416*$X$1</f>
        <v>3635.1309999999999</v>
      </c>
      <c r="V416" s="104">
        <f>F416+38</f>
        <v>3629.1309999999999</v>
      </c>
      <c r="W416" s="260">
        <f>+V416*$X$1</f>
        <v>3629.1309999999999</v>
      </c>
      <c r="X416" s="750"/>
      <c r="Y416" s="716"/>
      <c r="Z416" s="716"/>
      <c r="AA416" s="717"/>
      <c r="AB416" s="420">
        <v>2503</v>
      </c>
    </row>
    <row r="417" spans="1:35" ht="12.6" customHeight="1" x14ac:dyDescent="0.2">
      <c r="A417" s="18"/>
      <c r="B417" s="690" t="s">
        <v>859</v>
      </c>
      <c r="C417" s="698"/>
      <c r="D417" s="698"/>
      <c r="E417" s="699"/>
      <c r="F417" s="294">
        <f>0.76*X2</f>
        <v>788.12</v>
      </c>
      <c r="G417" s="294">
        <f t="shared" ref="G417" si="900">+F417*$X$1</f>
        <v>788.12</v>
      </c>
      <c r="H417" s="492">
        <f>F417+450</f>
        <v>1238.1199999999999</v>
      </c>
      <c r="I417" s="294">
        <f t="shared" ref="I417" si="901">+H417*$X$1</f>
        <v>1238.1199999999999</v>
      </c>
      <c r="J417" s="492">
        <f>F417+200</f>
        <v>988.12</v>
      </c>
      <c r="K417" s="294">
        <f>+J417*$X$1</f>
        <v>988.12</v>
      </c>
      <c r="L417" s="492">
        <f>F417+140</f>
        <v>928.12</v>
      </c>
      <c r="M417" s="294">
        <f>+L417*$X$1</f>
        <v>928.12</v>
      </c>
      <c r="N417" s="492">
        <f>F417+70</f>
        <v>858.12</v>
      </c>
      <c r="O417" s="294">
        <f>+N417*$X$1</f>
        <v>858.12</v>
      </c>
      <c r="P417" s="492">
        <f>F417+60</f>
        <v>848.12</v>
      </c>
      <c r="Q417" s="294">
        <f>+P417*$X$1</f>
        <v>848.12</v>
      </c>
      <c r="R417" s="492">
        <f>F417+50</f>
        <v>838.12</v>
      </c>
      <c r="S417" s="294">
        <f>+R417*$X$1</f>
        <v>838.12</v>
      </c>
      <c r="T417" s="103">
        <f>F417+44</f>
        <v>832.12</v>
      </c>
      <c r="U417" s="313">
        <f>+T417*$X$1</f>
        <v>832.12</v>
      </c>
      <c r="V417" s="103">
        <f>F417+38</f>
        <v>826.12</v>
      </c>
      <c r="W417" s="313">
        <f>+V417*$X$1</f>
        <v>826.12</v>
      </c>
      <c r="X417" s="750"/>
      <c r="Y417" s="716"/>
      <c r="Z417" s="716"/>
      <c r="AA417" s="717"/>
      <c r="AB417" s="420">
        <v>2504</v>
      </c>
    </row>
    <row r="418" spans="1:35" ht="12.6" customHeight="1" x14ac:dyDescent="0.2">
      <c r="A418" s="18"/>
      <c r="B418" s="693" t="s">
        <v>505</v>
      </c>
      <c r="C418" s="694"/>
      <c r="D418" s="694"/>
      <c r="E418" s="695"/>
      <c r="F418" s="392">
        <f>2.75*X2</f>
        <v>2851.75</v>
      </c>
      <c r="G418" s="293">
        <f t="shared" ref="G418" si="902">+F418*$X$1</f>
        <v>2851.75</v>
      </c>
      <c r="H418" s="621"/>
      <c r="I418" s="293"/>
      <c r="J418" s="621">
        <f>F418+200</f>
        <v>3051.75</v>
      </c>
      <c r="K418" s="293">
        <f>+J418*$X$1</f>
        <v>3051.75</v>
      </c>
      <c r="L418" s="621">
        <f>F418+140</f>
        <v>2991.75</v>
      </c>
      <c r="M418" s="293">
        <f>+L418*$X$1</f>
        <v>2991.75</v>
      </c>
      <c r="N418" s="621">
        <f>F418+70</f>
        <v>2921.75</v>
      </c>
      <c r="O418" s="293">
        <f>+N418*$X$1</f>
        <v>2921.75</v>
      </c>
      <c r="P418" s="621">
        <f>F418+60</f>
        <v>2911.75</v>
      </c>
      <c r="Q418" s="293">
        <f>+P418*$X$1</f>
        <v>2911.75</v>
      </c>
      <c r="R418" s="621">
        <f>F418+50</f>
        <v>2901.75</v>
      </c>
      <c r="S418" s="293">
        <f>+R418*$X$1</f>
        <v>2901.75</v>
      </c>
      <c r="T418" s="104">
        <f>F418+44</f>
        <v>2895.75</v>
      </c>
      <c r="U418" s="260">
        <f>+T418*$X$1</f>
        <v>2895.75</v>
      </c>
      <c r="V418" s="104">
        <f>F418+38</f>
        <v>2889.75</v>
      </c>
      <c r="W418" s="260">
        <f>+V418*$X$1</f>
        <v>2889.75</v>
      </c>
      <c r="X418" s="166"/>
      <c r="Y418" s="136"/>
      <c r="Z418" s="136"/>
      <c r="AA418" s="139"/>
      <c r="AB418" s="432">
        <v>3001</v>
      </c>
    </row>
    <row r="419" spans="1:35" ht="12.6" customHeight="1" x14ac:dyDescent="0.2">
      <c r="A419" s="105"/>
      <c r="B419" s="710" t="s">
        <v>818</v>
      </c>
      <c r="C419" s="711"/>
      <c r="D419" s="711"/>
      <c r="E419" s="711"/>
      <c r="F419" s="294">
        <v>3710</v>
      </c>
      <c r="G419" s="294">
        <f t="shared" ref="G419" si="903">+F419*$X$1</f>
        <v>3710</v>
      </c>
      <c r="H419" s="285"/>
      <c r="I419" s="354"/>
      <c r="J419" s="492"/>
      <c r="K419" s="294"/>
      <c r="L419" s="492">
        <f>F419+1100</f>
        <v>4810</v>
      </c>
      <c r="M419" s="294">
        <f>+L419*$X$1</f>
        <v>4810</v>
      </c>
      <c r="N419" s="492">
        <f>F419+820</f>
        <v>4530</v>
      </c>
      <c r="O419" s="294">
        <f t="shared" ref="O419:O420" si="904">+N419*$X$1</f>
        <v>4530</v>
      </c>
      <c r="P419" s="492">
        <f>F419+790</f>
        <v>4500</v>
      </c>
      <c r="Q419" s="294">
        <f t="shared" ref="Q419:Q420" si="905">+P419*$X$1</f>
        <v>4500</v>
      </c>
      <c r="R419" s="492">
        <f>F419+750</f>
        <v>4460</v>
      </c>
      <c r="S419" s="294">
        <f>+R419*$X$1</f>
        <v>4460</v>
      </c>
      <c r="T419" s="492">
        <f>F419+720</f>
        <v>4430</v>
      </c>
      <c r="U419" s="294">
        <f>+T419*$X$1</f>
        <v>4430</v>
      </c>
      <c r="V419" s="492"/>
      <c r="W419" s="294"/>
      <c r="X419" s="218"/>
      <c r="Y419" s="220"/>
      <c r="Z419" s="220"/>
      <c r="AA419" s="219"/>
      <c r="AB419" s="420">
        <v>5003</v>
      </c>
      <c r="AC419" s="66"/>
    </row>
    <row r="420" spans="1:35" ht="12.6" customHeight="1" x14ac:dyDescent="0.2">
      <c r="A420" s="105"/>
      <c r="B420" s="755" t="s">
        <v>819</v>
      </c>
      <c r="C420" s="756"/>
      <c r="D420" s="756"/>
      <c r="E420" s="756"/>
      <c r="F420" s="293">
        <v>3710</v>
      </c>
      <c r="G420" s="293">
        <f t="shared" ref="G420" si="906">+F420*$X$1</f>
        <v>3710</v>
      </c>
      <c r="H420" s="621">
        <f>F420+600</f>
        <v>4310</v>
      </c>
      <c r="I420" s="293">
        <f>+H420*$X$1</f>
        <v>4310</v>
      </c>
      <c r="J420" s="72">
        <f>F420+300</f>
        <v>4010</v>
      </c>
      <c r="K420" s="293">
        <f t="shared" ref="K420" si="907">+J420*$X$1</f>
        <v>4010</v>
      </c>
      <c r="L420" s="621">
        <f>F420+250</f>
        <v>3960</v>
      </c>
      <c r="M420" s="293">
        <f t="shared" ref="M420" si="908">+L420*$X$1</f>
        <v>3960</v>
      </c>
      <c r="N420" s="621">
        <f>F420+220</f>
        <v>3930</v>
      </c>
      <c r="O420" s="293">
        <f t="shared" si="904"/>
        <v>3930</v>
      </c>
      <c r="P420" s="621">
        <f>F420+180</f>
        <v>3890</v>
      </c>
      <c r="Q420" s="293">
        <f t="shared" si="905"/>
        <v>3890</v>
      </c>
      <c r="R420" s="621">
        <f>F420+150</f>
        <v>3860</v>
      </c>
      <c r="S420" s="293">
        <f t="shared" ref="S420" si="909">+R420*$X$1</f>
        <v>3860</v>
      </c>
      <c r="T420" s="621">
        <f>F420+110</f>
        <v>3820</v>
      </c>
      <c r="U420" s="293">
        <f t="shared" ref="U420" si="910">+T420*$X$1</f>
        <v>3820</v>
      </c>
      <c r="V420" s="621"/>
      <c r="W420" s="293"/>
      <c r="X420" s="458"/>
      <c r="Y420" s="456"/>
      <c r="Z420" s="456"/>
      <c r="AA420" s="457"/>
      <c r="AB420" s="420" t="s">
        <v>721</v>
      </c>
      <c r="AC420" s="66"/>
    </row>
    <row r="421" spans="1:35" ht="12.6" customHeight="1" x14ac:dyDescent="0.2">
      <c r="A421" s="18"/>
      <c r="B421" s="704" t="s">
        <v>547</v>
      </c>
      <c r="C421" s="705"/>
      <c r="D421" s="705"/>
      <c r="E421" s="705"/>
      <c r="F421" s="294">
        <v>4992</v>
      </c>
      <c r="G421" s="294">
        <f t="shared" ref="G421:G430" si="911">+F421*$X$1</f>
        <v>4992</v>
      </c>
      <c r="H421" s="285"/>
      <c r="I421" s="354"/>
      <c r="J421" s="492"/>
      <c r="K421" s="294"/>
      <c r="L421" s="492">
        <f>F421+1300</f>
        <v>6292</v>
      </c>
      <c r="M421" s="294">
        <f t="shared" ref="M421" si="912">+L421*$X$1</f>
        <v>6292</v>
      </c>
      <c r="N421" s="492">
        <f>F421+1000</f>
        <v>5992</v>
      </c>
      <c r="O421" s="294">
        <f t="shared" ref="O421" si="913">+N421*$X$1</f>
        <v>5992</v>
      </c>
      <c r="P421" s="492">
        <f>F421+900</f>
        <v>5892</v>
      </c>
      <c r="Q421" s="294">
        <f t="shared" ref="Q421" si="914">+P421*$X$1</f>
        <v>5892</v>
      </c>
      <c r="R421" s="492">
        <f>F421+860</f>
        <v>5852</v>
      </c>
      <c r="S421" s="294">
        <f>+R421*$X$1</f>
        <v>5852</v>
      </c>
      <c r="T421" s="492">
        <f>F421+830</f>
        <v>5822</v>
      </c>
      <c r="U421" s="294">
        <f>+T421*$X$1</f>
        <v>5822</v>
      </c>
      <c r="V421" s="492"/>
      <c r="W421" s="294"/>
      <c r="X421" s="1098"/>
      <c r="Y421" s="1099"/>
      <c r="Z421" s="1099"/>
      <c r="AA421" s="1100"/>
      <c r="AB421" s="197">
        <v>5008</v>
      </c>
      <c r="AC421" s="39"/>
      <c r="AD421" s="39"/>
      <c r="AE421" s="39"/>
      <c r="AF421" s="39"/>
      <c r="AG421" s="39"/>
      <c r="AH421" s="39"/>
      <c r="AI421" s="39"/>
    </row>
    <row r="422" spans="1:35" ht="12.6" customHeight="1" x14ac:dyDescent="0.2">
      <c r="A422" s="18"/>
      <c r="B422" s="693" t="s">
        <v>548</v>
      </c>
      <c r="C422" s="696"/>
      <c r="D422" s="696"/>
      <c r="E422" s="697"/>
      <c r="F422" s="293">
        <v>6786</v>
      </c>
      <c r="G422" s="293">
        <f t="shared" si="911"/>
        <v>6786</v>
      </c>
      <c r="H422" s="286"/>
      <c r="I422" s="353"/>
      <c r="J422" s="621"/>
      <c r="K422" s="293"/>
      <c r="L422" s="621">
        <f>F422+1300</f>
        <v>8086</v>
      </c>
      <c r="M422" s="293">
        <f t="shared" ref="M422:M424" si="915">+L422*$X$1</f>
        <v>8086</v>
      </c>
      <c r="N422" s="621">
        <f>F422+1000</f>
        <v>7786</v>
      </c>
      <c r="O422" s="293">
        <f t="shared" ref="O422:O424" si="916">+N422*$X$1</f>
        <v>7786</v>
      </c>
      <c r="P422" s="621">
        <f>F422+900</f>
        <v>7686</v>
      </c>
      <c r="Q422" s="293">
        <f t="shared" ref="Q422:Q424" si="917">+P422*$X$1</f>
        <v>7686</v>
      </c>
      <c r="R422" s="621">
        <f>F422+860</f>
        <v>7646</v>
      </c>
      <c r="S422" s="293">
        <f>+R422*$X$1</f>
        <v>7646</v>
      </c>
      <c r="T422" s="621">
        <f>F422+830</f>
        <v>7616</v>
      </c>
      <c r="U422" s="293">
        <f>+T422*$X$1</f>
        <v>7616</v>
      </c>
      <c r="V422" s="621"/>
      <c r="W422" s="293"/>
      <c r="X422" s="1098"/>
      <c r="Y422" s="1099"/>
      <c r="Z422" s="1099"/>
      <c r="AA422" s="1100"/>
      <c r="AB422" s="432">
        <v>5010</v>
      </c>
      <c r="AC422" s="39"/>
      <c r="AD422" s="39"/>
      <c r="AE422" s="39"/>
      <c r="AF422" s="39"/>
      <c r="AG422" s="39"/>
      <c r="AH422" s="39"/>
      <c r="AI422" s="39"/>
    </row>
    <row r="423" spans="1:35" ht="12.6" customHeight="1" x14ac:dyDescent="0.2">
      <c r="A423" s="18"/>
      <c r="B423" s="690" t="s">
        <v>549</v>
      </c>
      <c r="C423" s="698"/>
      <c r="D423" s="698"/>
      <c r="E423" s="699"/>
      <c r="F423" s="294">
        <v>3783</v>
      </c>
      <c r="G423" s="294">
        <f t="shared" ref="G423" si="918">+F423*$X$1</f>
        <v>3783</v>
      </c>
      <c r="H423" s="285"/>
      <c r="I423" s="354"/>
      <c r="J423" s="492"/>
      <c r="K423" s="294"/>
      <c r="L423" s="492">
        <f>F423+1300</f>
        <v>5083</v>
      </c>
      <c r="M423" s="294">
        <f t="shared" si="915"/>
        <v>5083</v>
      </c>
      <c r="N423" s="492">
        <f>F423+1000</f>
        <v>4783</v>
      </c>
      <c r="O423" s="294">
        <f t="shared" si="916"/>
        <v>4783</v>
      </c>
      <c r="P423" s="492">
        <f>F423+900</f>
        <v>4683</v>
      </c>
      <c r="Q423" s="294">
        <f t="shared" si="917"/>
        <v>4683</v>
      </c>
      <c r="R423" s="492">
        <f>F423+860</f>
        <v>4643</v>
      </c>
      <c r="S423" s="294">
        <f>+R423*$X$1</f>
        <v>4643</v>
      </c>
      <c r="T423" s="492">
        <f>F423+830</f>
        <v>4613</v>
      </c>
      <c r="U423" s="294">
        <f>+T423*$X$1</f>
        <v>4613</v>
      </c>
      <c r="V423" s="492"/>
      <c r="W423" s="294"/>
      <c r="X423" s="1098"/>
      <c r="Y423" s="1099"/>
      <c r="Z423" s="1099"/>
      <c r="AA423" s="1100"/>
      <c r="AB423" s="432"/>
      <c r="AC423" s="39"/>
      <c r="AD423" s="39"/>
      <c r="AE423" s="39"/>
      <c r="AF423" s="39"/>
      <c r="AG423" s="39"/>
      <c r="AH423" s="39"/>
      <c r="AI423" s="39"/>
    </row>
    <row r="424" spans="1:35" ht="12.6" customHeight="1" x14ac:dyDescent="0.2">
      <c r="A424" s="18"/>
      <c r="B424" s="693" t="s">
        <v>550</v>
      </c>
      <c r="C424" s="696"/>
      <c r="D424" s="696"/>
      <c r="E424" s="697"/>
      <c r="F424" s="293">
        <v>5616</v>
      </c>
      <c r="G424" s="293">
        <f t="shared" ref="G424:G427" si="919">+F424*$X$1</f>
        <v>5616</v>
      </c>
      <c r="H424" s="286"/>
      <c r="I424" s="353"/>
      <c r="J424" s="621"/>
      <c r="K424" s="293"/>
      <c r="L424" s="621">
        <f>F424+1300</f>
        <v>6916</v>
      </c>
      <c r="M424" s="293">
        <f t="shared" si="915"/>
        <v>6916</v>
      </c>
      <c r="N424" s="621">
        <f>F424+1000</f>
        <v>6616</v>
      </c>
      <c r="O424" s="293">
        <f t="shared" si="916"/>
        <v>6616</v>
      </c>
      <c r="P424" s="621">
        <f>F424+900</f>
        <v>6516</v>
      </c>
      <c r="Q424" s="293">
        <f t="shared" si="917"/>
        <v>6516</v>
      </c>
      <c r="R424" s="621">
        <f>F424+860</f>
        <v>6476</v>
      </c>
      <c r="S424" s="293">
        <f>+R424*$X$1</f>
        <v>6476</v>
      </c>
      <c r="T424" s="621">
        <f>F424+830</f>
        <v>6446</v>
      </c>
      <c r="U424" s="293">
        <f>+T424*$X$1</f>
        <v>6446</v>
      </c>
      <c r="V424" s="621"/>
      <c r="W424" s="293"/>
      <c r="X424" s="1098"/>
      <c r="Y424" s="1099"/>
      <c r="Z424" s="1099"/>
      <c r="AA424" s="1100"/>
      <c r="AB424" s="432"/>
      <c r="AC424" s="39"/>
      <c r="AD424" s="39"/>
      <c r="AE424" s="39"/>
      <c r="AF424" s="39"/>
      <c r="AG424" s="39"/>
      <c r="AH424" s="39"/>
      <c r="AI424" s="39"/>
    </row>
    <row r="425" spans="1:35" ht="12.6" customHeight="1" x14ac:dyDescent="0.2">
      <c r="A425" s="18"/>
      <c r="B425" s="704" t="s">
        <v>863</v>
      </c>
      <c r="C425" s="751"/>
      <c r="D425" s="751"/>
      <c r="E425" s="751"/>
      <c r="F425" s="339">
        <v>2100</v>
      </c>
      <c r="G425" s="294">
        <f t="shared" si="919"/>
        <v>2100</v>
      </c>
      <c r="H425" s="285"/>
      <c r="I425" s="354"/>
      <c r="J425" s="492">
        <f>F425+200</f>
        <v>2300</v>
      </c>
      <c r="K425" s="294">
        <f t="shared" ref="K425" si="920">+J425*$X$1</f>
        <v>2300</v>
      </c>
      <c r="L425" s="492">
        <f>F425+130</f>
        <v>2230</v>
      </c>
      <c r="M425" s="294">
        <f t="shared" ref="M425" si="921">+L425*$X$1</f>
        <v>2230</v>
      </c>
      <c r="N425" s="492">
        <f>F425+70</f>
        <v>2170</v>
      </c>
      <c r="O425" s="294">
        <f t="shared" ref="O425" si="922">+N425*$X$1</f>
        <v>2170</v>
      </c>
      <c r="P425" s="492">
        <f>F425+60</f>
        <v>2160</v>
      </c>
      <c r="Q425" s="294">
        <f t="shared" ref="Q425:Q426" si="923">+P425*$X$1</f>
        <v>2160</v>
      </c>
      <c r="R425" s="492">
        <f>F425+52</f>
        <v>2152</v>
      </c>
      <c r="S425" s="294">
        <f t="shared" ref="S425" si="924">+R425*$X$1</f>
        <v>2152</v>
      </c>
      <c r="T425" s="103">
        <f>F425+45</f>
        <v>2145</v>
      </c>
      <c r="U425" s="313">
        <f t="shared" ref="U425" si="925">+T425*$X$1</f>
        <v>2145</v>
      </c>
      <c r="V425" s="103">
        <f>F425+40</f>
        <v>2140</v>
      </c>
      <c r="W425" s="313">
        <f t="shared" ref="W425" si="926">+V425*$X$1</f>
        <v>2140</v>
      </c>
      <c r="X425" s="1191"/>
      <c r="Y425" s="1192"/>
      <c r="Z425" s="1192"/>
      <c r="AA425" s="1193"/>
      <c r="AB425" s="432">
        <v>11604</v>
      </c>
    </row>
    <row r="426" spans="1:35" ht="12.6" customHeight="1" x14ac:dyDescent="0.2">
      <c r="A426" s="18"/>
      <c r="B426" s="683" t="s">
        <v>546</v>
      </c>
      <c r="C426" s="684"/>
      <c r="D426" s="684"/>
      <c r="E426" s="684"/>
      <c r="F426" s="340">
        <v>2100</v>
      </c>
      <c r="G426" s="293">
        <f t="shared" si="911"/>
        <v>2100</v>
      </c>
      <c r="H426" s="286"/>
      <c r="I426" s="353"/>
      <c r="J426" s="621">
        <f>F426+300</f>
        <v>2400</v>
      </c>
      <c r="K426" s="293">
        <f t="shared" ref="K426" si="927">+J426*$X$1</f>
        <v>2400</v>
      </c>
      <c r="L426" s="621">
        <f>F426+240</f>
        <v>2340</v>
      </c>
      <c r="M426" s="293">
        <f>+L426*$X$1</f>
        <v>2340</v>
      </c>
      <c r="N426" s="621">
        <f>F426+204</f>
        <v>2304</v>
      </c>
      <c r="O426" s="293">
        <f>+N426*$X$1</f>
        <v>2304</v>
      </c>
      <c r="P426" s="621">
        <f>F426+170</f>
        <v>2270</v>
      </c>
      <c r="Q426" s="293">
        <f t="shared" si="923"/>
        <v>2270</v>
      </c>
      <c r="R426" s="621">
        <f>F426+145</f>
        <v>2245</v>
      </c>
      <c r="S426" s="293">
        <f>+R426*$X$1</f>
        <v>2245</v>
      </c>
      <c r="T426" s="621">
        <f>F426+120</f>
        <v>2220</v>
      </c>
      <c r="U426" s="293">
        <f t="shared" ref="U426" si="928">+T426*$X$1</f>
        <v>2220</v>
      </c>
      <c r="V426" s="621">
        <f>F426+110</f>
        <v>2210</v>
      </c>
      <c r="W426" s="293">
        <f>+V426*$X$1</f>
        <v>2210</v>
      </c>
      <c r="X426" s="1191"/>
      <c r="Y426" s="1192"/>
      <c r="Z426" s="1192"/>
      <c r="AA426" s="1193"/>
      <c r="AB426" s="432">
        <v>11605</v>
      </c>
    </row>
    <row r="427" spans="1:35" ht="12.6" customHeight="1" x14ac:dyDescent="0.2">
      <c r="A427" s="18"/>
      <c r="B427" s="931" t="s">
        <v>861</v>
      </c>
      <c r="C427" s="806"/>
      <c r="D427" s="806"/>
      <c r="E427" s="806"/>
      <c r="F427" s="339">
        <v>950</v>
      </c>
      <c r="G427" s="294">
        <f t="shared" si="919"/>
        <v>950</v>
      </c>
      <c r="H427" s="285"/>
      <c r="I427" s="285"/>
      <c r="J427" s="492"/>
      <c r="K427" s="294"/>
      <c r="L427" s="492"/>
      <c r="M427" s="294"/>
      <c r="N427" s="492"/>
      <c r="O427" s="294"/>
      <c r="P427" s="492"/>
      <c r="Q427" s="294"/>
      <c r="R427" s="492"/>
      <c r="S427" s="294"/>
      <c r="T427" s="103"/>
      <c r="U427" s="313"/>
      <c r="V427" s="103"/>
      <c r="W427" s="313"/>
      <c r="X427" s="1191"/>
      <c r="Y427" s="1192"/>
      <c r="Z427" s="1192"/>
      <c r="AA427" s="1193"/>
      <c r="AB427" s="435"/>
    </row>
    <row r="428" spans="1:35" ht="12.6" customHeight="1" x14ac:dyDescent="0.2">
      <c r="A428" s="18"/>
      <c r="B428" s="683" t="s">
        <v>259</v>
      </c>
      <c r="C428" s="684"/>
      <c r="D428" s="684"/>
      <c r="E428" s="684"/>
      <c r="F428" s="293">
        <v>1090</v>
      </c>
      <c r="G428" s="293">
        <f t="shared" si="911"/>
        <v>1090</v>
      </c>
      <c r="H428" s="286"/>
      <c r="I428" s="286"/>
      <c r="J428" s="621">
        <f>F428+200</f>
        <v>1290</v>
      </c>
      <c r="K428" s="293">
        <f t="shared" ref="K428" si="929">+J428*$X$1</f>
        <v>1290</v>
      </c>
      <c r="L428" s="621">
        <f>F428+130</f>
        <v>1220</v>
      </c>
      <c r="M428" s="293">
        <f t="shared" ref="M428" si="930">+L428*$X$1</f>
        <v>1220</v>
      </c>
      <c r="N428" s="621">
        <f>F428+70</f>
        <v>1160</v>
      </c>
      <c r="O428" s="293">
        <f t="shared" ref="O428" si="931">+N428*$X$1</f>
        <v>1160</v>
      </c>
      <c r="P428" s="621">
        <f>F428+60</f>
        <v>1150</v>
      </c>
      <c r="Q428" s="293">
        <f t="shared" ref="Q428" si="932">+P428*$X$1</f>
        <v>1150</v>
      </c>
      <c r="R428" s="621">
        <f>F428+52</f>
        <v>1142</v>
      </c>
      <c r="S428" s="293">
        <f t="shared" ref="S428" si="933">+R428*$X$1</f>
        <v>1142</v>
      </c>
      <c r="T428" s="104">
        <f>F428+45</f>
        <v>1135</v>
      </c>
      <c r="U428" s="260">
        <f t="shared" ref="U428" si="934">+T428*$X$1</f>
        <v>1135</v>
      </c>
      <c r="V428" s="104">
        <f>F428+40</f>
        <v>1130</v>
      </c>
      <c r="W428" s="260">
        <f t="shared" ref="W428" si="935">+V428*$X$1</f>
        <v>1130</v>
      </c>
      <c r="X428" s="155"/>
      <c r="Y428" s="132"/>
      <c r="Z428" s="132"/>
      <c r="AA428" s="132"/>
      <c r="AB428" s="436"/>
    </row>
    <row r="429" spans="1:35" ht="12.6" customHeight="1" x14ac:dyDescent="0.2">
      <c r="A429" s="105"/>
      <c r="B429" s="942" t="s">
        <v>260</v>
      </c>
      <c r="C429" s="1110"/>
      <c r="D429" s="1110"/>
      <c r="E429" s="1110"/>
      <c r="F429" s="600">
        <v>60</v>
      </c>
      <c r="G429" s="600">
        <f t="shared" si="911"/>
        <v>60</v>
      </c>
      <c r="H429" s="602"/>
      <c r="I429" s="602"/>
      <c r="J429" s="602"/>
      <c r="K429" s="602"/>
      <c r="L429" s="602"/>
      <c r="M429" s="602"/>
      <c r="N429" s="602"/>
      <c r="O429" s="600"/>
      <c r="P429" s="602"/>
      <c r="Q429" s="600"/>
      <c r="R429" s="602"/>
      <c r="S429" s="600"/>
      <c r="T429" s="602"/>
      <c r="U429" s="600"/>
      <c r="V429" s="602"/>
      <c r="W429" s="600"/>
      <c r="X429" s="155"/>
      <c r="Y429" s="132"/>
      <c r="Z429" s="132"/>
      <c r="AA429" s="132"/>
      <c r="AB429" s="197">
        <v>11612</v>
      </c>
    </row>
    <row r="430" spans="1:35" ht="12.6" customHeight="1" x14ac:dyDescent="0.2">
      <c r="A430" s="18"/>
      <c r="B430" s="690" t="s">
        <v>855</v>
      </c>
      <c r="C430" s="698"/>
      <c r="D430" s="698"/>
      <c r="E430" s="699"/>
      <c r="F430" s="393">
        <f>1.47*X2</f>
        <v>1524.3899999999999</v>
      </c>
      <c r="G430" s="294">
        <f t="shared" si="911"/>
        <v>1524.3899999999999</v>
      </c>
      <c r="H430" s="492">
        <f t="shared" ref="H430:H438" si="936">F430+500</f>
        <v>2024.3899999999999</v>
      </c>
      <c r="I430" s="294">
        <f t="shared" ref="I430:I431" si="937">+H430*$X$1</f>
        <v>2024.3899999999999</v>
      </c>
      <c r="J430" s="492">
        <f t="shared" ref="J430:J438" si="938">F430+200</f>
        <v>1724.3899999999999</v>
      </c>
      <c r="K430" s="294">
        <f t="shared" ref="K430:K431" si="939">+J430*$X$1</f>
        <v>1724.3899999999999</v>
      </c>
      <c r="L430" s="492">
        <f t="shared" ref="L430:L438" si="940">F430+150</f>
        <v>1674.3899999999999</v>
      </c>
      <c r="M430" s="294">
        <f t="shared" ref="M430:M431" si="941">+L430*$X$1</f>
        <v>1674.3899999999999</v>
      </c>
      <c r="N430" s="492">
        <f t="shared" ref="N430:N438" si="942">F430+110</f>
        <v>1634.3899999999999</v>
      </c>
      <c r="O430" s="294">
        <f t="shared" ref="O430:O431" si="943">+N430*$X$1</f>
        <v>1634.3899999999999</v>
      </c>
      <c r="P430" s="492">
        <f t="shared" ref="P430:P438" si="944">F430+85</f>
        <v>1609.3899999999999</v>
      </c>
      <c r="Q430" s="294">
        <f t="shared" ref="Q430:Q431" si="945">+P430*$X$1</f>
        <v>1609.3899999999999</v>
      </c>
      <c r="R430" s="492">
        <f t="shared" ref="R430:R438" si="946">F430+65</f>
        <v>1589.3899999999999</v>
      </c>
      <c r="S430" s="294">
        <f t="shared" ref="S430:S431" si="947">+R430*$X$1</f>
        <v>1589.3899999999999</v>
      </c>
      <c r="T430" s="492">
        <f t="shared" ref="T430:T438" si="948">F430+55</f>
        <v>1579.3899999999999</v>
      </c>
      <c r="U430" s="294">
        <f t="shared" ref="U430:U431" si="949">+T430*$X$1</f>
        <v>1579.3899999999999</v>
      </c>
      <c r="V430" s="492">
        <f t="shared" ref="V430:V438" si="950">F430+43</f>
        <v>1567.3899999999999</v>
      </c>
      <c r="W430" s="294">
        <f t="shared" ref="W430:W431" si="951">+V430*$X$1</f>
        <v>1567.3899999999999</v>
      </c>
      <c r="X430" s="716"/>
      <c r="Y430" s="797"/>
      <c r="Z430" s="797"/>
      <c r="AA430" s="717"/>
      <c r="AB430" s="197" t="s">
        <v>856</v>
      </c>
    </row>
    <row r="431" spans="1:35" ht="12.6" customHeight="1" x14ac:dyDescent="0.2">
      <c r="A431" s="18"/>
      <c r="B431" s="693" t="s">
        <v>854</v>
      </c>
      <c r="C431" s="696"/>
      <c r="D431" s="696"/>
      <c r="E431" s="697"/>
      <c r="F431" s="392">
        <f>1.35*X2</f>
        <v>1399.95</v>
      </c>
      <c r="G431" s="293">
        <f t="shared" ref="G431" si="952">+F431*$X$1</f>
        <v>1399.95</v>
      </c>
      <c r="H431" s="631">
        <f t="shared" si="936"/>
        <v>1899.95</v>
      </c>
      <c r="I431" s="293">
        <f t="shared" si="937"/>
        <v>1899.95</v>
      </c>
      <c r="J431" s="631">
        <f t="shared" si="938"/>
        <v>1599.95</v>
      </c>
      <c r="K431" s="293">
        <f t="shared" si="939"/>
        <v>1599.95</v>
      </c>
      <c r="L431" s="631">
        <f t="shared" si="940"/>
        <v>1549.95</v>
      </c>
      <c r="M431" s="293">
        <f t="shared" si="941"/>
        <v>1549.95</v>
      </c>
      <c r="N431" s="631">
        <f t="shared" si="942"/>
        <v>1509.95</v>
      </c>
      <c r="O431" s="293">
        <f t="shared" si="943"/>
        <v>1509.95</v>
      </c>
      <c r="P431" s="631">
        <f t="shared" si="944"/>
        <v>1484.95</v>
      </c>
      <c r="Q431" s="293">
        <f t="shared" si="945"/>
        <v>1484.95</v>
      </c>
      <c r="R431" s="631">
        <f t="shared" si="946"/>
        <v>1464.95</v>
      </c>
      <c r="S431" s="293">
        <f t="shared" si="947"/>
        <v>1464.95</v>
      </c>
      <c r="T431" s="631">
        <f t="shared" si="948"/>
        <v>1454.95</v>
      </c>
      <c r="U431" s="293">
        <f t="shared" si="949"/>
        <v>1454.95</v>
      </c>
      <c r="V431" s="631">
        <f t="shared" si="950"/>
        <v>1442.95</v>
      </c>
      <c r="W431" s="293">
        <f t="shared" si="951"/>
        <v>1442.95</v>
      </c>
      <c r="X431" s="716"/>
      <c r="Y431" s="797"/>
      <c r="Z431" s="797"/>
      <c r="AA431" s="717"/>
      <c r="AB431" s="197" t="s">
        <v>532</v>
      </c>
    </row>
    <row r="432" spans="1:35" ht="12.6" customHeight="1" x14ac:dyDescent="0.2">
      <c r="A432" s="105"/>
      <c r="B432" s="755" t="s">
        <v>933</v>
      </c>
      <c r="C432" s="756"/>
      <c r="D432" s="756"/>
      <c r="E432" s="756"/>
      <c r="F432" s="393">
        <f>1.882*X2</f>
        <v>1951.6339999999998</v>
      </c>
      <c r="G432" s="294">
        <f>+F432*$X$1</f>
        <v>1951.6339999999998</v>
      </c>
      <c r="H432" s="492">
        <f t="shared" si="936"/>
        <v>2451.634</v>
      </c>
      <c r="I432" s="294">
        <f t="shared" ref="I432" si="953">+H432*$X$1</f>
        <v>2451.634</v>
      </c>
      <c r="J432" s="492">
        <f t="shared" si="938"/>
        <v>2151.634</v>
      </c>
      <c r="K432" s="294">
        <f t="shared" ref="K432" si="954">+J432*$X$1</f>
        <v>2151.634</v>
      </c>
      <c r="L432" s="492">
        <f t="shared" si="940"/>
        <v>2101.634</v>
      </c>
      <c r="M432" s="294">
        <f t="shared" ref="M432" si="955">+L432*$X$1</f>
        <v>2101.634</v>
      </c>
      <c r="N432" s="492">
        <f t="shared" si="942"/>
        <v>2061.634</v>
      </c>
      <c r="O432" s="294">
        <f t="shared" ref="O432" si="956">+N432*$X$1</f>
        <v>2061.634</v>
      </c>
      <c r="P432" s="492">
        <f t="shared" si="944"/>
        <v>2036.6339999999998</v>
      </c>
      <c r="Q432" s="294">
        <f t="shared" ref="Q432" si="957">+P432*$X$1</f>
        <v>2036.6339999999998</v>
      </c>
      <c r="R432" s="492">
        <f t="shared" si="946"/>
        <v>2016.6339999999998</v>
      </c>
      <c r="S432" s="294">
        <f t="shared" ref="S432" si="958">+R432*$X$1</f>
        <v>2016.6339999999998</v>
      </c>
      <c r="T432" s="492">
        <f t="shared" si="948"/>
        <v>2006.6339999999998</v>
      </c>
      <c r="U432" s="294">
        <f t="shared" ref="U432" si="959">+T432*$X$1</f>
        <v>2006.6339999999998</v>
      </c>
      <c r="V432" s="492">
        <f t="shared" si="950"/>
        <v>1994.6339999999998</v>
      </c>
      <c r="W432" s="294">
        <f t="shared" ref="W432" si="960">+V432*$X$1</f>
        <v>1994.6339999999998</v>
      </c>
      <c r="X432" s="716"/>
      <c r="Y432" s="716"/>
      <c r="Z432" s="716"/>
      <c r="AA432" s="716"/>
      <c r="AB432" s="420" t="s">
        <v>934</v>
      </c>
      <c r="AC432" s="66"/>
    </row>
    <row r="433" spans="1:33" ht="12.6" customHeight="1" x14ac:dyDescent="0.2">
      <c r="A433" s="105"/>
      <c r="B433" s="755" t="s">
        <v>932</v>
      </c>
      <c r="C433" s="756"/>
      <c r="D433" s="756"/>
      <c r="E433" s="756"/>
      <c r="F433" s="392">
        <f>4.76*X2</f>
        <v>4936.12</v>
      </c>
      <c r="G433" s="293">
        <f>+F433*$X$1</f>
        <v>4936.12</v>
      </c>
      <c r="H433" s="631">
        <f t="shared" si="936"/>
        <v>5436.12</v>
      </c>
      <c r="I433" s="293">
        <f t="shared" ref="I433:I438" si="961">+H433*$X$1</f>
        <v>5436.12</v>
      </c>
      <c r="J433" s="631">
        <f t="shared" si="938"/>
        <v>5136.12</v>
      </c>
      <c r="K433" s="293">
        <f t="shared" ref="K433:K438" si="962">+J433*$X$1</f>
        <v>5136.12</v>
      </c>
      <c r="L433" s="631">
        <f t="shared" si="940"/>
        <v>5086.12</v>
      </c>
      <c r="M433" s="293">
        <f t="shared" ref="M433:M438" si="963">+L433*$X$1</f>
        <v>5086.12</v>
      </c>
      <c r="N433" s="631">
        <f t="shared" si="942"/>
        <v>5046.12</v>
      </c>
      <c r="O433" s="293">
        <f t="shared" ref="O433:O438" si="964">+N433*$X$1</f>
        <v>5046.12</v>
      </c>
      <c r="P433" s="631">
        <f t="shared" si="944"/>
        <v>5021.12</v>
      </c>
      <c r="Q433" s="293">
        <f t="shared" ref="Q433:Q438" si="965">+P433*$X$1</f>
        <v>5021.12</v>
      </c>
      <c r="R433" s="631">
        <f t="shared" si="946"/>
        <v>5001.12</v>
      </c>
      <c r="S433" s="293">
        <f t="shared" ref="S433:S438" si="966">+R433*$X$1</f>
        <v>5001.12</v>
      </c>
      <c r="T433" s="631">
        <f t="shared" si="948"/>
        <v>4991.12</v>
      </c>
      <c r="U433" s="293">
        <f t="shared" ref="U433:U438" si="967">+T433*$X$1</f>
        <v>4991.12</v>
      </c>
      <c r="V433" s="631">
        <f t="shared" si="950"/>
        <v>4979.12</v>
      </c>
      <c r="W433" s="293">
        <f t="shared" ref="W433:W438" si="968">+V433*$X$1</f>
        <v>4979.12</v>
      </c>
      <c r="X433" s="716"/>
      <c r="Y433" s="716"/>
      <c r="Z433" s="716"/>
      <c r="AA433" s="716"/>
      <c r="AB433" s="420" t="s">
        <v>931</v>
      </c>
      <c r="AC433" s="66"/>
    </row>
    <row r="434" spans="1:33" ht="12.6" customHeight="1" x14ac:dyDescent="0.2">
      <c r="A434" s="105"/>
      <c r="B434" s="710" t="s">
        <v>681</v>
      </c>
      <c r="C434" s="711"/>
      <c r="D434" s="711"/>
      <c r="E434" s="711"/>
      <c r="F434" s="393">
        <f>4.1*X2</f>
        <v>4251.7</v>
      </c>
      <c r="G434" s="294">
        <f>+F434*$X$1</f>
        <v>4251.7</v>
      </c>
      <c r="H434" s="492">
        <f t="shared" si="936"/>
        <v>4751.7</v>
      </c>
      <c r="I434" s="294">
        <f t="shared" si="961"/>
        <v>4751.7</v>
      </c>
      <c r="J434" s="492">
        <f t="shared" si="938"/>
        <v>4451.7</v>
      </c>
      <c r="K434" s="294">
        <f t="shared" si="962"/>
        <v>4451.7</v>
      </c>
      <c r="L434" s="492">
        <f t="shared" si="940"/>
        <v>4401.7</v>
      </c>
      <c r="M434" s="294">
        <f t="shared" si="963"/>
        <v>4401.7</v>
      </c>
      <c r="N434" s="492">
        <f t="shared" si="942"/>
        <v>4361.7</v>
      </c>
      <c r="O434" s="294">
        <f t="shared" si="964"/>
        <v>4361.7</v>
      </c>
      <c r="P434" s="492">
        <f t="shared" si="944"/>
        <v>4336.7</v>
      </c>
      <c r="Q434" s="294">
        <f t="shared" si="965"/>
        <v>4336.7</v>
      </c>
      <c r="R434" s="492">
        <f t="shared" si="946"/>
        <v>4316.7</v>
      </c>
      <c r="S434" s="294">
        <f t="shared" si="966"/>
        <v>4316.7</v>
      </c>
      <c r="T434" s="492">
        <f t="shared" si="948"/>
        <v>4306.7</v>
      </c>
      <c r="U434" s="294">
        <f t="shared" si="967"/>
        <v>4306.7</v>
      </c>
      <c r="V434" s="492">
        <f t="shared" si="950"/>
        <v>4294.7</v>
      </c>
      <c r="W434" s="294">
        <f t="shared" si="968"/>
        <v>4294.7</v>
      </c>
      <c r="X434" s="716"/>
      <c r="Y434" s="716"/>
      <c r="Z434" s="716"/>
      <c r="AA434" s="716"/>
      <c r="AB434" s="420" t="s">
        <v>680</v>
      </c>
      <c r="AC434" s="66"/>
    </row>
    <row r="435" spans="1:33" ht="12.6" customHeight="1" x14ac:dyDescent="0.2">
      <c r="A435" s="105"/>
      <c r="B435" s="979" t="s">
        <v>671</v>
      </c>
      <c r="C435" s="981"/>
      <c r="D435" s="981"/>
      <c r="E435" s="981"/>
      <c r="F435" s="392">
        <f>4.836*X2</f>
        <v>5014.9320000000007</v>
      </c>
      <c r="G435" s="293">
        <f t="shared" ref="G435:G437" si="969">+F435*$X$1</f>
        <v>5014.9320000000007</v>
      </c>
      <c r="H435" s="631">
        <f t="shared" si="936"/>
        <v>5514.9320000000007</v>
      </c>
      <c r="I435" s="293">
        <f t="shared" si="961"/>
        <v>5514.9320000000007</v>
      </c>
      <c r="J435" s="631">
        <f t="shared" si="938"/>
        <v>5214.9320000000007</v>
      </c>
      <c r="K435" s="293">
        <f t="shared" si="962"/>
        <v>5214.9320000000007</v>
      </c>
      <c r="L435" s="631">
        <f t="shared" si="940"/>
        <v>5164.9320000000007</v>
      </c>
      <c r="M435" s="293">
        <f t="shared" si="963"/>
        <v>5164.9320000000007</v>
      </c>
      <c r="N435" s="631">
        <f t="shared" si="942"/>
        <v>5124.9320000000007</v>
      </c>
      <c r="O435" s="293">
        <f t="shared" si="964"/>
        <v>5124.9320000000007</v>
      </c>
      <c r="P435" s="631">
        <f t="shared" si="944"/>
        <v>5099.9320000000007</v>
      </c>
      <c r="Q435" s="293">
        <f t="shared" si="965"/>
        <v>5099.9320000000007</v>
      </c>
      <c r="R435" s="631">
        <f t="shared" si="946"/>
        <v>5079.9320000000007</v>
      </c>
      <c r="S435" s="293">
        <f t="shared" si="966"/>
        <v>5079.9320000000007</v>
      </c>
      <c r="T435" s="631">
        <f t="shared" si="948"/>
        <v>5069.9320000000007</v>
      </c>
      <c r="U435" s="293">
        <f t="shared" si="967"/>
        <v>5069.9320000000007</v>
      </c>
      <c r="V435" s="631">
        <f t="shared" si="950"/>
        <v>5057.9320000000007</v>
      </c>
      <c r="W435" s="293">
        <f t="shared" si="968"/>
        <v>5057.9320000000007</v>
      </c>
      <c r="X435" s="716"/>
      <c r="Y435" s="716"/>
      <c r="Z435" s="716"/>
      <c r="AA435" s="716"/>
      <c r="AB435" s="420" t="s">
        <v>670</v>
      </c>
      <c r="AC435" s="66"/>
    </row>
    <row r="436" spans="1:33" ht="12.6" customHeight="1" x14ac:dyDescent="0.2">
      <c r="A436" s="105"/>
      <c r="B436" s="710" t="s">
        <v>674</v>
      </c>
      <c r="C436" s="711"/>
      <c r="D436" s="711"/>
      <c r="E436" s="711"/>
      <c r="F436" s="393">
        <f>4.056*X2</f>
        <v>4206.0720000000001</v>
      </c>
      <c r="G436" s="294">
        <f t="shared" si="969"/>
        <v>4206.0720000000001</v>
      </c>
      <c r="H436" s="492">
        <f t="shared" si="936"/>
        <v>4706.0720000000001</v>
      </c>
      <c r="I436" s="294">
        <f t="shared" si="961"/>
        <v>4706.0720000000001</v>
      </c>
      <c r="J436" s="492">
        <f t="shared" si="938"/>
        <v>4406.0720000000001</v>
      </c>
      <c r="K436" s="294">
        <f t="shared" si="962"/>
        <v>4406.0720000000001</v>
      </c>
      <c r="L436" s="492">
        <f t="shared" si="940"/>
        <v>4356.0720000000001</v>
      </c>
      <c r="M436" s="294">
        <f t="shared" si="963"/>
        <v>4356.0720000000001</v>
      </c>
      <c r="N436" s="492">
        <f t="shared" si="942"/>
        <v>4316.0720000000001</v>
      </c>
      <c r="O436" s="294">
        <f t="shared" si="964"/>
        <v>4316.0720000000001</v>
      </c>
      <c r="P436" s="492">
        <f t="shared" si="944"/>
        <v>4291.0720000000001</v>
      </c>
      <c r="Q436" s="294">
        <f t="shared" si="965"/>
        <v>4291.0720000000001</v>
      </c>
      <c r="R436" s="492">
        <f t="shared" si="946"/>
        <v>4271.0720000000001</v>
      </c>
      <c r="S436" s="294">
        <f t="shared" si="966"/>
        <v>4271.0720000000001</v>
      </c>
      <c r="T436" s="492">
        <f t="shared" si="948"/>
        <v>4261.0720000000001</v>
      </c>
      <c r="U436" s="294">
        <f t="shared" si="967"/>
        <v>4261.0720000000001</v>
      </c>
      <c r="V436" s="492">
        <f t="shared" si="950"/>
        <v>4249.0720000000001</v>
      </c>
      <c r="W436" s="294">
        <f t="shared" si="968"/>
        <v>4249.0720000000001</v>
      </c>
      <c r="X436" s="716"/>
      <c r="Y436" s="716"/>
      <c r="Z436" s="716"/>
      <c r="AA436" s="716"/>
      <c r="AB436" s="420" t="s">
        <v>672</v>
      </c>
      <c r="AC436" s="66"/>
    </row>
    <row r="437" spans="1:33" ht="12.6" customHeight="1" x14ac:dyDescent="0.2">
      <c r="A437" s="105"/>
      <c r="B437" s="979" t="s">
        <v>675</v>
      </c>
      <c r="C437" s="981"/>
      <c r="D437" s="981"/>
      <c r="E437" s="981"/>
      <c r="F437" s="392">
        <f>4.056*X2</f>
        <v>4206.0720000000001</v>
      </c>
      <c r="G437" s="293">
        <f t="shared" si="969"/>
        <v>4206.0720000000001</v>
      </c>
      <c r="H437" s="621">
        <f t="shared" si="936"/>
        <v>4706.0720000000001</v>
      </c>
      <c r="I437" s="293">
        <f t="shared" si="961"/>
        <v>4706.0720000000001</v>
      </c>
      <c r="J437" s="621">
        <f t="shared" si="938"/>
        <v>4406.0720000000001</v>
      </c>
      <c r="K437" s="293">
        <f t="shared" si="962"/>
        <v>4406.0720000000001</v>
      </c>
      <c r="L437" s="621">
        <f t="shared" si="940"/>
        <v>4356.0720000000001</v>
      </c>
      <c r="M437" s="293">
        <f t="shared" si="963"/>
        <v>4356.0720000000001</v>
      </c>
      <c r="N437" s="621">
        <f t="shared" si="942"/>
        <v>4316.0720000000001</v>
      </c>
      <c r="O437" s="293">
        <f t="shared" si="964"/>
        <v>4316.0720000000001</v>
      </c>
      <c r="P437" s="621">
        <f t="shared" si="944"/>
        <v>4291.0720000000001</v>
      </c>
      <c r="Q437" s="293">
        <f t="shared" si="965"/>
        <v>4291.0720000000001</v>
      </c>
      <c r="R437" s="621">
        <f t="shared" si="946"/>
        <v>4271.0720000000001</v>
      </c>
      <c r="S437" s="293">
        <f t="shared" si="966"/>
        <v>4271.0720000000001</v>
      </c>
      <c r="T437" s="621">
        <f t="shared" si="948"/>
        <v>4261.0720000000001</v>
      </c>
      <c r="U437" s="293">
        <f t="shared" si="967"/>
        <v>4261.0720000000001</v>
      </c>
      <c r="V437" s="621">
        <f t="shared" si="950"/>
        <v>4249.0720000000001</v>
      </c>
      <c r="W437" s="293">
        <f t="shared" si="968"/>
        <v>4249.0720000000001</v>
      </c>
      <c r="X437" s="716"/>
      <c r="Y437" s="716"/>
      <c r="Z437" s="716"/>
      <c r="AA437" s="716"/>
      <c r="AB437" s="420" t="s">
        <v>673</v>
      </c>
      <c r="AC437" s="66"/>
    </row>
    <row r="438" spans="1:33" ht="12.6" customHeight="1" x14ac:dyDescent="0.2">
      <c r="A438" s="105"/>
      <c r="B438" s="710" t="s">
        <v>676</v>
      </c>
      <c r="C438" s="711"/>
      <c r="D438" s="711"/>
      <c r="E438" s="711"/>
      <c r="F438" s="393">
        <f>4.036*X2</f>
        <v>4185.3319999999994</v>
      </c>
      <c r="G438" s="294">
        <f t="shared" ref="G438" si="970">+F438*$X$1</f>
        <v>4185.3319999999994</v>
      </c>
      <c r="H438" s="492">
        <f t="shared" si="936"/>
        <v>4685.3319999999994</v>
      </c>
      <c r="I438" s="294">
        <f t="shared" si="961"/>
        <v>4685.3319999999994</v>
      </c>
      <c r="J438" s="492">
        <f t="shared" si="938"/>
        <v>4385.3319999999994</v>
      </c>
      <c r="K438" s="294">
        <f t="shared" si="962"/>
        <v>4385.3319999999994</v>
      </c>
      <c r="L438" s="492">
        <f t="shared" si="940"/>
        <v>4335.3319999999994</v>
      </c>
      <c r="M438" s="294">
        <f t="shared" si="963"/>
        <v>4335.3319999999994</v>
      </c>
      <c r="N438" s="492">
        <f t="shared" si="942"/>
        <v>4295.3319999999994</v>
      </c>
      <c r="O438" s="294">
        <f t="shared" si="964"/>
        <v>4295.3319999999994</v>
      </c>
      <c r="P438" s="492">
        <f t="shared" si="944"/>
        <v>4270.3319999999994</v>
      </c>
      <c r="Q438" s="294">
        <f t="shared" si="965"/>
        <v>4270.3319999999994</v>
      </c>
      <c r="R438" s="492">
        <f t="shared" si="946"/>
        <v>4250.3319999999994</v>
      </c>
      <c r="S438" s="294">
        <f t="shared" si="966"/>
        <v>4250.3319999999994</v>
      </c>
      <c r="T438" s="492">
        <f t="shared" si="948"/>
        <v>4240.3319999999994</v>
      </c>
      <c r="U438" s="294">
        <f t="shared" si="967"/>
        <v>4240.3319999999994</v>
      </c>
      <c r="V438" s="492">
        <f t="shared" si="950"/>
        <v>4228.3319999999994</v>
      </c>
      <c r="W438" s="294">
        <f t="shared" si="968"/>
        <v>4228.3319999999994</v>
      </c>
      <c r="X438" s="716"/>
      <c r="Y438" s="716"/>
      <c r="Z438" s="716"/>
      <c r="AA438" s="716"/>
      <c r="AB438" s="420" t="s">
        <v>677</v>
      </c>
      <c r="AC438" s="66"/>
    </row>
    <row r="439" spans="1:33" ht="12.6" customHeight="1" x14ac:dyDescent="0.2">
      <c r="A439" s="105"/>
      <c r="B439" s="755" t="s">
        <v>929</v>
      </c>
      <c r="C439" s="756"/>
      <c r="D439" s="756"/>
      <c r="E439" s="756"/>
      <c r="F439" s="392">
        <f>3.77*X2</f>
        <v>3909.4900000000002</v>
      </c>
      <c r="G439" s="293">
        <f t="shared" ref="G439" si="971">+F439*$X$1</f>
        <v>3909.4900000000002</v>
      </c>
      <c r="H439" s="621"/>
      <c r="I439" s="293"/>
      <c r="J439" s="621">
        <f>F439+300</f>
        <v>4209.49</v>
      </c>
      <c r="K439" s="293">
        <f t="shared" ref="K439" si="972">+J439*$X$1</f>
        <v>4209.49</v>
      </c>
      <c r="L439" s="621">
        <f>F439+240</f>
        <v>4149.49</v>
      </c>
      <c r="M439" s="293">
        <f t="shared" ref="M439" si="973">+L439*$X$1</f>
        <v>4149.49</v>
      </c>
      <c r="N439" s="621">
        <f>F439+200</f>
        <v>4109.49</v>
      </c>
      <c r="O439" s="293">
        <f t="shared" ref="O439" si="974">+N439*$X$1</f>
        <v>4109.49</v>
      </c>
      <c r="P439" s="621">
        <f>F439+160</f>
        <v>4069.4900000000002</v>
      </c>
      <c r="Q439" s="293">
        <f t="shared" ref="Q439" si="975">+P439*$X$1</f>
        <v>4069.4900000000002</v>
      </c>
      <c r="R439" s="621">
        <f>F439+140</f>
        <v>4049.4900000000002</v>
      </c>
      <c r="S439" s="293">
        <f t="shared" ref="S439" si="976">+R439*$X$1</f>
        <v>4049.4900000000002</v>
      </c>
      <c r="T439" s="621">
        <f>F439+110</f>
        <v>4019.4900000000002</v>
      </c>
      <c r="U439" s="293">
        <f t="shared" ref="U439" si="977">+T439*$X$1</f>
        <v>4019.4900000000002</v>
      </c>
      <c r="V439" s="621">
        <f>F439+90</f>
        <v>3999.4900000000002</v>
      </c>
      <c r="W439" s="293">
        <f t="shared" ref="W439" si="978">+V439*$X$1</f>
        <v>3999.4900000000002</v>
      </c>
      <c r="X439" s="716"/>
      <c r="Y439" s="716"/>
      <c r="Z439" s="716"/>
      <c r="AA439" s="716"/>
      <c r="AB439" s="420" t="s">
        <v>930</v>
      </c>
      <c r="AC439" s="66"/>
    </row>
    <row r="440" spans="1:33" ht="12.6" customHeight="1" x14ac:dyDescent="0.2">
      <c r="A440" s="18"/>
      <c r="B440" s="690" t="s">
        <v>353</v>
      </c>
      <c r="C440" s="698"/>
      <c r="D440" s="698"/>
      <c r="E440" s="699"/>
      <c r="F440" s="339">
        <v>1225</v>
      </c>
      <c r="G440" s="294">
        <f t="shared" ref="G440:G450" si="979">+F440*$X$1</f>
        <v>1225</v>
      </c>
      <c r="H440" s="265"/>
      <c r="I440" s="1166" t="s">
        <v>518</v>
      </c>
      <c r="J440" s="1179"/>
      <c r="K440" s="1179"/>
      <c r="L440" s="1179"/>
      <c r="M440" s="1180"/>
      <c r="N440" s="492">
        <v>1750</v>
      </c>
      <c r="O440" s="294">
        <f>+N440*$X$1</f>
        <v>1750</v>
      </c>
      <c r="P440" s="106">
        <v>1745</v>
      </c>
      <c r="Q440" s="294">
        <f t="shared" ref="Q440" si="980">+P440*$X$1</f>
        <v>1745</v>
      </c>
      <c r="R440" s="492">
        <v>1571</v>
      </c>
      <c r="S440" s="294">
        <f>+R440*$X$1</f>
        <v>1571</v>
      </c>
      <c r="T440" s="492">
        <v>1462</v>
      </c>
      <c r="U440" s="294">
        <f>+T440*$X$1</f>
        <v>1462</v>
      </c>
      <c r="V440" s="492">
        <v>1419</v>
      </c>
      <c r="W440" s="294">
        <f t="shared" ref="W440" si="981">+V440*$X$1</f>
        <v>1419</v>
      </c>
      <c r="X440" s="136"/>
      <c r="Y440" s="136"/>
      <c r="Z440" s="136"/>
      <c r="AA440" s="139"/>
      <c r="AB440" s="29"/>
    </row>
    <row r="441" spans="1:33" ht="12.6" customHeight="1" x14ac:dyDescent="0.2">
      <c r="A441" s="18"/>
      <c r="B441" s="693" t="s">
        <v>354</v>
      </c>
      <c r="C441" s="696"/>
      <c r="D441" s="696"/>
      <c r="E441" s="697"/>
      <c r="F441" s="340">
        <v>1225</v>
      </c>
      <c r="G441" s="293">
        <f t="shared" si="979"/>
        <v>1225</v>
      </c>
      <c r="H441" s="265"/>
      <c r="I441" s="1181"/>
      <c r="J441" s="1182"/>
      <c r="K441" s="1182"/>
      <c r="L441" s="1182"/>
      <c r="M441" s="1183"/>
      <c r="N441" s="593">
        <v>1750</v>
      </c>
      <c r="O441" s="293">
        <f>+N441*$X$1</f>
        <v>1750</v>
      </c>
      <c r="P441" s="102">
        <v>1745</v>
      </c>
      <c r="Q441" s="293">
        <f t="shared" ref="Q441:Q442" si="982">+P441*$X$1</f>
        <v>1745</v>
      </c>
      <c r="R441" s="593">
        <v>1571</v>
      </c>
      <c r="S441" s="293">
        <f>+R441*$X$1</f>
        <v>1571</v>
      </c>
      <c r="T441" s="593">
        <v>1462</v>
      </c>
      <c r="U441" s="293">
        <f>+T441*$X$1</f>
        <v>1462</v>
      </c>
      <c r="V441" s="593">
        <v>1419</v>
      </c>
      <c r="W441" s="293">
        <f t="shared" ref="W441:W442" si="983">+V441*$X$1</f>
        <v>1419</v>
      </c>
      <c r="X441" s="136"/>
      <c r="Y441" s="136"/>
      <c r="Z441" s="136"/>
      <c r="AA441" s="139"/>
      <c r="AB441" s="197"/>
    </row>
    <row r="442" spans="1:33" ht="12.6" customHeight="1" x14ac:dyDescent="0.2">
      <c r="A442" s="18"/>
      <c r="B442" s="690" t="s">
        <v>355</v>
      </c>
      <c r="C442" s="698"/>
      <c r="D442" s="698"/>
      <c r="E442" s="699"/>
      <c r="F442" s="339">
        <v>1225</v>
      </c>
      <c r="G442" s="294">
        <f t="shared" si="979"/>
        <v>1225</v>
      </c>
      <c r="H442" s="17"/>
      <c r="I442" s="1184"/>
      <c r="J442" s="1185"/>
      <c r="K442" s="1185"/>
      <c r="L442" s="1185"/>
      <c r="M442" s="1186"/>
      <c r="N442" s="492">
        <v>1750</v>
      </c>
      <c r="O442" s="294">
        <f>+N442*$X$1</f>
        <v>1750</v>
      </c>
      <c r="P442" s="106">
        <v>1745</v>
      </c>
      <c r="Q442" s="294">
        <f t="shared" si="982"/>
        <v>1745</v>
      </c>
      <c r="R442" s="492">
        <v>1571</v>
      </c>
      <c r="S442" s="294">
        <f>+R442*$X$1</f>
        <v>1571</v>
      </c>
      <c r="T442" s="492">
        <v>1462</v>
      </c>
      <c r="U442" s="294">
        <f>+T442*$X$1</f>
        <v>1462</v>
      </c>
      <c r="V442" s="492">
        <v>1419</v>
      </c>
      <c r="W442" s="294">
        <f t="shared" si="983"/>
        <v>1419</v>
      </c>
      <c r="X442" s="136"/>
      <c r="Y442" s="136"/>
      <c r="Z442" s="136"/>
      <c r="AA442" s="139"/>
      <c r="AB442" s="197"/>
      <c r="AG442" s="233"/>
    </row>
    <row r="443" spans="1:33" ht="12.6" customHeight="1" x14ac:dyDescent="0.2">
      <c r="A443" s="18"/>
      <c r="B443" s="1011" t="s">
        <v>261</v>
      </c>
      <c r="C443" s="1096"/>
      <c r="D443" s="1096"/>
      <c r="E443" s="1096"/>
      <c r="F443" s="392">
        <f>3.11*X2</f>
        <v>3225.0699999999997</v>
      </c>
      <c r="G443" s="293">
        <f t="shared" si="979"/>
        <v>3225.0699999999997</v>
      </c>
      <c r="H443" s="286"/>
      <c r="I443" s="286"/>
      <c r="J443" s="596">
        <f>F443+200</f>
        <v>3425.0699999999997</v>
      </c>
      <c r="K443" s="293">
        <f>+J443*$X$1</f>
        <v>3425.0699999999997</v>
      </c>
      <c r="L443" s="596">
        <f>F443+140</f>
        <v>3365.0699999999997</v>
      </c>
      <c r="M443" s="293">
        <f>+L443*$X$1</f>
        <v>3365.0699999999997</v>
      </c>
      <c r="N443" s="596">
        <f>F443+70</f>
        <v>3295.0699999999997</v>
      </c>
      <c r="O443" s="293">
        <f>+N443*$X$1</f>
        <v>3295.0699999999997</v>
      </c>
      <c r="P443" s="596">
        <f>F443+60</f>
        <v>3285.0699999999997</v>
      </c>
      <c r="Q443" s="293">
        <f>+P443*$X$1</f>
        <v>3285.0699999999997</v>
      </c>
      <c r="R443" s="596">
        <f>F443+50</f>
        <v>3275.0699999999997</v>
      </c>
      <c r="S443" s="293">
        <f>+R443*$X$1</f>
        <v>3275.0699999999997</v>
      </c>
      <c r="T443" s="104">
        <f>F443+44</f>
        <v>3269.0699999999997</v>
      </c>
      <c r="U443" s="260">
        <f>+T443*$X$1</f>
        <v>3269.0699999999997</v>
      </c>
      <c r="V443" s="104">
        <f>F443+38</f>
        <v>3263.0699999999997</v>
      </c>
      <c r="W443" s="260">
        <f>+V443*$X$1</f>
        <v>3263.0699999999997</v>
      </c>
      <c r="X443" s="700"/>
      <c r="Y443" s="700"/>
      <c r="Z443" s="700"/>
      <c r="AA443" s="687"/>
      <c r="AB443" s="197" t="s">
        <v>262</v>
      </c>
    </row>
    <row r="444" spans="1:33" ht="12.6" customHeight="1" x14ac:dyDescent="0.2">
      <c r="A444" s="18"/>
      <c r="B444" s="704" t="s">
        <v>411</v>
      </c>
      <c r="C444" s="705"/>
      <c r="D444" s="705"/>
      <c r="E444" s="705"/>
      <c r="F444" s="393">
        <f>1.1*X2</f>
        <v>1140.7</v>
      </c>
      <c r="G444" s="294">
        <f t="shared" si="979"/>
        <v>1140.7</v>
      </c>
      <c r="H444" s="285"/>
      <c r="I444" s="285"/>
      <c r="J444" s="492">
        <f>F444+200</f>
        <v>1340.7</v>
      </c>
      <c r="K444" s="294">
        <f>+J444*$X$1</f>
        <v>1340.7</v>
      </c>
      <c r="L444" s="492">
        <f>F444+140</f>
        <v>1280.7</v>
      </c>
      <c r="M444" s="294">
        <f>+L444*$X$1</f>
        <v>1280.7</v>
      </c>
      <c r="N444" s="492">
        <f>F444+70</f>
        <v>1210.7</v>
      </c>
      <c r="O444" s="294">
        <f>+N444*$X$1</f>
        <v>1210.7</v>
      </c>
      <c r="P444" s="492">
        <f>F444+60</f>
        <v>1200.7</v>
      </c>
      <c r="Q444" s="294">
        <f>+P444*$X$1</f>
        <v>1200.7</v>
      </c>
      <c r="R444" s="492">
        <f>F444+50</f>
        <v>1190.7</v>
      </c>
      <c r="S444" s="294">
        <f>+R444*$X$1</f>
        <v>1190.7</v>
      </c>
      <c r="T444" s="103">
        <f>F444+44</f>
        <v>1184.7</v>
      </c>
      <c r="U444" s="313">
        <f>+T444*$X$1</f>
        <v>1184.7</v>
      </c>
      <c r="V444" s="103">
        <f>F444+38</f>
        <v>1178.7</v>
      </c>
      <c r="W444" s="313">
        <f>+V444*$X$1</f>
        <v>1178.7</v>
      </c>
      <c r="X444" s="700"/>
      <c r="Y444" s="700"/>
      <c r="Z444" s="700"/>
      <c r="AA444" s="687"/>
      <c r="AB444" s="197" t="s">
        <v>448</v>
      </c>
    </row>
    <row r="445" spans="1:33" s="66" customFormat="1" ht="12.6" customHeight="1" x14ac:dyDescent="0.25">
      <c r="A445" s="98"/>
      <c r="B445" s="937" t="s">
        <v>351</v>
      </c>
      <c r="C445" s="1187"/>
      <c r="D445" s="1187"/>
      <c r="E445" s="1187"/>
      <c r="F445" s="340">
        <v>635</v>
      </c>
      <c r="G445" s="293">
        <f t="shared" si="979"/>
        <v>635</v>
      </c>
      <c r="H445" s="284"/>
      <c r="I445" s="1166" t="s">
        <v>514</v>
      </c>
      <c r="J445" s="1167"/>
      <c r="K445" s="1167"/>
      <c r="L445" s="1168"/>
      <c r="M445" s="1169"/>
      <c r="N445" s="593">
        <v>1243</v>
      </c>
      <c r="O445" s="293">
        <f t="shared" ref="O445:O454" si="984">+N445*$X$1</f>
        <v>1243</v>
      </c>
      <c r="P445" s="304">
        <v>1238</v>
      </c>
      <c r="Q445" s="293">
        <f t="shared" ref="Q445:Q454" si="985">+P445*$X$1</f>
        <v>1238</v>
      </c>
      <c r="R445" s="593">
        <v>1143</v>
      </c>
      <c r="S445" s="293">
        <f t="shared" ref="S445:S454" si="986">+R445*$X$1</f>
        <v>1143</v>
      </c>
      <c r="T445" s="593">
        <v>1039</v>
      </c>
      <c r="U445" s="293">
        <f t="shared" ref="U445:U454" si="987">+T445*$X$1</f>
        <v>1039</v>
      </c>
      <c r="V445" s="593">
        <v>989</v>
      </c>
      <c r="W445" s="293">
        <f t="shared" ref="W445:W454" si="988">+V445*$X$1</f>
        <v>989</v>
      </c>
      <c r="X445" s="153"/>
      <c r="Y445" s="153"/>
      <c r="Z445" s="153"/>
      <c r="AA445" s="154"/>
      <c r="AB445" s="437" t="s">
        <v>263</v>
      </c>
    </row>
    <row r="446" spans="1:33" s="66" customFormat="1" ht="12.6" customHeight="1" x14ac:dyDescent="0.25">
      <c r="A446" s="98"/>
      <c r="B446" s="704" t="s">
        <v>352</v>
      </c>
      <c r="C446" s="705"/>
      <c r="D446" s="705"/>
      <c r="E446" s="705"/>
      <c r="F446" s="339">
        <v>635</v>
      </c>
      <c r="G446" s="294">
        <f t="shared" si="979"/>
        <v>635</v>
      </c>
      <c r="H446" s="290"/>
      <c r="I446" s="1170"/>
      <c r="J446" s="1171"/>
      <c r="K446" s="1171"/>
      <c r="L446" s="1172"/>
      <c r="M446" s="1173"/>
      <c r="N446" s="492">
        <v>1562</v>
      </c>
      <c r="O446" s="294">
        <f t="shared" si="984"/>
        <v>1562</v>
      </c>
      <c r="P446" s="303">
        <v>1557</v>
      </c>
      <c r="Q446" s="294">
        <f t="shared" si="985"/>
        <v>1557</v>
      </c>
      <c r="R446" s="492">
        <v>1471</v>
      </c>
      <c r="S446" s="294">
        <f t="shared" si="986"/>
        <v>1471</v>
      </c>
      <c r="T446" s="492">
        <v>1416</v>
      </c>
      <c r="U446" s="294">
        <f t="shared" si="987"/>
        <v>1416</v>
      </c>
      <c r="V446" s="492">
        <v>1347</v>
      </c>
      <c r="W446" s="294">
        <f t="shared" si="988"/>
        <v>1347</v>
      </c>
      <c r="X446" s="175"/>
      <c r="Y446" s="136"/>
      <c r="Z446" s="136"/>
      <c r="AA446" s="139"/>
      <c r="AB446" s="438"/>
    </row>
    <row r="447" spans="1:33" s="66" customFormat="1" ht="12.6" customHeight="1" x14ac:dyDescent="0.25">
      <c r="A447" s="98"/>
      <c r="B447" s="683" t="s">
        <v>367</v>
      </c>
      <c r="C447" s="712"/>
      <c r="D447" s="712"/>
      <c r="E447" s="712"/>
      <c r="F447" s="340">
        <v>635</v>
      </c>
      <c r="G447" s="293">
        <f t="shared" si="979"/>
        <v>635</v>
      </c>
      <c r="H447" s="282"/>
      <c r="I447" s="1170"/>
      <c r="J447" s="1171"/>
      <c r="K447" s="1171"/>
      <c r="L447" s="1172"/>
      <c r="M447" s="1173"/>
      <c r="N447" s="593">
        <v>1243</v>
      </c>
      <c r="O447" s="293">
        <f t="shared" ref="O447:O448" si="989">+N447*$X$1</f>
        <v>1243</v>
      </c>
      <c r="P447" s="304">
        <v>1238</v>
      </c>
      <c r="Q447" s="293">
        <f t="shared" ref="Q447:Q448" si="990">+P447*$X$1</f>
        <v>1238</v>
      </c>
      <c r="R447" s="593">
        <v>1143</v>
      </c>
      <c r="S447" s="293">
        <f t="shared" ref="S447:S448" si="991">+R447*$X$1</f>
        <v>1143</v>
      </c>
      <c r="T447" s="593">
        <v>1039</v>
      </c>
      <c r="U447" s="293">
        <f t="shared" ref="U447:U448" si="992">+T447*$X$1</f>
        <v>1039</v>
      </c>
      <c r="V447" s="593">
        <v>989</v>
      </c>
      <c r="W447" s="293">
        <f t="shared" ref="W447:W448" si="993">+V447*$X$1</f>
        <v>989</v>
      </c>
      <c r="X447" s="136"/>
      <c r="Y447" s="136"/>
      <c r="Z447" s="136"/>
      <c r="AA447" s="139"/>
      <c r="AB447" s="437" t="s">
        <v>264</v>
      </c>
    </row>
    <row r="448" spans="1:33" s="66" customFormat="1" ht="12" customHeight="1" x14ac:dyDescent="0.25">
      <c r="A448" s="98"/>
      <c r="B448" s="704" t="s">
        <v>368</v>
      </c>
      <c r="C448" s="705"/>
      <c r="D448" s="705"/>
      <c r="E448" s="705"/>
      <c r="F448" s="339">
        <v>635</v>
      </c>
      <c r="G448" s="294">
        <f t="shared" si="979"/>
        <v>635</v>
      </c>
      <c r="H448" s="290"/>
      <c r="I448" s="1170"/>
      <c r="J448" s="1171"/>
      <c r="K448" s="1171"/>
      <c r="L448" s="1172"/>
      <c r="M448" s="1173"/>
      <c r="N448" s="492">
        <v>1562</v>
      </c>
      <c r="O448" s="294">
        <f t="shared" si="989"/>
        <v>1562</v>
      </c>
      <c r="P448" s="303">
        <v>1557</v>
      </c>
      <c r="Q448" s="294">
        <f t="shared" si="990"/>
        <v>1557</v>
      </c>
      <c r="R448" s="492">
        <v>1471</v>
      </c>
      <c r="S448" s="294">
        <f t="shared" si="991"/>
        <v>1471</v>
      </c>
      <c r="T448" s="492">
        <v>1416</v>
      </c>
      <c r="U448" s="294">
        <f t="shared" si="992"/>
        <v>1416</v>
      </c>
      <c r="V448" s="492">
        <v>1347</v>
      </c>
      <c r="W448" s="294">
        <f t="shared" si="993"/>
        <v>1347</v>
      </c>
      <c r="X448" s="153"/>
      <c r="Y448" s="153"/>
      <c r="Z448" s="136"/>
      <c r="AA448" s="139"/>
      <c r="AB448" s="438"/>
    </row>
    <row r="449" spans="1:31" s="66" customFormat="1" ht="12.6" customHeight="1" x14ac:dyDescent="0.25">
      <c r="A449" s="98"/>
      <c r="B449" s="683" t="s">
        <v>265</v>
      </c>
      <c r="C449" s="712"/>
      <c r="D449" s="712"/>
      <c r="E449" s="712"/>
      <c r="F449" s="340">
        <v>635</v>
      </c>
      <c r="G449" s="293">
        <f t="shared" si="979"/>
        <v>635</v>
      </c>
      <c r="H449" s="282"/>
      <c r="I449" s="1174"/>
      <c r="J449" s="1175"/>
      <c r="K449" s="1175"/>
      <c r="L449" s="1172"/>
      <c r="M449" s="1173"/>
      <c r="N449" s="593">
        <v>1407</v>
      </c>
      <c r="O449" s="293">
        <f t="shared" ref="O449" si="994">+N449*$X$1</f>
        <v>1407</v>
      </c>
      <c r="P449" s="304">
        <v>1403</v>
      </c>
      <c r="Q449" s="293">
        <f t="shared" ref="Q449" si="995">+P449*$X$1</f>
        <v>1403</v>
      </c>
      <c r="R449" s="593">
        <v>1254</v>
      </c>
      <c r="S449" s="293">
        <f t="shared" ref="S449" si="996">+R449*$X$1</f>
        <v>1254</v>
      </c>
      <c r="T449" s="593">
        <v>1159</v>
      </c>
      <c r="U449" s="293">
        <f t="shared" ref="U449" si="997">+T449*$X$1</f>
        <v>1159</v>
      </c>
      <c r="V449" s="593">
        <v>1095</v>
      </c>
      <c r="W449" s="293">
        <f t="shared" ref="W449" si="998">+V449*$X$1</f>
        <v>1095</v>
      </c>
      <c r="X449" s="136"/>
      <c r="Y449" s="136"/>
      <c r="Z449" s="136"/>
      <c r="AA449" s="139"/>
      <c r="AB449" s="437" t="s">
        <v>266</v>
      </c>
      <c r="AE449" s="245"/>
    </row>
    <row r="450" spans="1:31" s="66" customFormat="1" ht="12.6" customHeight="1" x14ac:dyDescent="0.25">
      <c r="A450" s="98"/>
      <c r="B450" s="704" t="s">
        <v>267</v>
      </c>
      <c r="C450" s="705"/>
      <c r="D450" s="705"/>
      <c r="E450" s="705"/>
      <c r="F450" s="339">
        <v>635</v>
      </c>
      <c r="G450" s="294">
        <f t="shared" si="979"/>
        <v>635</v>
      </c>
      <c r="H450" s="290"/>
      <c r="I450" s="1176"/>
      <c r="J450" s="1177"/>
      <c r="K450" s="1177"/>
      <c r="L450" s="1177"/>
      <c r="M450" s="1178"/>
      <c r="N450" s="492">
        <v>1710</v>
      </c>
      <c r="O450" s="294">
        <f t="shared" si="984"/>
        <v>1710</v>
      </c>
      <c r="P450" s="303">
        <v>1706</v>
      </c>
      <c r="Q450" s="294">
        <f t="shared" si="985"/>
        <v>1706</v>
      </c>
      <c r="R450" s="492">
        <v>1616</v>
      </c>
      <c r="S450" s="294">
        <f t="shared" si="986"/>
        <v>1616</v>
      </c>
      <c r="T450" s="492">
        <v>1568</v>
      </c>
      <c r="U450" s="294">
        <f t="shared" si="987"/>
        <v>1568</v>
      </c>
      <c r="V450" s="492">
        <v>1501</v>
      </c>
      <c r="W450" s="294">
        <f t="shared" si="988"/>
        <v>1501</v>
      </c>
      <c r="X450" s="136"/>
      <c r="Y450" s="136"/>
      <c r="Z450" s="136"/>
      <c r="AA450" s="139"/>
      <c r="AB450" s="437" t="s">
        <v>268</v>
      </c>
    </row>
    <row r="451" spans="1:31" ht="12.6" customHeight="1" x14ac:dyDescent="0.2">
      <c r="A451" s="18"/>
      <c r="B451" s="693" t="s">
        <v>269</v>
      </c>
      <c r="C451" s="696"/>
      <c r="D451" s="696"/>
      <c r="E451" s="697"/>
      <c r="F451" s="392">
        <f>2.97*X2</f>
        <v>3079.8900000000003</v>
      </c>
      <c r="G451" s="293">
        <f t="shared" ref="G451:G452" si="999">+F451*$X$1</f>
        <v>3079.8900000000003</v>
      </c>
      <c r="H451" s="621">
        <f t="shared" ref="H451:H455" si="1000">F451+500</f>
        <v>3579.8900000000003</v>
      </c>
      <c r="I451" s="293">
        <f t="shared" ref="I451:I454" si="1001">+H451*$X$1</f>
        <v>3579.8900000000003</v>
      </c>
      <c r="J451" s="621">
        <f t="shared" ref="J451:J455" si="1002">F451+200</f>
        <v>3279.8900000000003</v>
      </c>
      <c r="K451" s="293">
        <f t="shared" ref="K451:K454" si="1003">+J451*$X$1</f>
        <v>3279.8900000000003</v>
      </c>
      <c r="L451" s="621">
        <f>F451+150</f>
        <v>3229.8900000000003</v>
      </c>
      <c r="M451" s="293">
        <f t="shared" ref="M451:M454" si="1004">+L451*$X$1</f>
        <v>3229.8900000000003</v>
      </c>
      <c r="N451" s="621">
        <f>F451+110</f>
        <v>3189.8900000000003</v>
      </c>
      <c r="O451" s="293">
        <f t="shared" si="984"/>
        <v>3189.8900000000003</v>
      </c>
      <c r="P451" s="621">
        <f>F451+85</f>
        <v>3164.8900000000003</v>
      </c>
      <c r="Q451" s="293">
        <f t="shared" si="985"/>
        <v>3164.8900000000003</v>
      </c>
      <c r="R451" s="621">
        <f>F451+65</f>
        <v>3144.8900000000003</v>
      </c>
      <c r="S451" s="293">
        <f t="shared" si="986"/>
        <v>3144.8900000000003</v>
      </c>
      <c r="T451" s="621">
        <f>F451+55</f>
        <v>3134.8900000000003</v>
      </c>
      <c r="U451" s="293">
        <f t="shared" si="987"/>
        <v>3134.8900000000003</v>
      </c>
      <c r="V451" s="621">
        <f>F451+43</f>
        <v>3122.8900000000003</v>
      </c>
      <c r="W451" s="293">
        <f t="shared" si="988"/>
        <v>3122.8900000000003</v>
      </c>
      <c r="X451" s="716"/>
      <c r="Y451" s="716"/>
      <c r="Z451" s="716"/>
      <c r="AA451" s="717"/>
      <c r="AB451" s="197" t="s">
        <v>270</v>
      </c>
    </row>
    <row r="452" spans="1:31" ht="12.6" customHeight="1" x14ac:dyDescent="0.2">
      <c r="A452" s="18"/>
      <c r="B452" s="690" t="s">
        <v>271</v>
      </c>
      <c r="C452" s="698"/>
      <c r="D452" s="698"/>
      <c r="E452" s="699"/>
      <c r="F452" s="393">
        <f>2.25*X2</f>
        <v>2333.25</v>
      </c>
      <c r="G452" s="294">
        <f t="shared" si="999"/>
        <v>2333.25</v>
      </c>
      <c r="H452" s="492">
        <f t="shared" si="1000"/>
        <v>2833.25</v>
      </c>
      <c r="I452" s="294">
        <f t="shared" si="1001"/>
        <v>2833.25</v>
      </c>
      <c r="J452" s="492">
        <f t="shared" si="1002"/>
        <v>2533.25</v>
      </c>
      <c r="K452" s="294">
        <f t="shared" si="1003"/>
        <v>2533.25</v>
      </c>
      <c r="L452" s="492">
        <f>F452+150</f>
        <v>2483.25</v>
      </c>
      <c r="M452" s="294">
        <f t="shared" si="1004"/>
        <v>2483.25</v>
      </c>
      <c r="N452" s="492"/>
      <c r="O452" s="294"/>
      <c r="P452" s="492"/>
      <c r="Q452" s="294"/>
      <c r="R452" s="492"/>
      <c r="S452" s="294"/>
      <c r="T452" s="492"/>
      <c r="U452" s="294"/>
      <c r="V452" s="492"/>
      <c r="W452" s="294"/>
      <c r="X452" s="716"/>
      <c r="Y452" s="716"/>
      <c r="Z452" s="716"/>
      <c r="AA452" s="717"/>
      <c r="AB452" s="197" t="s">
        <v>441</v>
      </c>
    </row>
    <row r="453" spans="1:31" ht="12.6" customHeight="1" x14ac:dyDescent="0.2">
      <c r="A453" s="18"/>
      <c r="B453" s="693" t="s">
        <v>805</v>
      </c>
      <c r="C453" s="696"/>
      <c r="D453" s="696"/>
      <c r="E453" s="697"/>
      <c r="F453" s="340">
        <v>3338</v>
      </c>
      <c r="G453" s="293">
        <f t="shared" ref="G453" si="1005">+F453*$X$1</f>
        <v>3338</v>
      </c>
      <c r="H453" s="621">
        <f t="shared" si="1000"/>
        <v>3838</v>
      </c>
      <c r="I453" s="293">
        <f t="shared" si="1001"/>
        <v>3838</v>
      </c>
      <c r="J453" s="621">
        <f t="shared" si="1002"/>
        <v>3538</v>
      </c>
      <c r="K453" s="293">
        <f t="shared" si="1003"/>
        <v>3538</v>
      </c>
      <c r="L453" s="621">
        <f>F453+150</f>
        <v>3488</v>
      </c>
      <c r="M453" s="293">
        <f t="shared" si="1004"/>
        <v>3488</v>
      </c>
      <c r="N453" s="621">
        <f>F453+110</f>
        <v>3448</v>
      </c>
      <c r="O453" s="293">
        <f t="shared" si="984"/>
        <v>3448</v>
      </c>
      <c r="P453" s="621">
        <f>F453+85</f>
        <v>3423</v>
      </c>
      <c r="Q453" s="293">
        <f t="shared" si="985"/>
        <v>3423</v>
      </c>
      <c r="R453" s="621">
        <f>F453+65</f>
        <v>3403</v>
      </c>
      <c r="S453" s="293">
        <f t="shared" si="986"/>
        <v>3403</v>
      </c>
      <c r="T453" s="621">
        <f>F453+55</f>
        <v>3393</v>
      </c>
      <c r="U453" s="293">
        <f t="shared" si="987"/>
        <v>3393</v>
      </c>
      <c r="V453" s="621">
        <f>F453+43</f>
        <v>3381</v>
      </c>
      <c r="W453" s="293">
        <f t="shared" si="988"/>
        <v>3381</v>
      </c>
      <c r="X453" s="716"/>
      <c r="Y453" s="716"/>
      <c r="Z453" s="716"/>
      <c r="AA453" s="717"/>
      <c r="AB453" s="197" t="s">
        <v>804</v>
      </c>
    </row>
    <row r="454" spans="1:31" ht="12.6" customHeight="1" x14ac:dyDescent="0.2">
      <c r="A454" s="18"/>
      <c r="B454" s="690" t="s">
        <v>395</v>
      </c>
      <c r="C454" s="698"/>
      <c r="D454" s="698"/>
      <c r="E454" s="699"/>
      <c r="F454" s="393">
        <f>1.2*X2</f>
        <v>1244.3999999999999</v>
      </c>
      <c r="G454" s="294">
        <f t="shared" ref="G454:G455" si="1006">+F454*$X$1</f>
        <v>1244.3999999999999</v>
      </c>
      <c r="H454" s="492">
        <f t="shared" si="1000"/>
        <v>1744.3999999999999</v>
      </c>
      <c r="I454" s="294">
        <f t="shared" si="1001"/>
        <v>1744.3999999999999</v>
      </c>
      <c r="J454" s="492">
        <f t="shared" si="1002"/>
        <v>1444.3999999999999</v>
      </c>
      <c r="K454" s="294">
        <f t="shared" si="1003"/>
        <v>1444.3999999999999</v>
      </c>
      <c r="L454" s="492">
        <f>F454+150</f>
        <v>1394.3999999999999</v>
      </c>
      <c r="M454" s="294">
        <f t="shared" si="1004"/>
        <v>1394.3999999999999</v>
      </c>
      <c r="N454" s="492">
        <f>F454+110</f>
        <v>1354.3999999999999</v>
      </c>
      <c r="O454" s="294">
        <f t="shared" si="984"/>
        <v>1354.3999999999999</v>
      </c>
      <c r="P454" s="492">
        <f>F454+85</f>
        <v>1329.3999999999999</v>
      </c>
      <c r="Q454" s="294">
        <f t="shared" si="985"/>
        <v>1329.3999999999999</v>
      </c>
      <c r="R454" s="492">
        <f>F454+65</f>
        <v>1309.3999999999999</v>
      </c>
      <c r="S454" s="294">
        <f t="shared" si="986"/>
        <v>1309.3999999999999</v>
      </c>
      <c r="T454" s="492">
        <f>F454+55</f>
        <v>1299.3999999999999</v>
      </c>
      <c r="U454" s="294">
        <f t="shared" si="987"/>
        <v>1299.3999999999999</v>
      </c>
      <c r="V454" s="492">
        <f>F454+43</f>
        <v>1287.3999999999999</v>
      </c>
      <c r="W454" s="294">
        <f t="shared" si="988"/>
        <v>1287.3999999999999</v>
      </c>
      <c r="X454" s="716"/>
      <c r="Y454" s="797"/>
      <c r="Z454" s="797"/>
      <c r="AA454" s="717"/>
      <c r="AB454" s="197" t="s">
        <v>442</v>
      </c>
    </row>
    <row r="455" spans="1:31" ht="12.6" customHeight="1" x14ac:dyDescent="0.2">
      <c r="A455" s="18"/>
      <c r="B455" s="693" t="s">
        <v>928</v>
      </c>
      <c r="C455" s="696"/>
      <c r="D455" s="696"/>
      <c r="E455" s="697"/>
      <c r="F455" s="392">
        <f>4.19*X2</f>
        <v>4345.0300000000007</v>
      </c>
      <c r="G455" s="293">
        <f t="shared" si="1006"/>
        <v>4345.0300000000007</v>
      </c>
      <c r="H455" s="644">
        <f t="shared" si="1000"/>
        <v>4845.0300000000007</v>
      </c>
      <c r="I455" s="293">
        <f t="shared" ref="I455" si="1007">+H455*$X$1</f>
        <v>4845.0300000000007</v>
      </c>
      <c r="J455" s="644">
        <f t="shared" si="1002"/>
        <v>4545.0300000000007</v>
      </c>
      <c r="K455" s="293">
        <f t="shared" ref="K455" si="1008">+J455*$X$1</f>
        <v>4545.0300000000007</v>
      </c>
      <c r="L455" s="644">
        <f>F455+150</f>
        <v>4495.0300000000007</v>
      </c>
      <c r="M455" s="293">
        <f t="shared" ref="M455" si="1009">+L455*$X$1</f>
        <v>4495.0300000000007</v>
      </c>
      <c r="N455" s="644">
        <f>F455+110</f>
        <v>4455.0300000000007</v>
      </c>
      <c r="O455" s="293">
        <f t="shared" ref="O455" si="1010">+N455*$X$1</f>
        <v>4455.0300000000007</v>
      </c>
      <c r="P455" s="644">
        <f>F455+85</f>
        <v>4430.0300000000007</v>
      </c>
      <c r="Q455" s="293">
        <f t="shared" ref="Q455" si="1011">+P455*$X$1</f>
        <v>4430.0300000000007</v>
      </c>
      <c r="R455" s="644">
        <f>F455+65</f>
        <v>4410.0300000000007</v>
      </c>
      <c r="S455" s="293">
        <f t="shared" ref="S455" si="1012">+R455*$X$1</f>
        <v>4410.0300000000007</v>
      </c>
      <c r="T455" s="644">
        <f>F455+55</f>
        <v>4400.0300000000007</v>
      </c>
      <c r="U455" s="293">
        <f t="shared" ref="U455" si="1013">+T455*$X$1</f>
        <v>4400.0300000000007</v>
      </c>
      <c r="V455" s="644">
        <f>F455+43</f>
        <v>4388.0300000000007</v>
      </c>
      <c r="W455" s="293">
        <f t="shared" ref="W455" si="1014">+V455*$X$1</f>
        <v>4388.0300000000007</v>
      </c>
      <c r="X455" s="716"/>
      <c r="Y455" s="716"/>
      <c r="Z455" s="716"/>
      <c r="AA455" s="717"/>
      <c r="AB455" s="197" t="s">
        <v>838</v>
      </c>
    </row>
    <row r="456" spans="1:31" ht="12.6" customHeight="1" x14ac:dyDescent="0.2">
      <c r="A456" s="18"/>
      <c r="B456" s="706" t="s">
        <v>272</v>
      </c>
      <c r="C456" s="713"/>
      <c r="D456" s="713"/>
      <c r="E456" s="713"/>
      <c r="F456" s="328">
        <v>3637</v>
      </c>
      <c r="G456" s="294">
        <f t="shared" ref="G456:G463" si="1015">+F456*$X$1</f>
        <v>3637</v>
      </c>
      <c r="H456" s="285"/>
      <c r="I456" s="354"/>
      <c r="J456" s="492">
        <f>F456+66</f>
        <v>3703</v>
      </c>
      <c r="K456" s="294"/>
      <c r="L456" s="492">
        <f t="shared" ref="L456:L462" si="1016">F456+340</f>
        <v>3977</v>
      </c>
      <c r="M456" s="294">
        <f t="shared" ref="M456:M463" si="1017">+L456*$X$1</f>
        <v>3977</v>
      </c>
      <c r="N456" s="492">
        <f t="shared" ref="N456:N462" si="1018">F456+310</f>
        <v>3947</v>
      </c>
      <c r="O456" s="294">
        <f t="shared" ref="O456" si="1019">+N456*$X$1</f>
        <v>3947</v>
      </c>
      <c r="P456" s="492">
        <f t="shared" ref="P456:P462" si="1020">F456+280</f>
        <v>3917</v>
      </c>
      <c r="Q456" s="294">
        <f t="shared" ref="Q456" si="1021">+P456*$X$1</f>
        <v>3917</v>
      </c>
      <c r="R456" s="492">
        <f t="shared" ref="R456:R462" si="1022">F456+250</f>
        <v>3887</v>
      </c>
      <c r="S456" s="294">
        <f t="shared" ref="S456" si="1023">+R456*$X$1</f>
        <v>3887</v>
      </c>
      <c r="T456" s="492">
        <f t="shared" ref="T456:T462" si="1024">F456+220</f>
        <v>3857</v>
      </c>
      <c r="U456" s="294">
        <f t="shared" ref="U456" si="1025">+T456*$X$1</f>
        <v>3857</v>
      </c>
      <c r="V456" s="492">
        <f t="shared" ref="V456:V462" si="1026">F456+200</f>
        <v>3837</v>
      </c>
      <c r="W456" s="294">
        <f t="shared" ref="W456" si="1027">+V456*$X$1</f>
        <v>3837</v>
      </c>
      <c r="X456" s="150"/>
      <c r="Y456" s="132"/>
      <c r="Z456" s="132"/>
      <c r="AA456" s="132"/>
      <c r="AB456" s="197" t="s">
        <v>273</v>
      </c>
    </row>
    <row r="457" spans="1:31" ht="12.6" customHeight="1" x14ac:dyDescent="0.2">
      <c r="A457" s="18"/>
      <c r="B457" s="683" t="s">
        <v>274</v>
      </c>
      <c r="C457" s="712"/>
      <c r="D457" s="712"/>
      <c r="E457" s="712"/>
      <c r="F457" s="293">
        <v>5071</v>
      </c>
      <c r="G457" s="293">
        <f t="shared" si="1015"/>
        <v>5071</v>
      </c>
      <c r="H457" s="286"/>
      <c r="I457" s="353"/>
      <c r="J457" s="644">
        <f>F457+66</f>
        <v>5137</v>
      </c>
      <c r="K457" s="293"/>
      <c r="L457" s="644">
        <f t="shared" si="1016"/>
        <v>5411</v>
      </c>
      <c r="M457" s="293">
        <f t="shared" ref="M457:M462" si="1028">+L457*$X$1</f>
        <v>5411</v>
      </c>
      <c r="N457" s="644">
        <f t="shared" si="1018"/>
        <v>5381</v>
      </c>
      <c r="O457" s="293">
        <f t="shared" ref="O457:O462" si="1029">+N457*$X$1</f>
        <v>5381</v>
      </c>
      <c r="P457" s="644">
        <f t="shared" si="1020"/>
        <v>5351</v>
      </c>
      <c r="Q457" s="293">
        <f t="shared" ref="Q457:Q462" si="1030">+P457*$X$1</f>
        <v>5351</v>
      </c>
      <c r="R457" s="644">
        <f t="shared" si="1022"/>
        <v>5321</v>
      </c>
      <c r="S457" s="293">
        <f t="shared" ref="S457:S462" si="1031">+R457*$X$1</f>
        <v>5321</v>
      </c>
      <c r="T457" s="644">
        <f t="shared" si="1024"/>
        <v>5291</v>
      </c>
      <c r="U457" s="293">
        <f t="shared" ref="U457:U462" si="1032">+T457*$X$1</f>
        <v>5291</v>
      </c>
      <c r="V457" s="644">
        <f t="shared" si="1026"/>
        <v>5271</v>
      </c>
      <c r="W457" s="293">
        <f t="shared" ref="W457:W462" si="1033">+V457*$X$1</f>
        <v>5271</v>
      </c>
      <c r="X457" s="150"/>
      <c r="Y457" s="132"/>
      <c r="Z457" s="132"/>
      <c r="AA457" s="132"/>
      <c r="AB457" s="436"/>
    </row>
    <row r="458" spans="1:31" ht="12.6" customHeight="1" x14ac:dyDescent="0.2">
      <c r="A458" s="18"/>
      <c r="B458" s="704" t="s">
        <v>275</v>
      </c>
      <c r="C458" s="705"/>
      <c r="D458" s="705"/>
      <c r="E458" s="705"/>
      <c r="F458" s="294">
        <v>3956</v>
      </c>
      <c r="G458" s="294">
        <f t="shared" si="1015"/>
        <v>3956</v>
      </c>
      <c r="H458" s="285"/>
      <c r="I458" s="354"/>
      <c r="J458" s="492">
        <f>F458+80</f>
        <v>4036</v>
      </c>
      <c r="K458" s="294"/>
      <c r="L458" s="492">
        <f t="shared" si="1016"/>
        <v>4296</v>
      </c>
      <c r="M458" s="294">
        <f t="shared" si="1028"/>
        <v>4296</v>
      </c>
      <c r="N458" s="492">
        <f t="shared" si="1018"/>
        <v>4266</v>
      </c>
      <c r="O458" s="294">
        <f t="shared" si="1029"/>
        <v>4266</v>
      </c>
      <c r="P458" s="492">
        <f t="shared" si="1020"/>
        <v>4236</v>
      </c>
      <c r="Q458" s="294">
        <f t="shared" si="1030"/>
        <v>4236</v>
      </c>
      <c r="R458" s="492">
        <f t="shared" si="1022"/>
        <v>4206</v>
      </c>
      <c r="S458" s="294">
        <f t="shared" si="1031"/>
        <v>4206</v>
      </c>
      <c r="T458" s="492">
        <f t="shared" si="1024"/>
        <v>4176</v>
      </c>
      <c r="U458" s="294">
        <f t="shared" si="1032"/>
        <v>4176</v>
      </c>
      <c r="V458" s="492">
        <f t="shared" si="1026"/>
        <v>4156</v>
      </c>
      <c r="W458" s="294">
        <f t="shared" si="1033"/>
        <v>4156</v>
      </c>
      <c r="X458" s="150"/>
      <c r="Y458" s="132"/>
      <c r="Z458" s="132"/>
      <c r="AA458" s="132"/>
      <c r="AB458" s="197" t="s">
        <v>276</v>
      </c>
    </row>
    <row r="459" spans="1:31" ht="12.6" customHeight="1" x14ac:dyDescent="0.2">
      <c r="A459" s="18"/>
      <c r="B459" s="683" t="s">
        <v>277</v>
      </c>
      <c r="C459" s="712"/>
      <c r="D459" s="712"/>
      <c r="E459" s="712"/>
      <c r="F459" s="293">
        <v>5580</v>
      </c>
      <c r="G459" s="293">
        <f t="shared" si="1015"/>
        <v>5580</v>
      </c>
      <c r="H459" s="286"/>
      <c r="I459" s="353"/>
      <c r="J459" s="644">
        <f>F459+80</f>
        <v>5660</v>
      </c>
      <c r="K459" s="293"/>
      <c r="L459" s="644">
        <f t="shared" si="1016"/>
        <v>5920</v>
      </c>
      <c r="M459" s="293">
        <f t="shared" si="1028"/>
        <v>5920</v>
      </c>
      <c r="N459" s="644">
        <f t="shared" si="1018"/>
        <v>5890</v>
      </c>
      <c r="O459" s="293">
        <f t="shared" si="1029"/>
        <v>5890</v>
      </c>
      <c r="P459" s="644">
        <f t="shared" si="1020"/>
        <v>5860</v>
      </c>
      <c r="Q459" s="293">
        <f t="shared" si="1030"/>
        <v>5860</v>
      </c>
      <c r="R459" s="644">
        <f t="shared" si="1022"/>
        <v>5830</v>
      </c>
      <c r="S459" s="293">
        <f t="shared" si="1031"/>
        <v>5830</v>
      </c>
      <c r="T459" s="644">
        <f t="shared" si="1024"/>
        <v>5800</v>
      </c>
      <c r="U459" s="293">
        <f t="shared" si="1032"/>
        <v>5800</v>
      </c>
      <c r="V459" s="644">
        <f t="shared" si="1026"/>
        <v>5780</v>
      </c>
      <c r="W459" s="293">
        <f t="shared" si="1033"/>
        <v>5780</v>
      </c>
      <c r="X459" s="150"/>
      <c r="Y459" s="132"/>
      <c r="Z459" s="132"/>
      <c r="AA459" s="132"/>
      <c r="AB459" s="436"/>
    </row>
    <row r="460" spans="1:31" ht="12.6" customHeight="1" x14ac:dyDescent="0.2">
      <c r="A460" s="18"/>
      <c r="B460" s="708" t="s">
        <v>936</v>
      </c>
      <c r="C460" s="709"/>
      <c r="D460" s="709"/>
      <c r="E460" s="709"/>
      <c r="F460" s="294">
        <v>9820</v>
      </c>
      <c r="G460" s="294">
        <f t="shared" ref="G460" si="1034">+F460*$X$1</f>
        <v>9820</v>
      </c>
      <c r="H460" s="285"/>
      <c r="I460" s="354"/>
      <c r="J460" s="492">
        <f>F460+390</f>
        <v>10210</v>
      </c>
      <c r="K460" s="294">
        <f t="shared" ref="K460" si="1035">+J460*$X$1</f>
        <v>10210</v>
      </c>
      <c r="L460" s="492">
        <f t="shared" si="1016"/>
        <v>10160</v>
      </c>
      <c r="M460" s="294">
        <f t="shared" ref="M460" si="1036">+L460*$X$1</f>
        <v>10160</v>
      </c>
      <c r="N460" s="492">
        <f t="shared" si="1018"/>
        <v>10130</v>
      </c>
      <c r="O460" s="294">
        <f t="shared" ref="O460" si="1037">+N460*$X$1</f>
        <v>10130</v>
      </c>
      <c r="P460" s="492">
        <f t="shared" si="1020"/>
        <v>10100</v>
      </c>
      <c r="Q460" s="294">
        <f t="shared" ref="Q460" si="1038">+P460*$X$1</f>
        <v>10100</v>
      </c>
      <c r="R460" s="492">
        <f t="shared" si="1022"/>
        <v>10070</v>
      </c>
      <c r="S460" s="294">
        <f t="shared" ref="S460" si="1039">+R460*$X$1</f>
        <v>10070</v>
      </c>
      <c r="T460" s="492">
        <f t="shared" si="1024"/>
        <v>10040</v>
      </c>
      <c r="U460" s="294">
        <f t="shared" ref="U460" si="1040">+T460*$X$1</f>
        <v>10040</v>
      </c>
      <c r="V460" s="492">
        <f t="shared" si="1026"/>
        <v>10020</v>
      </c>
      <c r="W460" s="294">
        <f t="shared" ref="W460" si="1041">+V460*$X$1</f>
        <v>10020</v>
      </c>
      <c r="X460" s="150"/>
      <c r="Y460" s="132"/>
      <c r="Z460" s="132"/>
      <c r="AA460" s="132"/>
      <c r="AB460" s="197" t="s">
        <v>937</v>
      </c>
    </row>
    <row r="461" spans="1:31" ht="12.6" customHeight="1" x14ac:dyDescent="0.2">
      <c r="A461" s="18"/>
      <c r="B461" s="683" t="s">
        <v>657</v>
      </c>
      <c r="C461" s="712"/>
      <c r="D461" s="712"/>
      <c r="E461" s="712"/>
      <c r="F461" s="293">
        <v>5170</v>
      </c>
      <c r="G461" s="293">
        <f t="shared" si="1015"/>
        <v>5170</v>
      </c>
      <c r="H461" s="286"/>
      <c r="I461" s="353"/>
      <c r="J461" s="644">
        <f>F461+66</f>
        <v>5236</v>
      </c>
      <c r="K461" s="293"/>
      <c r="L461" s="644">
        <f t="shared" si="1016"/>
        <v>5510</v>
      </c>
      <c r="M461" s="293">
        <f t="shared" si="1028"/>
        <v>5510</v>
      </c>
      <c r="N461" s="644">
        <f t="shared" si="1018"/>
        <v>5480</v>
      </c>
      <c r="O461" s="293">
        <f t="shared" si="1029"/>
        <v>5480</v>
      </c>
      <c r="P461" s="644">
        <f t="shared" si="1020"/>
        <v>5450</v>
      </c>
      <c r="Q461" s="293">
        <f t="shared" si="1030"/>
        <v>5450</v>
      </c>
      <c r="R461" s="644">
        <f t="shared" si="1022"/>
        <v>5420</v>
      </c>
      <c r="S461" s="293">
        <f t="shared" si="1031"/>
        <v>5420</v>
      </c>
      <c r="T461" s="644">
        <f t="shared" si="1024"/>
        <v>5390</v>
      </c>
      <c r="U461" s="293">
        <f t="shared" si="1032"/>
        <v>5390</v>
      </c>
      <c r="V461" s="644">
        <f t="shared" si="1026"/>
        <v>5370</v>
      </c>
      <c r="W461" s="293">
        <f t="shared" si="1033"/>
        <v>5370</v>
      </c>
      <c r="X461" s="150"/>
      <c r="Y461" s="132"/>
      <c r="Z461" s="132"/>
      <c r="AA461" s="132"/>
      <c r="AB461" s="197" t="s">
        <v>278</v>
      </c>
    </row>
    <row r="462" spans="1:31" ht="12.6" customHeight="1" x14ac:dyDescent="0.2">
      <c r="A462" s="18"/>
      <c r="B462" s="704" t="s">
        <v>658</v>
      </c>
      <c r="C462" s="705"/>
      <c r="D462" s="705"/>
      <c r="E462" s="705"/>
      <c r="F462" s="294">
        <v>5696</v>
      </c>
      <c r="G462" s="294">
        <f t="shared" si="1015"/>
        <v>5696</v>
      </c>
      <c r="H462" s="285"/>
      <c r="I462" s="354"/>
      <c r="J462" s="492">
        <f>F462+80</f>
        <v>5776</v>
      </c>
      <c r="K462" s="294"/>
      <c r="L462" s="492">
        <f t="shared" si="1016"/>
        <v>6036</v>
      </c>
      <c r="M462" s="294">
        <f t="shared" si="1028"/>
        <v>6036</v>
      </c>
      <c r="N462" s="492">
        <f t="shared" si="1018"/>
        <v>6006</v>
      </c>
      <c r="O462" s="294">
        <f t="shared" si="1029"/>
        <v>6006</v>
      </c>
      <c r="P462" s="492">
        <f t="shared" si="1020"/>
        <v>5976</v>
      </c>
      <c r="Q462" s="294">
        <f t="shared" si="1030"/>
        <v>5976</v>
      </c>
      <c r="R462" s="492">
        <f t="shared" si="1022"/>
        <v>5946</v>
      </c>
      <c r="S462" s="294">
        <f t="shared" si="1031"/>
        <v>5946</v>
      </c>
      <c r="T462" s="492">
        <f t="shared" si="1024"/>
        <v>5916</v>
      </c>
      <c r="U462" s="294">
        <f t="shared" si="1032"/>
        <v>5916</v>
      </c>
      <c r="V462" s="492">
        <f t="shared" si="1026"/>
        <v>5896</v>
      </c>
      <c r="W462" s="294">
        <f t="shared" si="1033"/>
        <v>5896</v>
      </c>
      <c r="X462" s="150"/>
      <c r="Y462" s="132"/>
      <c r="Z462" s="132"/>
      <c r="AA462" s="132"/>
      <c r="AB462" s="197" t="s">
        <v>279</v>
      </c>
    </row>
    <row r="463" spans="1:31" ht="12.6" customHeight="1" x14ac:dyDescent="0.25">
      <c r="A463" s="18"/>
      <c r="B463" s="683" t="s">
        <v>339</v>
      </c>
      <c r="C463" s="712"/>
      <c r="D463" s="712"/>
      <c r="E463" s="712"/>
      <c r="F463" s="340">
        <v>6990</v>
      </c>
      <c r="G463" s="293">
        <f t="shared" si="1015"/>
        <v>6990</v>
      </c>
      <c r="H463" s="644">
        <f t="shared" ref="H463:H468" si="1042">F463+500</f>
        <v>7490</v>
      </c>
      <c r="I463" s="293">
        <f t="shared" ref="I463:I470" si="1043">+H463*$X$1</f>
        <v>7490</v>
      </c>
      <c r="J463" s="644">
        <f t="shared" ref="J463:J468" si="1044">F463+360</f>
        <v>7350</v>
      </c>
      <c r="K463" s="293">
        <f t="shared" ref="K463:K470" si="1045">+J463*$X$1</f>
        <v>7350</v>
      </c>
      <c r="L463" s="644">
        <f t="shared" ref="L463:L468" si="1046">F463+310</f>
        <v>7300</v>
      </c>
      <c r="M463" s="293">
        <f t="shared" si="1017"/>
        <v>7300</v>
      </c>
      <c r="N463" s="644">
        <f t="shared" ref="N463:N468" si="1047">F463+280</f>
        <v>7270</v>
      </c>
      <c r="O463" s="293">
        <f t="shared" ref="O463" si="1048">+N463*$X$1</f>
        <v>7270</v>
      </c>
      <c r="P463" s="644">
        <f t="shared" ref="P463:P468" si="1049">F463+250</f>
        <v>7240</v>
      </c>
      <c r="Q463" s="293">
        <f t="shared" ref="Q463" si="1050">+P463*$X$1</f>
        <v>7240</v>
      </c>
      <c r="R463" s="644">
        <f t="shared" ref="R463:R468" si="1051">F463+230</f>
        <v>7220</v>
      </c>
      <c r="S463" s="293">
        <f t="shared" ref="S463" si="1052">+R463*$X$1</f>
        <v>7220</v>
      </c>
      <c r="T463" s="644">
        <f t="shared" ref="T463:T468" si="1053">F463+210</f>
        <v>7200</v>
      </c>
      <c r="U463" s="293">
        <f t="shared" ref="U463" si="1054">+T463*$X$1</f>
        <v>7200</v>
      </c>
      <c r="V463" s="644">
        <f t="shared" ref="V463:V468" si="1055">F463+190</f>
        <v>7180</v>
      </c>
      <c r="W463" s="293">
        <f t="shared" ref="W463" si="1056">+V463*$X$1</f>
        <v>7180</v>
      </c>
      <c r="X463" s="787"/>
      <c r="Y463" s="1097"/>
      <c r="Z463" s="1097"/>
      <c r="AA463" s="1097"/>
      <c r="AB463" s="197" t="s">
        <v>280</v>
      </c>
    </row>
    <row r="464" spans="1:31" ht="12.6" customHeight="1" x14ac:dyDescent="0.25">
      <c r="A464" s="18"/>
      <c r="B464" s="1220" t="s">
        <v>522</v>
      </c>
      <c r="C464" s="698"/>
      <c r="D464" s="698"/>
      <c r="E464" s="699"/>
      <c r="F464" s="339">
        <v>3300</v>
      </c>
      <c r="G464" s="294">
        <f t="shared" ref="G464" si="1057">+F464*$X$1</f>
        <v>3300</v>
      </c>
      <c r="H464" s="492">
        <f t="shared" si="1042"/>
        <v>3800</v>
      </c>
      <c r="I464" s="294">
        <f t="shared" ref="I464:I468" si="1058">+H464*$X$1</f>
        <v>3800</v>
      </c>
      <c r="J464" s="492">
        <f t="shared" si="1044"/>
        <v>3660</v>
      </c>
      <c r="K464" s="294">
        <f t="shared" ref="K464:K468" si="1059">+J464*$X$1</f>
        <v>3660</v>
      </c>
      <c r="L464" s="492">
        <f t="shared" si="1046"/>
        <v>3610</v>
      </c>
      <c r="M464" s="294">
        <f t="shared" ref="M464:M470" si="1060">+L464*$X$1</f>
        <v>3610</v>
      </c>
      <c r="N464" s="492">
        <f t="shared" si="1047"/>
        <v>3580</v>
      </c>
      <c r="O464" s="294">
        <f t="shared" ref="O464:O470" si="1061">+N464*$X$1</f>
        <v>3580</v>
      </c>
      <c r="P464" s="492">
        <f t="shared" si="1049"/>
        <v>3550</v>
      </c>
      <c r="Q464" s="294">
        <f t="shared" ref="Q464:Q470" si="1062">+P464*$X$1</f>
        <v>3550</v>
      </c>
      <c r="R464" s="492">
        <f t="shared" si="1051"/>
        <v>3530</v>
      </c>
      <c r="S464" s="294">
        <f t="shared" ref="S464:S470" si="1063">+R464*$X$1</f>
        <v>3530</v>
      </c>
      <c r="T464" s="492">
        <f t="shared" si="1053"/>
        <v>3510</v>
      </c>
      <c r="U464" s="294">
        <f t="shared" ref="U464:U470" si="1064">+T464*$X$1</f>
        <v>3510</v>
      </c>
      <c r="V464" s="492">
        <f t="shared" si="1055"/>
        <v>3490</v>
      </c>
      <c r="W464" s="294">
        <f t="shared" ref="W464:W470" si="1065">+V464*$X$1</f>
        <v>3490</v>
      </c>
      <c r="X464" s="787"/>
      <c r="Y464" s="1097"/>
      <c r="Z464" s="1097"/>
      <c r="AA464" s="1097"/>
      <c r="AB464" s="197" t="s">
        <v>456</v>
      </c>
    </row>
    <row r="465" spans="1:34" ht="12.6" customHeight="1" x14ac:dyDescent="0.2">
      <c r="A465" s="18"/>
      <c r="B465" s="683" t="s">
        <v>392</v>
      </c>
      <c r="C465" s="712"/>
      <c r="D465" s="712"/>
      <c r="E465" s="712"/>
      <c r="F465" s="340">
        <v>4124</v>
      </c>
      <c r="G465" s="293">
        <f>+F465*$X$1</f>
        <v>4124</v>
      </c>
      <c r="H465" s="644">
        <f t="shared" si="1042"/>
        <v>4624</v>
      </c>
      <c r="I465" s="293">
        <f t="shared" si="1058"/>
        <v>4624</v>
      </c>
      <c r="J465" s="644">
        <f t="shared" si="1044"/>
        <v>4484</v>
      </c>
      <c r="K465" s="293">
        <f t="shared" si="1059"/>
        <v>4484</v>
      </c>
      <c r="L465" s="644">
        <f t="shared" si="1046"/>
        <v>4434</v>
      </c>
      <c r="M465" s="293">
        <f t="shared" si="1060"/>
        <v>4434</v>
      </c>
      <c r="N465" s="644">
        <f t="shared" si="1047"/>
        <v>4404</v>
      </c>
      <c r="O465" s="293">
        <f t="shared" si="1061"/>
        <v>4404</v>
      </c>
      <c r="P465" s="644">
        <f t="shared" si="1049"/>
        <v>4374</v>
      </c>
      <c r="Q465" s="293">
        <f t="shared" si="1062"/>
        <v>4374</v>
      </c>
      <c r="R465" s="644">
        <f t="shared" si="1051"/>
        <v>4354</v>
      </c>
      <c r="S465" s="293">
        <f t="shared" si="1063"/>
        <v>4354</v>
      </c>
      <c r="T465" s="644">
        <f t="shared" si="1053"/>
        <v>4334</v>
      </c>
      <c r="U465" s="293">
        <f t="shared" si="1064"/>
        <v>4334</v>
      </c>
      <c r="V465" s="644">
        <f t="shared" si="1055"/>
        <v>4314</v>
      </c>
      <c r="W465" s="293">
        <f t="shared" si="1065"/>
        <v>4314</v>
      </c>
      <c r="X465" s="1106"/>
      <c r="Y465" s="1107"/>
      <c r="Z465" s="1107"/>
      <c r="AA465" s="1108"/>
      <c r="AB465" s="197" t="s">
        <v>281</v>
      </c>
    </row>
    <row r="466" spans="1:34" ht="12.6" customHeight="1" x14ac:dyDescent="0.25">
      <c r="A466" s="18"/>
      <c r="B466" s="944" t="s">
        <v>860</v>
      </c>
      <c r="C466" s="1221"/>
      <c r="D466" s="1221"/>
      <c r="E466" s="1221"/>
      <c r="F466" s="339">
        <v>4124</v>
      </c>
      <c r="G466" s="294">
        <f t="shared" ref="G466:G468" si="1066">+F466*$X$1</f>
        <v>4124</v>
      </c>
      <c r="H466" s="492">
        <f t="shared" si="1042"/>
        <v>4624</v>
      </c>
      <c r="I466" s="294">
        <f t="shared" si="1058"/>
        <v>4624</v>
      </c>
      <c r="J466" s="492">
        <f t="shared" si="1044"/>
        <v>4484</v>
      </c>
      <c r="K466" s="294">
        <f t="shared" si="1059"/>
        <v>4484</v>
      </c>
      <c r="L466" s="492">
        <f t="shared" si="1046"/>
        <v>4434</v>
      </c>
      <c r="M466" s="294">
        <f t="shared" si="1060"/>
        <v>4434</v>
      </c>
      <c r="N466" s="492">
        <f t="shared" si="1047"/>
        <v>4404</v>
      </c>
      <c r="O466" s="294">
        <f t="shared" si="1061"/>
        <v>4404</v>
      </c>
      <c r="P466" s="492">
        <f t="shared" si="1049"/>
        <v>4374</v>
      </c>
      <c r="Q466" s="294">
        <f t="shared" si="1062"/>
        <v>4374</v>
      </c>
      <c r="R466" s="492">
        <f t="shared" si="1051"/>
        <v>4354</v>
      </c>
      <c r="S466" s="294">
        <f t="shared" si="1063"/>
        <v>4354</v>
      </c>
      <c r="T466" s="492">
        <f t="shared" si="1053"/>
        <v>4334</v>
      </c>
      <c r="U466" s="294">
        <f t="shared" si="1064"/>
        <v>4334</v>
      </c>
      <c r="V466" s="492">
        <f t="shared" si="1055"/>
        <v>4314</v>
      </c>
      <c r="W466" s="294">
        <f t="shared" si="1065"/>
        <v>4314</v>
      </c>
      <c r="X466" s="787"/>
      <c r="Y466" s="1097"/>
      <c r="Z466" s="1097"/>
      <c r="AA466" s="1097"/>
      <c r="AB466" s="197" t="s">
        <v>282</v>
      </c>
    </row>
    <row r="467" spans="1:34" ht="12.6" customHeight="1" x14ac:dyDescent="0.25">
      <c r="A467" s="18"/>
      <c r="B467" s="1219" t="s">
        <v>555</v>
      </c>
      <c r="C467" s="696"/>
      <c r="D467" s="696"/>
      <c r="E467" s="697"/>
      <c r="F467" s="487">
        <v>3300</v>
      </c>
      <c r="G467" s="293">
        <f>+F467*$X$1</f>
        <v>3300</v>
      </c>
      <c r="H467" s="644">
        <f t="shared" si="1042"/>
        <v>3800</v>
      </c>
      <c r="I467" s="293">
        <f t="shared" si="1058"/>
        <v>3800</v>
      </c>
      <c r="J467" s="644">
        <f t="shared" si="1044"/>
        <v>3660</v>
      </c>
      <c r="K467" s="293">
        <f t="shared" si="1059"/>
        <v>3660</v>
      </c>
      <c r="L467" s="644">
        <f t="shared" si="1046"/>
        <v>3610</v>
      </c>
      <c r="M467" s="293">
        <f t="shared" si="1060"/>
        <v>3610</v>
      </c>
      <c r="N467" s="644">
        <f t="shared" si="1047"/>
        <v>3580</v>
      </c>
      <c r="O467" s="293">
        <f t="shared" si="1061"/>
        <v>3580</v>
      </c>
      <c r="P467" s="644">
        <f t="shared" si="1049"/>
        <v>3550</v>
      </c>
      <c r="Q467" s="293">
        <f t="shared" si="1062"/>
        <v>3550</v>
      </c>
      <c r="R467" s="644">
        <f t="shared" si="1051"/>
        <v>3530</v>
      </c>
      <c r="S467" s="293">
        <f t="shared" si="1063"/>
        <v>3530</v>
      </c>
      <c r="T467" s="644">
        <f t="shared" si="1053"/>
        <v>3510</v>
      </c>
      <c r="U467" s="293">
        <f t="shared" si="1064"/>
        <v>3510</v>
      </c>
      <c r="V467" s="644">
        <f t="shared" si="1055"/>
        <v>3490</v>
      </c>
      <c r="W467" s="293">
        <f t="shared" si="1065"/>
        <v>3490</v>
      </c>
      <c r="X467" s="787"/>
      <c r="Y467" s="1097"/>
      <c r="Z467" s="1097"/>
      <c r="AA467" s="1097"/>
      <c r="AB467" s="29"/>
    </row>
    <row r="468" spans="1:34" ht="12.6" customHeight="1" x14ac:dyDescent="0.25">
      <c r="A468" s="18"/>
      <c r="B468" s="704" t="s">
        <v>338</v>
      </c>
      <c r="C468" s="705"/>
      <c r="D468" s="705"/>
      <c r="E468" s="705"/>
      <c r="F468" s="339">
        <v>6552</v>
      </c>
      <c r="G468" s="294">
        <f t="shared" si="1066"/>
        <v>6552</v>
      </c>
      <c r="H468" s="492">
        <f t="shared" si="1042"/>
        <v>7052</v>
      </c>
      <c r="I468" s="294">
        <f t="shared" si="1058"/>
        <v>7052</v>
      </c>
      <c r="J468" s="492">
        <f t="shared" si="1044"/>
        <v>6912</v>
      </c>
      <c r="K468" s="294">
        <f t="shared" si="1059"/>
        <v>6912</v>
      </c>
      <c r="L468" s="492">
        <f t="shared" si="1046"/>
        <v>6862</v>
      </c>
      <c r="M468" s="294">
        <f t="shared" si="1060"/>
        <v>6862</v>
      </c>
      <c r="N468" s="492">
        <f t="shared" si="1047"/>
        <v>6832</v>
      </c>
      <c r="O468" s="294">
        <f t="shared" si="1061"/>
        <v>6832</v>
      </c>
      <c r="P468" s="492">
        <f t="shared" si="1049"/>
        <v>6802</v>
      </c>
      <c r="Q468" s="294">
        <f t="shared" si="1062"/>
        <v>6802</v>
      </c>
      <c r="R468" s="492">
        <f t="shared" si="1051"/>
        <v>6782</v>
      </c>
      <c r="S468" s="294">
        <f t="shared" si="1063"/>
        <v>6782</v>
      </c>
      <c r="T468" s="492">
        <f t="shared" si="1053"/>
        <v>6762</v>
      </c>
      <c r="U468" s="294">
        <f t="shared" si="1064"/>
        <v>6762</v>
      </c>
      <c r="V468" s="492">
        <f t="shared" si="1055"/>
        <v>6742</v>
      </c>
      <c r="W468" s="294">
        <f t="shared" si="1065"/>
        <v>6742</v>
      </c>
      <c r="X468" s="787"/>
      <c r="Y468" s="1097"/>
      <c r="Z468" s="1097"/>
      <c r="AA468" s="1097"/>
      <c r="AB468" s="197" t="s">
        <v>283</v>
      </c>
    </row>
    <row r="469" spans="1:34" ht="12.6" customHeight="1" x14ac:dyDescent="0.2">
      <c r="A469" s="18"/>
      <c r="B469" s="683" t="s">
        <v>785</v>
      </c>
      <c r="C469" s="1109"/>
      <c r="D469" s="1109"/>
      <c r="E469" s="1109"/>
      <c r="F469" s="293">
        <v>11450</v>
      </c>
      <c r="G469" s="293">
        <f>+F469*$X$1</f>
        <v>11450</v>
      </c>
      <c r="H469" s="644">
        <f>F469+550</f>
        <v>12000</v>
      </c>
      <c r="I469" s="293">
        <f t="shared" si="1043"/>
        <v>12000</v>
      </c>
      <c r="J469" s="644">
        <f>F469+390</f>
        <v>11840</v>
      </c>
      <c r="K469" s="293">
        <f t="shared" si="1045"/>
        <v>11840</v>
      </c>
      <c r="L469" s="644">
        <f>F469+340</f>
        <v>11790</v>
      </c>
      <c r="M469" s="293">
        <f t="shared" si="1060"/>
        <v>11790</v>
      </c>
      <c r="N469" s="644">
        <f>F469+310</f>
        <v>11760</v>
      </c>
      <c r="O469" s="293">
        <f t="shared" si="1061"/>
        <v>11760</v>
      </c>
      <c r="P469" s="644">
        <f>F469+280</f>
        <v>11730</v>
      </c>
      <c r="Q469" s="293">
        <f t="shared" si="1062"/>
        <v>11730</v>
      </c>
      <c r="R469" s="644">
        <f>F469+250</f>
        <v>11700</v>
      </c>
      <c r="S469" s="293">
        <f t="shared" si="1063"/>
        <v>11700</v>
      </c>
      <c r="T469" s="644">
        <f>F469+220</f>
        <v>11670</v>
      </c>
      <c r="U469" s="293">
        <f t="shared" si="1064"/>
        <v>11670</v>
      </c>
      <c r="V469" s="644">
        <f>F469+200</f>
        <v>11650</v>
      </c>
      <c r="W469" s="293">
        <f t="shared" si="1065"/>
        <v>11650</v>
      </c>
      <c r="X469" s="151"/>
      <c r="Y469" s="136"/>
      <c r="Z469" s="136"/>
      <c r="AA469" s="139"/>
      <c r="AB469" s="197" t="s">
        <v>284</v>
      </c>
    </row>
    <row r="470" spans="1:34" ht="12.6" customHeight="1" x14ac:dyDescent="0.2">
      <c r="A470" s="18"/>
      <c r="B470" s="704" t="s">
        <v>786</v>
      </c>
      <c r="C470" s="1002"/>
      <c r="D470" s="1002"/>
      <c r="E470" s="1002"/>
      <c r="F470" s="294">
        <v>11500</v>
      </c>
      <c r="G470" s="294">
        <f t="shared" ref="G470" si="1067">+F470*$X$1</f>
        <v>11500</v>
      </c>
      <c r="H470" s="492">
        <f>F470+550</f>
        <v>12050</v>
      </c>
      <c r="I470" s="294">
        <f t="shared" si="1043"/>
        <v>12050</v>
      </c>
      <c r="J470" s="492">
        <f>F470+390</f>
        <v>11890</v>
      </c>
      <c r="K470" s="294">
        <f t="shared" si="1045"/>
        <v>11890</v>
      </c>
      <c r="L470" s="492">
        <f>F470+340</f>
        <v>11840</v>
      </c>
      <c r="M470" s="294">
        <f t="shared" si="1060"/>
        <v>11840</v>
      </c>
      <c r="N470" s="492">
        <f>F470+310</f>
        <v>11810</v>
      </c>
      <c r="O470" s="294">
        <f t="shared" si="1061"/>
        <v>11810</v>
      </c>
      <c r="P470" s="492">
        <f>F470+280</f>
        <v>11780</v>
      </c>
      <c r="Q470" s="294">
        <f t="shared" si="1062"/>
        <v>11780</v>
      </c>
      <c r="R470" s="492">
        <f>F470+250</f>
        <v>11750</v>
      </c>
      <c r="S470" s="294">
        <f t="shared" si="1063"/>
        <v>11750</v>
      </c>
      <c r="T470" s="492">
        <f>F470+220</f>
        <v>11720</v>
      </c>
      <c r="U470" s="294">
        <f t="shared" si="1064"/>
        <v>11720</v>
      </c>
      <c r="V470" s="492">
        <f>F470+200</f>
        <v>11700</v>
      </c>
      <c r="W470" s="294">
        <f t="shared" si="1065"/>
        <v>11700</v>
      </c>
      <c r="X470" s="151"/>
      <c r="Y470" s="136"/>
      <c r="Z470" s="136"/>
      <c r="AA470" s="139"/>
      <c r="AB470" s="197" t="s">
        <v>285</v>
      </c>
    </row>
    <row r="471" spans="1:34" ht="12.6" customHeight="1" x14ac:dyDescent="0.2">
      <c r="A471" s="18"/>
      <c r="B471" s="683" t="s">
        <v>286</v>
      </c>
      <c r="C471" s="712"/>
      <c r="D471" s="712"/>
      <c r="E471" s="712"/>
      <c r="F471" s="293">
        <v>7920</v>
      </c>
      <c r="G471" s="293">
        <f>+F471*$X$1</f>
        <v>7920</v>
      </c>
      <c r="H471" s="644">
        <f>F471+550</f>
        <v>8470</v>
      </c>
      <c r="I471" s="293">
        <f t="shared" ref="I471:I472" si="1068">+H471*$X$1</f>
        <v>8470</v>
      </c>
      <c r="J471" s="644">
        <f>F471+390</f>
        <v>8310</v>
      </c>
      <c r="K471" s="293">
        <f t="shared" ref="K471:K472" si="1069">+J471*$X$1</f>
        <v>8310</v>
      </c>
      <c r="L471" s="644">
        <f>F471+340</f>
        <v>8260</v>
      </c>
      <c r="M471" s="293">
        <f t="shared" ref="M471:M472" si="1070">+L471*$X$1</f>
        <v>8260</v>
      </c>
      <c r="N471" s="644">
        <f>F471+310</f>
        <v>8230</v>
      </c>
      <c r="O471" s="293">
        <f t="shared" ref="O471:O472" si="1071">+N471*$X$1</f>
        <v>8230</v>
      </c>
      <c r="P471" s="644">
        <f>F471+280</f>
        <v>8200</v>
      </c>
      <c r="Q471" s="293">
        <f t="shared" ref="Q471:Q472" si="1072">+P471*$X$1</f>
        <v>8200</v>
      </c>
      <c r="R471" s="644">
        <f>F471+250</f>
        <v>8170</v>
      </c>
      <c r="S471" s="293">
        <f t="shared" ref="S471:S472" si="1073">+R471*$X$1</f>
        <v>8170</v>
      </c>
      <c r="T471" s="644">
        <f>F471+220</f>
        <v>8140</v>
      </c>
      <c r="U471" s="293">
        <f t="shared" ref="U471:U472" si="1074">+T471*$X$1</f>
        <v>8140</v>
      </c>
      <c r="V471" s="644">
        <f>F471+200</f>
        <v>8120</v>
      </c>
      <c r="W471" s="293">
        <f t="shared" ref="W471:W472" si="1075">+V471*$X$1</f>
        <v>8120</v>
      </c>
      <c r="X471" s="151"/>
      <c r="Y471" s="136"/>
      <c r="Z471" s="136"/>
      <c r="AA471" s="139"/>
      <c r="AB471" s="197" t="s">
        <v>287</v>
      </c>
    </row>
    <row r="472" spans="1:34" ht="12.6" customHeight="1" x14ac:dyDescent="0.2">
      <c r="A472" s="18"/>
      <c r="B472" s="704" t="s">
        <v>288</v>
      </c>
      <c r="C472" s="705"/>
      <c r="D472" s="705"/>
      <c r="E472" s="705"/>
      <c r="F472" s="294">
        <v>8798</v>
      </c>
      <c r="G472" s="294">
        <f>+F472*$X$1</f>
        <v>8798</v>
      </c>
      <c r="H472" s="492">
        <f>F472+550</f>
        <v>9348</v>
      </c>
      <c r="I472" s="294">
        <f t="shared" si="1068"/>
        <v>9348</v>
      </c>
      <c r="J472" s="492">
        <f>F472+390</f>
        <v>9188</v>
      </c>
      <c r="K472" s="294">
        <f t="shared" si="1069"/>
        <v>9188</v>
      </c>
      <c r="L472" s="492">
        <f>F472+340</f>
        <v>9138</v>
      </c>
      <c r="M472" s="294">
        <f t="shared" si="1070"/>
        <v>9138</v>
      </c>
      <c r="N472" s="492">
        <f>F472+310</f>
        <v>9108</v>
      </c>
      <c r="O472" s="294">
        <f t="shared" si="1071"/>
        <v>9108</v>
      </c>
      <c r="P472" s="492">
        <f>F472+280</f>
        <v>9078</v>
      </c>
      <c r="Q472" s="294">
        <f t="shared" si="1072"/>
        <v>9078</v>
      </c>
      <c r="R472" s="492">
        <f>F472+250</f>
        <v>9048</v>
      </c>
      <c r="S472" s="294">
        <f t="shared" si="1073"/>
        <v>9048</v>
      </c>
      <c r="T472" s="492">
        <f>F472+220</f>
        <v>9018</v>
      </c>
      <c r="U472" s="294">
        <f t="shared" si="1074"/>
        <v>9018</v>
      </c>
      <c r="V472" s="492">
        <f>F472+200</f>
        <v>8998</v>
      </c>
      <c r="W472" s="294">
        <f t="shared" si="1075"/>
        <v>8998</v>
      </c>
      <c r="X472" s="151"/>
      <c r="Y472" s="136"/>
      <c r="Z472" s="136"/>
      <c r="AA472" s="139"/>
      <c r="AB472" s="197" t="s">
        <v>289</v>
      </c>
    </row>
    <row r="473" spans="1:34" ht="12.6" customHeight="1" x14ac:dyDescent="0.2">
      <c r="A473" s="18"/>
      <c r="B473" s="683" t="s">
        <v>584</v>
      </c>
      <c r="C473" s="712"/>
      <c r="D473" s="712"/>
      <c r="E473" s="712"/>
      <c r="F473" s="392">
        <f>3.82*X2</f>
        <v>3961.3399999999997</v>
      </c>
      <c r="G473" s="293">
        <f t="shared" ref="G473" si="1076">+F473*$X$1</f>
        <v>3961.3399999999997</v>
      </c>
      <c r="H473" s="644">
        <f>F473+500</f>
        <v>4461.34</v>
      </c>
      <c r="I473" s="293">
        <f t="shared" ref="I473:I476" si="1077">+H473*$X$1</f>
        <v>4461.34</v>
      </c>
      <c r="J473" s="644">
        <f>F473+300</f>
        <v>4261.34</v>
      </c>
      <c r="K473" s="293">
        <f t="shared" ref="K473:K476" si="1078">+J473*$X$1</f>
        <v>4261.34</v>
      </c>
      <c r="L473" s="644">
        <f>F473+210</f>
        <v>4171.34</v>
      </c>
      <c r="M473" s="293">
        <f t="shared" ref="M473:M476" si="1079">+L473*$X$1</f>
        <v>4171.34</v>
      </c>
      <c r="N473" s="644">
        <f>F473+180</f>
        <v>4141.34</v>
      </c>
      <c r="O473" s="293">
        <f>+N473*$X$1</f>
        <v>4141.34</v>
      </c>
      <c r="P473" s="644">
        <f>F473+160</f>
        <v>4121.34</v>
      </c>
      <c r="Q473" s="293">
        <f t="shared" ref="Q473:Q476" si="1080">+P473*$X$1</f>
        <v>4121.34</v>
      </c>
      <c r="R473" s="644">
        <f>F473+140</f>
        <v>4101.34</v>
      </c>
      <c r="S473" s="293">
        <f t="shared" ref="S473:S476" si="1081">+R473*$X$1</f>
        <v>4101.34</v>
      </c>
      <c r="T473" s="644">
        <f>F473+120</f>
        <v>4081.3399999999997</v>
      </c>
      <c r="U473" s="293">
        <f t="shared" ref="U473:U476" si="1082">+T473*$X$1</f>
        <v>4081.3399999999997</v>
      </c>
      <c r="V473" s="644">
        <f>F473+90</f>
        <v>4051.3399999999997</v>
      </c>
      <c r="W473" s="293">
        <f t="shared" ref="W473:W476" si="1083">+V473*$X$1</f>
        <v>4051.3399999999997</v>
      </c>
      <c r="X473" s="1106"/>
      <c r="Y473" s="1107"/>
      <c r="Z473" s="1107"/>
      <c r="AA473" s="1108"/>
      <c r="AB473" s="197" t="s">
        <v>290</v>
      </c>
    </row>
    <row r="474" spans="1:34" ht="12.6" customHeight="1" x14ac:dyDescent="0.2">
      <c r="A474" s="18"/>
      <c r="B474" s="704" t="s">
        <v>664</v>
      </c>
      <c r="C474" s="705"/>
      <c r="D474" s="705"/>
      <c r="E474" s="705"/>
      <c r="F474" s="393">
        <f>3.82*X2</f>
        <v>3961.3399999999997</v>
      </c>
      <c r="G474" s="294">
        <f t="shared" ref="G474" si="1084">+F474*$X$1</f>
        <v>3961.3399999999997</v>
      </c>
      <c r="H474" s="492">
        <f>F474+500</f>
        <v>4461.34</v>
      </c>
      <c r="I474" s="294">
        <f t="shared" si="1077"/>
        <v>4461.34</v>
      </c>
      <c r="J474" s="492">
        <f>F474+360</f>
        <v>4321.34</v>
      </c>
      <c r="K474" s="294">
        <f t="shared" si="1078"/>
        <v>4321.34</v>
      </c>
      <c r="L474" s="492">
        <f>F474+310</f>
        <v>4271.34</v>
      </c>
      <c r="M474" s="294">
        <f t="shared" si="1079"/>
        <v>4271.34</v>
      </c>
      <c r="N474" s="492">
        <f>F474+280</f>
        <v>4241.34</v>
      </c>
      <c r="O474" s="294">
        <f t="shared" ref="O474:O476" si="1085">+N474*$X$1</f>
        <v>4241.34</v>
      </c>
      <c r="P474" s="492">
        <f>F474+250</f>
        <v>4211.34</v>
      </c>
      <c r="Q474" s="294">
        <f t="shared" si="1080"/>
        <v>4211.34</v>
      </c>
      <c r="R474" s="492">
        <f>F474+230</f>
        <v>4191.34</v>
      </c>
      <c r="S474" s="294">
        <f t="shared" si="1081"/>
        <v>4191.34</v>
      </c>
      <c r="T474" s="492">
        <f>F474+210</f>
        <v>4171.34</v>
      </c>
      <c r="U474" s="294">
        <f t="shared" si="1082"/>
        <v>4171.34</v>
      </c>
      <c r="V474" s="492">
        <f>F474+190</f>
        <v>4151.34</v>
      </c>
      <c r="W474" s="294">
        <f t="shared" si="1083"/>
        <v>4151.34</v>
      </c>
      <c r="X474" s="1106"/>
      <c r="Y474" s="1107"/>
      <c r="Z474" s="1107"/>
      <c r="AA474" s="1108"/>
      <c r="AB474" s="197" t="s">
        <v>665</v>
      </c>
    </row>
    <row r="475" spans="1:34" ht="12.6" customHeight="1" x14ac:dyDescent="0.2">
      <c r="A475" s="18"/>
      <c r="B475" s="683" t="s">
        <v>406</v>
      </c>
      <c r="C475" s="927"/>
      <c r="D475" s="927"/>
      <c r="E475" s="927"/>
      <c r="F475" s="392">
        <f>3.116*X2</f>
        <v>3231.2919999999999</v>
      </c>
      <c r="G475" s="293">
        <f t="shared" ref="G475" si="1086">+F475*$X$1</f>
        <v>3231.2919999999999</v>
      </c>
      <c r="H475" s="644">
        <f>F475+500</f>
        <v>3731.2919999999999</v>
      </c>
      <c r="I475" s="293">
        <f t="shared" si="1077"/>
        <v>3731.2919999999999</v>
      </c>
      <c r="J475" s="644">
        <f>F475+360</f>
        <v>3591.2919999999999</v>
      </c>
      <c r="K475" s="293">
        <f t="shared" si="1078"/>
        <v>3591.2919999999999</v>
      </c>
      <c r="L475" s="644">
        <f>F475+310</f>
        <v>3541.2919999999999</v>
      </c>
      <c r="M475" s="293">
        <f t="shared" si="1079"/>
        <v>3541.2919999999999</v>
      </c>
      <c r="N475" s="644">
        <f>F475+280</f>
        <v>3511.2919999999999</v>
      </c>
      <c r="O475" s="293">
        <f t="shared" si="1085"/>
        <v>3511.2919999999999</v>
      </c>
      <c r="P475" s="644">
        <f>F475+250</f>
        <v>3481.2919999999999</v>
      </c>
      <c r="Q475" s="293">
        <f t="shared" si="1080"/>
        <v>3481.2919999999999</v>
      </c>
      <c r="R475" s="644">
        <f>F475+230</f>
        <v>3461.2919999999999</v>
      </c>
      <c r="S475" s="293">
        <f t="shared" si="1081"/>
        <v>3461.2919999999999</v>
      </c>
      <c r="T475" s="644">
        <f>F475+210</f>
        <v>3441.2919999999999</v>
      </c>
      <c r="U475" s="293">
        <f t="shared" si="1082"/>
        <v>3441.2919999999999</v>
      </c>
      <c r="V475" s="644">
        <f>F475+190</f>
        <v>3421.2919999999999</v>
      </c>
      <c r="W475" s="293">
        <f t="shared" si="1083"/>
        <v>3421.2919999999999</v>
      </c>
      <c r="X475" s="1106"/>
      <c r="Y475" s="1107"/>
      <c r="Z475" s="1107"/>
      <c r="AA475" s="1108"/>
      <c r="AB475" s="197" t="s">
        <v>481</v>
      </c>
    </row>
    <row r="476" spans="1:34" ht="12.6" customHeight="1" x14ac:dyDescent="0.2">
      <c r="A476" s="18"/>
      <c r="B476" s="704" t="s">
        <v>714</v>
      </c>
      <c r="C476" s="928"/>
      <c r="D476" s="928"/>
      <c r="E476" s="928"/>
      <c r="F476" s="393">
        <f>7.73*X2</f>
        <v>8016.01</v>
      </c>
      <c r="G476" s="294">
        <f t="shared" ref="G476" si="1087">+F476*$X$1</f>
        <v>8016.01</v>
      </c>
      <c r="H476" s="492">
        <f>F476+500</f>
        <v>8516.01</v>
      </c>
      <c r="I476" s="294">
        <f t="shared" si="1077"/>
        <v>8516.01</v>
      </c>
      <c r="J476" s="492">
        <f>F476+360</f>
        <v>8376.01</v>
      </c>
      <c r="K476" s="294">
        <f t="shared" si="1078"/>
        <v>8376.01</v>
      </c>
      <c r="L476" s="492">
        <f>F476+310</f>
        <v>8326.01</v>
      </c>
      <c r="M476" s="294">
        <f t="shared" si="1079"/>
        <v>8326.01</v>
      </c>
      <c r="N476" s="492">
        <f>F476+280</f>
        <v>8296.01</v>
      </c>
      <c r="O476" s="294">
        <f t="shared" si="1085"/>
        <v>8296.01</v>
      </c>
      <c r="P476" s="492">
        <f>F476+250</f>
        <v>8266.01</v>
      </c>
      <c r="Q476" s="294">
        <f t="shared" si="1080"/>
        <v>8266.01</v>
      </c>
      <c r="R476" s="492">
        <f>F476+230</f>
        <v>8246.01</v>
      </c>
      <c r="S476" s="294">
        <f t="shared" si="1081"/>
        <v>8246.01</v>
      </c>
      <c r="T476" s="492">
        <f>F476+210</f>
        <v>8226.01</v>
      </c>
      <c r="U476" s="294">
        <f t="shared" si="1082"/>
        <v>8226.01</v>
      </c>
      <c r="V476" s="492">
        <f>F476+190</f>
        <v>8206.01</v>
      </c>
      <c r="W476" s="294">
        <f t="shared" si="1083"/>
        <v>8206.01</v>
      </c>
      <c r="X476" s="1106"/>
      <c r="Y476" s="1107"/>
      <c r="Z476" s="1107"/>
      <c r="AA476" s="1108"/>
      <c r="AB476" s="197" t="s">
        <v>715</v>
      </c>
    </row>
    <row r="477" spans="1:34" ht="12.6" customHeight="1" x14ac:dyDescent="0.2">
      <c r="A477" s="105"/>
      <c r="B477" s="234"/>
      <c r="C477" s="63"/>
      <c r="D477" s="63"/>
      <c r="E477" s="63"/>
      <c r="F477" s="130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235"/>
      <c r="Y477" s="236"/>
      <c r="Z477" s="236"/>
      <c r="AA477" s="235"/>
      <c r="AB477" s="40"/>
      <c r="AC477" s="66"/>
    </row>
    <row r="478" spans="1:34" ht="14.25" customHeight="1" x14ac:dyDescent="0.2">
      <c r="B478" s="665" t="s">
        <v>512</v>
      </c>
      <c r="C478" s="666"/>
      <c r="D478" s="666"/>
      <c r="E478" s="666"/>
      <c r="F478" s="666"/>
      <c r="G478" s="666"/>
      <c r="H478" s="666"/>
      <c r="I478" s="666"/>
      <c r="J478" s="666"/>
      <c r="K478" s="666"/>
      <c r="L478" s="666"/>
      <c r="M478" s="666"/>
      <c r="N478" s="666"/>
      <c r="O478" s="666"/>
      <c r="P478" s="666"/>
      <c r="Q478" s="666"/>
      <c r="R478" s="666"/>
      <c r="S478" s="666"/>
      <c r="T478" s="666"/>
      <c r="U478" s="666"/>
      <c r="V478" s="666"/>
      <c r="W478" s="666"/>
      <c r="AB478" s="4"/>
      <c r="AF478" s="645"/>
      <c r="AG478" s="646"/>
      <c r="AH478" s="646"/>
    </row>
    <row r="479" spans="1:34" ht="13.5" customHeight="1" x14ac:dyDescent="0.2">
      <c r="B479" s="669" t="s">
        <v>11</v>
      </c>
      <c r="C479" s="669" t="s">
        <v>12</v>
      </c>
      <c r="D479" s="670"/>
      <c r="E479" s="670"/>
      <c r="F479" s="671" t="s">
        <v>291</v>
      </c>
      <c r="G479" s="671" t="s">
        <v>13</v>
      </c>
      <c r="H479" s="673" t="s">
        <v>951</v>
      </c>
      <c r="I479" s="673"/>
      <c r="J479" s="674"/>
      <c r="K479" s="674"/>
      <c r="L479" s="674"/>
      <c r="M479" s="674"/>
      <c r="N479" s="674"/>
      <c r="O479" s="674"/>
      <c r="P479" s="674"/>
      <c r="Q479" s="674"/>
      <c r="R479" s="674"/>
      <c r="S479" s="674"/>
      <c r="T479" s="674"/>
      <c r="U479" s="674"/>
      <c r="V479" s="674"/>
      <c r="W479" s="674"/>
      <c r="X479" s="657" t="s">
        <v>14</v>
      </c>
      <c r="Y479" s="658"/>
      <c r="Z479" s="658"/>
      <c r="AA479" s="659"/>
      <c r="AB479" s="663" t="s">
        <v>15</v>
      </c>
      <c r="AF479" s="645" t="s">
        <v>3</v>
      </c>
      <c r="AG479" s="646"/>
      <c r="AH479" s="646"/>
    </row>
    <row r="480" spans="1:34" ht="9.75" customHeight="1" x14ac:dyDescent="0.2">
      <c r="B480" s="670"/>
      <c r="C480" s="670"/>
      <c r="D480" s="670"/>
      <c r="E480" s="670"/>
      <c r="F480" s="672"/>
      <c r="G480" s="672"/>
      <c r="H480" s="510"/>
      <c r="I480" s="509" t="s">
        <v>579</v>
      </c>
      <c r="J480" s="510"/>
      <c r="K480" s="509" t="s">
        <v>292</v>
      </c>
      <c r="L480" s="510"/>
      <c r="M480" s="509" t="s">
        <v>293</v>
      </c>
      <c r="N480" s="510"/>
      <c r="O480" s="509" t="s">
        <v>581</v>
      </c>
      <c r="P480" s="510"/>
      <c r="Q480" s="509" t="s">
        <v>17</v>
      </c>
      <c r="R480" s="510"/>
      <c r="S480" s="509" t="s">
        <v>18</v>
      </c>
      <c r="T480" s="510"/>
      <c r="U480" s="509" t="s">
        <v>19</v>
      </c>
      <c r="V480" s="510"/>
      <c r="W480" s="509" t="s">
        <v>582</v>
      </c>
      <c r="X480" s="660"/>
      <c r="Y480" s="661"/>
      <c r="Z480" s="661"/>
      <c r="AA480" s="662"/>
      <c r="AB480" s="664"/>
    </row>
    <row r="481" spans="1:28" ht="12" customHeight="1" x14ac:dyDescent="0.2">
      <c r="A481" s="4"/>
      <c r="B481" s="910" t="s">
        <v>778</v>
      </c>
      <c r="C481" s="713"/>
      <c r="D481" s="713"/>
      <c r="E481" s="713"/>
      <c r="F481" s="396">
        <f>8.9*X2</f>
        <v>9229.3000000000011</v>
      </c>
      <c r="G481" s="328">
        <f t="shared" ref="G481" si="1088">+F481*$X$1</f>
        <v>9229.3000000000011</v>
      </c>
      <c r="H481" s="103">
        <f>F481+5000</f>
        <v>14229.300000000001</v>
      </c>
      <c r="I481" s="328">
        <f t="shared" ref="I481" si="1089">+H481*$X$1</f>
        <v>14229.300000000001</v>
      </c>
      <c r="J481" s="103">
        <f>F481+1100</f>
        <v>10329.300000000001</v>
      </c>
      <c r="K481" s="328">
        <f t="shared" ref="K481" si="1090">+J481*$X$1</f>
        <v>10329.300000000001</v>
      </c>
      <c r="L481" s="103">
        <f>F481+990</f>
        <v>10219.300000000001</v>
      </c>
      <c r="M481" s="328">
        <f t="shared" ref="M481" si="1091">+L481*$X$1</f>
        <v>10219.300000000001</v>
      </c>
      <c r="N481" s="103">
        <f>F481+920</f>
        <v>10149.300000000001</v>
      </c>
      <c r="O481" s="328">
        <f t="shared" ref="O481" si="1092">+N481*$X$1</f>
        <v>10149.300000000001</v>
      </c>
      <c r="P481" s="103">
        <f>F481+860</f>
        <v>10089.300000000001</v>
      </c>
      <c r="Q481" s="328">
        <f t="shared" ref="Q481" si="1093">+P481*$X$1</f>
        <v>10089.300000000001</v>
      </c>
      <c r="R481" s="103">
        <f>F481+800</f>
        <v>10029.300000000001</v>
      </c>
      <c r="S481" s="328">
        <f t="shared" ref="S481" si="1094">+R481*$X$1</f>
        <v>10029.300000000001</v>
      </c>
      <c r="T481" s="103">
        <f>F481+750</f>
        <v>9979.3000000000011</v>
      </c>
      <c r="U481" s="328">
        <f t="shared" ref="U481" si="1095">+T481*$X$1</f>
        <v>9979.3000000000011</v>
      </c>
      <c r="V481" s="103">
        <f>F481+710</f>
        <v>9939.3000000000011</v>
      </c>
      <c r="W481" s="328">
        <f t="shared" ref="W481" si="1096">+V481*$X$1</f>
        <v>9939.3000000000011</v>
      </c>
      <c r="X481" s="141"/>
      <c r="Y481" s="136"/>
      <c r="Z481" s="142"/>
      <c r="AA481" s="143"/>
      <c r="AB481" s="434" t="s">
        <v>782</v>
      </c>
    </row>
    <row r="482" spans="1:28" ht="12" customHeight="1" x14ac:dyDescent="0.2">
      <c r="A482" s="4"/>
      <c r="B482" s="813" t="s">
        <v>777</v>
      </c>
      <c r="C482" s="814"/>
      <c r="D482" s="814"/>
      <c r="E482" s="814"/>
      <c r="F482" s="397">
        <f>8.9*X2</f>
        <v>9229.3000000000011</v>
      </c>
      <c r="G482" s="314">
        <f t="shared" ref="G482" si="1097">+F482*$X$1</f>
        <v>9229.3000000000011</v>
      </c>
      <c r="H482" s="104">
        <f>F482+4000</f>
        <v>13229.300000000001</v>
      </c>
      <c r="I482" s="314">
        <f t="shared" ref="I482" si="1098">+H482*$X$1</f>
        <v>13229.300000000001</v>
      </c>
      <c r="J482" s="104">
        <f>F482+800</f>
        <v>10029.300000000001</v>
      </c>
      <c r="K482" s="314">
        <f t="shared" ref="K482" si="1099">+J482*$X$1</f>
        <v>10029.300000000001</v>
      </c>
      <c r="L482" s="104">
        <f>F482+600</f>
        <v>9829.3000000000011</v>
      </c>
      <c r="M482" s="314">
        <f t="shared" ref="M482" si="1100">+L482*$X$1</f>
        <v>9829.3000000000011</v>
      </c>
      <c r="N482" s="104">
        <f>F482+500</f>
        <v>9729.3000000000011</v>
      </c>
      <c r="O482" s="314">
        <f t="shared" ref="O482" si="1101">+N482*$X$1</f>
        <v>9729.3000000000011</v>
      </c>
      <c r="P482" s="104">
        <f>F482+460</f>
        <v>9689.3000000000011</v>
      </c>
      <c r="Q482" s="314">
        <f t="shared" ref="Q482" si="1102">+P482*$X$1</f>
        <v>9689.3000000000011</v>
      </c>
      <c r="R482" s="104">
        <f>F482+440</f>
        <v>9669.3000000000011</v>
      </c>
      <c r="S482" s="314">
        <f t="shared" ref="S482" si="1103">+R482*$X$1</f>
        <v>9669.3000000000011</v>
      </c>
      <c r="T482" s="104">
        <f>F482+400</f>
        <v>9629.3000000000011</v>
      </c>
      <c r="U482" s="314">
        <f t="shared" ref="U482" si="1104">+T482*$X$1</f>
        <v>9629.3000000000011</v>
      </c>
      <c r="V482" s="104">
        <f>F482+370</f>
        <v>9599.3000000000011</v>
      </c>
      <c r="W482" s="314">
        <f t="shared" ref="W482" si="1105">+V482*$X$1</f>
        <v>9599.3000000000011</v>
      </c>
      <c r="X482" s="141"/>
      <c r="Y482" s="136"/>
      <c r="Z482" s="142"/>
      <c r="AA482" s="143"/>
      <c r="AB482" s="420">
        <v>873</v>
      </c>
    </row>
    <row r="483" spans="1:28" ht="12" customHeight="1" x14ac:dyDescent="0.2">
      <c r="A483" s="4"/>
      <c r="B483" s="910" t="s">
        <v>731</v>
      </c>
      <c r="C483" s="713"/>
      <c r="D483" s="713"/>
      <c r="E483" s="713"/>
      <c r="F483" s="396">
        <f>17.6*X2</f>
        <v>18251.2</v>
      </c>
      <c r="G483" s="328">
        <f t="shared" ref="G483" si="1106">+F483*$X$1</f>
        <v>18251.2</v>
      </c>
      <c r="H483" s="103">
        <f>F483+4000</f>
        <v>22251.200000000001</v>
      </c>
      <c r="I483" s="328">
        <f t="shared" ref="I483:I484" si="1107">+H483*$X$1</f>
        <v>22251.200000000001</v>
      </c>
      <c r="J483" s="103">
        <f>F483+800</f>
        <v>19051.2</v>
      </c>
      <c r="K483" s="328">
        <f t="shared" ref="K483" si="1108">+J483*$X$1</f>
        <v>19051.2</v>
      </c>
      <c r="L483" s="103">
        <f>F483+600</f>
        <v>18851.2</v>
      </c>
      <c r="M483" s="328">
        <f t="shared" ref="M483" si="1109">+L483*$X$1</f>
        <v>18851.2</v>
      </c>
      <c r="N483" s="103">
        <f>F483+500</f>
        <v>18751.2</v>
      </c>
      <c r="O483" s="328">
        <f t="shared" ref="O483:O484" si="1110">+N483*$X$1</f>
        <v>18751.2</v>
      </c>
      <c r="P483" s="103">
        <f>F483+460</f>
        <v>18711.2</v>
      </c>
      <c r="Q483" s="328">
        <f t="shared" ref="Q483:Q484" si="1111">+P483*$X$1</f>
        <v>18711.2</v>
      </c>
      <c r="R483" s="103">
        <f>F483+440</f>
        <v>18691.2</v>
      </c>
      <c r="S483" s="328">
        <f t="shared" ref="S483:S484" si="1112">+R483*$X$1</f>
        <v>18691.2</v>
      </c>
      <c r="T483" s="103">
        <f>F483+400</f>
        <v>18651.2</v>
      </c>
      <c r="U483" s="328">
        <f t="shared" ref="U483:U484" si="1113">+T483*$X$1</f>
        <v>18651.2</v>
      </c>
      <c r="V483" s="103">
        <f>F483+370</f>
        <v>18621.2</v>
      </c>
      <c r="W483" s="328">
        <f t="shared" ref="W483:W484" si="1114">+V483*$X$1</f>
        <v>18621.2</v>
      </c>
      <c r="X483" s="141"/>
      <c r="Y483" s="136"/>
      <c r="Z483" s="142"/>
      <c r="AA483" s="143"/>
      <c r="AB483" s="420">
        <v>874</v>
      </c>
    </row>
    <row r="484" spans="1:28" ht="12.6" customHeight="1" x14ac:dyDescent="0.2">
      <c r="A484" s="4"/>
      <c r="B484" s="813" t="s">
        <v>698</v>
      </c>
      <c r="C484" s="814"/>
      <c r="D484" s="814"/>
      <c r="E484" s="814"/>
      <c r="F484" s="397">
        <f>11*X2</f>
        <v>11407</v>
      </c>
      <c r="G484" s="314">
        <f t="shared" ref="G484:G485" si="1115">+F484*$X$1</f>
        <v>11407</v>
      </c>
      <c r="H484" s="104">
        <f>F484+5000</f>
        <v>16407</v>
      </c>
      <c r="I484" s="314">
        <f t="shared" si="1107"/>
        <v>16407</v>
      </c>
      <c r="J484" s="104">
        <f>F484+1100</f>
        <v>12507</v>
      </c>
      <c r="K484" s="314">
        <f t="shared" ref="K484:K486" si="1116">+J484*$X$1</f>
        <v>12507</v>
      </c>
      <c r="L484" s="104">
        <f>F484+990</f>
        <v>12397</v>
      </c>
      <c r="M484" s="314">
        <f t="shared" ref="M484:M486" si="1117">+L484*$X$1</f>
        <v>12397</v>
      </c>
      <c r="N484" s="104">
        <f>F484+920</f>
        <v>12327</v>
      </c>
      <c r="O484" s="314">
        <f t="shared" si="1110"/>
        <v>12327</v>
      </c>
      <c r="P484" s="104">
        <f>F484+860</f>
        <v>12267</v>
      </c>
      <c r="Q484" s="314">
        <f t="shared" si="1111"/>
        <v>12267</v>
      </c>
      <c r="R484" s="104">
        <f>F484+800</f>
        <v>12207</v>
      </c>
      <c r="S484" s="314">
        <f t="shared" si="1112"/>
        <v>12207</v>
      </c>
      <c r="T484" s="104">
        <f>F484+750</f>
        <v>12157</v>
      </c>
      <c r="U484" s="314">
        <f t="shared" si="1113"/>
        <v>12157</v>
      </c>
      <c r="V484" s="104">
        <f>F484+710</f>
        <v>12117</v>
      </c>
      <c r="W484" s="314">
        <f t="shared" si="1114"/>
        <v>12117</v>
      </c>
      <c r="X484" s="141"/>
      <c r="Y484" s="136"/>
      <c r="Z484" s="142"/>
      <c r="AA484" s="143"/>
      <c r="AB484" s="420" t="s">
        <v>708</v>
      </c>
    </row>
    <row r="485" spans="1:28" ht="12" customHeight="1" x14ac:dyDescent="0.2">
      <c r="A485" s="4"/>
      <c r="B485" s="774" t="s">
        <v>699</v>
      </c>
      <c r="C485" s="705"/>
      <c r="D485" s="705"/>
      <c r="E485" s="705"/>
      <c r="F485" s="396">
        <f>11*X2</f>
        <v>11407</v>
      </c>
      <c r="G485" s="328">
        <f t="shared" si="1115"/>
        <v>11407</v>
      </c>
      <c r="H485" s="103">
        <f>F485+4000</f>
        <v>15407</v>
      </c>
      <c r="I485" s="328">
        <f t="shared" ref="I485:I487" si="1118">+H485*$X$1</f>
        <v>15407</v>
      </c>
      <c r="J485" s="103">
        <f>F485+800</f>
        <v>12207</v>
      </c>
      <c r="K485" s="328">
        <f t="shared" si="1116"/>
        <v>12207</v>
      </c>
      <c r="L485" s="103">
        <f>F485+600</f>
        <v>12007</v>
      </c>
      <c r="M485" s="328">
        <f t="shared" si="1117"/>
        <v>12007</v>
      </c>
      <c r="N485" s="103">
        <f>F485+500</f>
        <v>11907</v>
      </c>
      <c r="O485" s="328">
        <f t="shared" ref="O485:O487" si="1119">+N485*$X$1</f>
        <v>11907</v>
      </c>
      <c r="P485" s="103">
        <f>F485+460</f>
        <v>11867</v>
      </c>
      <c r="Q485" s="328">
        <f t="shared" ref="Q485:Q487" si="1120">+P485*$X$1</f>
        <v>11867</v>
      </c>
      <c r="R485" s="103">
        <f>F485+440</f>
        <v>11847</v>
      </c>
      <c r="S485" s="328">
        <f t="shared" ref="S485:S487" si="1121">+R485*$X$1</f>
        <v>11847</v>
      </c>
      <c r="T485" s="103">
        <f>F485+400</f>
        <v>11807</v>
      </c>
      <c r="U485" s="328">
        <f t="shared" ref="U485:U487" si="1122">+T485*$X$1</f>
        <v>11807</v>
      </c>
      <c r="V485" s="103">
        <f>F485+370</f>
        <v>11777</v>
      </c>
      <c r="W485" s="328">
        <f t="shared" ref="W485:W487" si="1123">+V485*$X$1</f>
        <v>11777</v>
      </c>
      <c r="X485" s="141"/>
      <c r="Y485" s="136"/>
      <c r="Z485" s="142"/>
      <c r="AA485" s="143"/>
      <c r="AB485" s="420">
        <v>875</v>
      </c>
    </row>
    <row r="486" spans="1:28" ht="12.6" customHeight="1" x14ac:dyDescent="0.2">
      <c r="A486" s="4"/>
      <c r="B486" s="813" t="s">
        <v>779</v>
      </c>
      <c r="C486" s="814"/>
      <c r="D486" s="814"/>
      <c r="E486" s="814"/>
      <c r="F486" s="397">
        <f>18.1*X2</f>
        <v>18769.7</v>
      </c>
      <c r="G486" s="314">
        <f t="shared" ref="G486" si="1124">+F486*$X$1</f>
        <v>18769.7</v>
      </c>
      <c r="H486" s="104">
        <f>F486+4000</f>
        <v>22769.7</v>
      </c>
      <c r="I486" s="314">
        <f t="shared" si="1118"/>
        <v>22769.7</v>
      </c>
      <c r="J486" s="104">
        <f>F486+800</f>
        <v>19569.7</v>
      </c>
      <c r="K486" s="314">
        <f t="shared" si="1116"/>
        <v>19569.7</v>
      </c>
      <c r="L486" s="104">
        <f>F486+600</f>
        <v>19369.7</v>
      </c>
      <c r="M486" s="314">
        <f t="shared" si="1117"/>
        <v>19369.7</v>
      </c>
      <c r="N486" s="104">
        <f>F486+500</f>
        <v>19269.7</v>
      </c>
      <c r="O486" s="314">
        <f t="shared" si="1119"/>
        <v>19269.7</v>
      </c>
      <c r="P486" s="104">
        <f>F486+460</f>
        <v>19229.7</v>
      </c>
      <c r="Q486" s="314">
        <f t="shared" si="1120"/>
        <v>19229.7</v>
      </c>
      <c r="R486" s="104">
        <f>F486+440</f>
        <v>19209.7</v>
      </c>
      <c r="S486" s="314">
        <f t="shared" si="1121"/>
        <v>19209.7</v>
      </c>
      <c r="T486" s="104">
        <f>F486+400</f>
        <v>19169.7</v>
      </c>
      <c r="U486" s="314">
        <f t="shared" si="1122"/>
        <v>19169.7</v>
      </c>
      <c r="V486" s="104">
        <f>F486+370</f>
        <v>19139.7</v>
      </c>
      <c r="W486" s="314">
        <f t="shared" si="1123"/>
        <v>19139.7</v>
      </c>
      <c r="X486" s="141"/>
      <c r="Y486" s="136"/>
      <c r="Z486" s="142"/>
      <c r="AA486" s="143"/>
      <c r="AB486" s="420">
        <v>876</v>
      </c>
    </row>
    <row r="487" spans="1:28" ht="12.6" customHeight="1" x14ac:dyDescent="0.2">
      <c r="A487" s="4"/>
      <c r="B487" s="910" t="s">
        <v>732</v>
      </c>
      <c r="C487" s="713"/>
      <c r="D487" s="713"/>
      <c r="E487" s="713"/>
      <c r="F487" s="396">
        <f>15.37*X2</f>
        <v>15938.689999999999</v>
      </c>
      <c r="G487" s="328">
        <f t="shared" ref="G487" si="1125">+F487*$X$1</f>
        <v>15938.689999999999</v>
      </c>
      <c r="H487" s="103">
        <f>F487+5000</f>
        <v>20938.689999999999</v>
      </c>
      <c r="I487" s="328">
        <f t="shared" si="1118"/>
        <v>20938.689999999999</v>
      </c>
      <c r="J487" s="103">
        <f>F487+1100</f>
        <v>17038.689999999999</v>
      </c>
      <c r="K487" s="328">
        <f t="shared" ref="K487:K488" si="1126">+J487*$X$1</f>
        <v>17038.689999999999</v>
      </c>
      <c r="L487" s="103">
        <f>F487+990</f>
        <v>16928.689999999999</v>
      </c>
      <c r="M487" s="328">
        <f t="shared" ref="M487:M488" si="1127">+L487*$X$1</f>
        <v>16928.689999999999</v>
      </c>
      <c r="N487" s="103">
        <f>F487+920</f>
        <v>16858.689999999999</v>
      </c>
      <c r="O487" s="328">
        <f t="shared" si="1119"/>
        <v>16858.689999999999</v>
      </c>
      <c r="P487" s="103">
        <f>F487+860</f>
        <v>16798.689999999999</v>
      </c>
      <c r="Q487" s="328">
        <f t="shared" si="1120"/>
        <v>16798.689999999999</v>
      </c>
      <c r="R487" s="103">
        <f>F487+800</f>
        <v>16738.689999999999</v>
      </c>
      <c r="S487" s="328">
        <f t="shared" si="1121"/>
        <v>16738.689999999999</v>
      </c>
      <c r="T487" s="103">
        <f>F487+750</f>
        <v>16688.689999999999</v>
      </c>
      <c r="U487" s="328">
        <f t="shared" si="1122"/>
        <v>16688.689999999999</v>
      </c>
      <c r="V487" s="103">
        <f>F487+710</f>
        <v>16648.689999999999</v>
      </c>
      <c r="W487" s="328">
        <f t="shared" si="1123"/>
        <v>16648.689999999999</v>
      </c>
      <c r="X487" s="141"/>
      <c r="Y487" s="136"/>
      <c r="Z487" s="142"/>
      <c r="AA487" s="143"/>
      <c r="AB487" s="420" t="s">
        <v>651</v>
      </c>
    </row>
    <row r="488" spans="1:28" ht="12.6" customHeight="1" x14ac:dyDescent="0.2">
      <c r="A488" s="4"/>
      <c r="B488" s="813" t="s">
        <v>733</v>
      </c>
      <c r="C488" s="814"/>
      <c r="D488" s="814"/>
      <c r="E488" s="814"/>
      <c r="F488" s="397">
        <f>15.37*X2</f>
        <v>15938.689999999999</v>
      </c>
      <c r="G488" s="314">
        <f t="shared" ref="G488" si="1128">+F488*$X$1</f>
        <v>15938.689999999999</v>
      </c>
      <c r="H488" s="104">
        <f>F488+4000</f>
        <v>19938.689999999999</v>
      </c>
      <c r="I488" s="314">
        <f t="shared" ref="I488:I489" si="1129">+H488*$X$1</f>
        <v>19938.689999999999</v>
      </c>
      <c r="J488" s="104">
        <f>F488+800</f>
        <v>16738.689999999999</v>
      </c>
      <c r="K488" s="314">
        <f t="shared" si="1126"/>
        <v>16738.689999999999</v>
      </c>
      <c r="L488" s="104">
        <f>F488+600</f>
        <v>16538.689999999999</v>
      </c>
      <c r="M488" s="314">
        <f t="shared" si="1127"/>
        <v>16538.689999999999</v>
      </c>
      <c r="N488" s="104">
        <f>F488+500</f>
        <v>16438.689999999999</v>
      </c>
      <c r="O488" s="314">
        <f t="shared" ref="O488:O489" si="1130">+N488*$X$1</f>
        <v>16438.689999999999</v>
      </c>
      <c r="P488" s="104">
        <f>F488+460</f>
        <v>16398.689999999999</v>
      </c>
      <c r="Q488" s="314">
        <f t="shared" ref="Q488:Q489" si="1131">+P488*$X$1</f>
        <v>16398.689999999999</v>
      </c>
      <c r="R488" s="104">
        <f>F488+440</f>
        <v>16378.689999999999</v>
      </c>
      <c r="S488" s="314">
        <f t="shared" ref="S488:S489" si="1132">+R488*$X$1</f>
        <v>16378.689999999999</v>
      </c>
      <c r="T488" s="104">
        <f>F488+400</f>
        <v>16338.689999999999</v>
      </c>
      <c r="U488" s="314">
        <f t="shared" ref="U488:U489" si="1133">+T488*$X$1</f>
        <v>16338.689999999999</v>
      </c>
      <c r="V488" s="104">
        <f>F488+370</f>
        <v>16308.689999999999</v>
      </c>
      <c r="W488" s="314">
        <f t="shared" ref="W488:W489" si="1134">+V488*$X$1</f>
        <v>16308.689999999999</v>
      </c>
      <c r="X488" s="141"/>
      <c r="Y488" s="136"/>
      <c r="Z488" s="142"/>
      <c r="AA488" s="143"/>
      <c r="AB488" s="420">
        <v>878</v>
      </c>
    </row>
    <row r="489" spans="1:28" ht="12.6" customHeight="1" x14ac:dyDescent="0.2">
      <c r="A489" s="4"/>
      <c r="B489" s="910" t="s">
        <v>700</v>
      </c>
      <c r="C489" s="713"/>
      <c r="D489" s="713"/>
      <c r="E489" s="713"/>
      <c r="F489" s="396">
        <f>24*X2</f>
        <v>24888</v>
      </c>
      <c r="G489" s="328">
        <f t="shared" ref="G489" si="1135">+F489*$X$1</f>
        <v>24888</v>
      </c>
      <c r="H489" s="103">
        <f>F489+5000</f>
        <v>29888</v>
      </c>
      <c r="I489" s="328">
        <f t="shared" si="1129"/>
        <v>29888</v>
      </c>
      <c r="J489" s="103">
        <f>F489+1100</f>
        <v>25988</v>
      </c>
      <c r="K489" s="328">
        <f t="shared" ref="K489:K490" si="1136">+J489*$X$1</f>
        <v>25988</v>
      </c>
      <c r="L489" s="103">
        <f>F489+990</f>
        <v>25878</v>
      </c>
      <c r="M489" s="328">
        <f t="shared" ref="M489:M490" si="1137">+L489*$X$1</f>
        <v>25878</v>
      </c>
      <c r="N489" s="103">
        <f>F489+920</f>
        <v>25808</v>
      </c>
      <c r="O489" s="328">
        <f t="shared" si="1130"/>
        <v>25808</v>
      </c>
      <c r="P489" s="103">
        <f>F489+860</f>
        <v>25748</v>
      </c>
      <c r="Q489" s="328">
        <f t="shared" si="1131"/>
        <v>25748</v>
      </c>
      <c r="R489" s="103">
        <f>F489+800</f>
        <v>25688</v>
      </c>
      <c r="S489" s="328">
        <f t="shared" si="1132"/>
        <v>25688</v>
      </c>
      <c r="T489" s="103">
        <f>F489+750</f>
        <v>25638</v>
      </c>
      <c r="U489" s="328">
        <f t="shared" si="1133"/>
        <v>25638</v>
      </c>
      <c r="V489" s="103">
        <f>F489+710</f>
        <v>25598</v>
      </c>
      <c r="W489" s="328">
        <f t="shared" si="1134"/>
        <v>25598</v>
      </c>
      <c r="X489" s="141"/>
      <c r="Y489" s="136"/>
      <c r="Z489" s="142"/>
      <c r="AA489" s="143"/>
      <c r="AB489" s="420" t="s">
        <v>613</v>
      </c>
    </row>
    <row r="490" spans="1:28" ht="12.6" customHeight="1" x14ac:dyDescent="0.2">
      <c r="A490" s="4"/>
      <c r="B490" s="689" t="s">
        <v>701</v>
      </c>
      <c r="C490" s="927"/>
      <c r="D490" s="927"/>
      <c r="E490" s="927"/>
      <c r="F490" s="397">
        <f>24*X2</f>
        <v>24888</v>
      </c>
      <c r="G490" s="314">
        <f t="shared" ref="G490:G491" si="1138">+F490*$X$1</f>
        <v>24888</v>
      </c>
      <c r="H490" s="104">
        <f>F490+4000</f>
        <v>28888</v>
      </c>
      <c r="I490" s="314">
        <f t="shared" ref="I490:I491" si="1139">+H490*$X$1</f>
        <v>28888</v>
      </c>
      <c r="J490" s="104">
        <f>F490+800</f>
        <v>25688</v>
      </c>
      <c r="K490" s="314">
        <f t="shared" si="1136"/>
        <v>25688</v>
      </c>
      <c r="L490" s="104">
        <f>F490+600</f>
        <v>25488</v>
      </c>
      <c r="M490" s="314">
        <f t="shared" si="1137"/>
        <v>25488</v>
      </c>
      <c r="N490" s="104">
        <f>F490+500</f>
        <v>25388</v>
      </c>
      <c r="O490" s="314">
        <f t="shared" ref="O490:O491" si="1140">+N490*$X$1</f>
        <v>25388</v>
      </c>
      <c r="P490" s="104">
        <f>F490+460</f>
        <v>25348</v>
      </c>
      <c r="Q490" s="314">
        <f t="shared" ref="Q490:Q491" si="1141">+P490*$X$1</f>
        <v>25348</v>
      </c>
      <c r="R490" s="104">
        <f>F490+440</f>
        <v>25328</v>
      </c>
      <c r="S490" s="314">
        <f t="shared" ref="S490:S491" si="1142">+R490*$X$1</f>
        <v>25328</v>
      </c>
      <c r="T490" s="104">
        <f>F490+400</f>
        <v>25288</v>
      </c>
      <c r="U490" s="314">
        <f t="shared" ref="U490:U491" si="1143">+T490*$X$1</f>
        <v>25288</v>
      </c>
      <c r="V490" s="104">
        <f>F490+370</f>
        <v>25258</v>
      </c>
      <c r="W490" s="314">
        <f t="shared" ref="W490:W491" si="1144">+V490*$X$1</f>
        <v>25258</v>
      </c>
      <c r="X490" s="141"/>
      <c r="Y490" s="136"/>
      <c r="Z490" s="142"/>
      <c r="AA490" s="143"/>
      <c r="AB490" s="420">
        <v>880</v>
      </c>
    </row>
    <row r="491" spans="1:28" ht="12.6" customHeight="1" x14ac:dyDescent="0.2">
      <c r="A491" s="4"/>
      <c r="B491" s="910" t="s">
        <v>702</v>
      </c>
      <c r="C491" s="713"/>
      <c r="D491" s="713"/>
      <c r="E491" s="713"/>
      <c r="F491" s="396">
        <f>31.386*X2</f>
        <v>32547.281999999999</v>
      </c>
      <c r="G491" s="328">
        <f t="shared" si="1138"/>
        <v>32547.281999999999</v>
      </c>
      <c r="H491" s="103">
        <f>F491+5000</f>
        <v>37547.281999999999</v>
      </c>
      <c r="I491" s="328">
        <f t="shared" si="1139"/>
        <v>37547.281999999999</v>
      </c>
      <c r="J491" s="103">
        <f>F491+1100</f>
        <v>33647.281999999999</v>
      </c>
      <c r="K491" s="328">
        <f t="shared" ref="K491:K492" si="1145">+J491*$X$1</f>
        <v>33647.281999999999</v>
      </c>
      <c r="L491" s="103">
        <f>F491+990</f>
        <v>33537.281999999999</v>
      </c>
      <c r="M491" s="328">
        <f t="shared" ref="M491:M492" si="1146">+L491*$X$1</f>
        <v>33537.281999999999</v>
      </c>
      <c r="N491" s="103">
        <f>F491+920</f>
        <v>33467.281999999999</v>
      </c>
      <c r="O491" s="328">
        <f t="shared" si="1140"/>
        <v>33467.281999999999</v>
      </c>
      <c r="P491" s="103">
        <f>F491+860</f>
        <v>33407.281999999999</v>
      </c>
      <c r="Q491" s="328">
        <f t="shared" si="1141"/>
        <v>33407.281999999999</v>
      </c>
      <c r="R491" s="103">
        <f>F491+800</f>
        <v>33347.281999999999</v>
      </c>
      <c r="S491" s="328">
        <f t="shared" si="1142"/>
        <v>33347.281999999999</v>
      </c>
      <c r="T491" s="103">
        <f>F491+750</f>
        <v>33297.281999999999</v>
      </c>
      <c r="U491" s="328">
        <f t="shared" si="1143"/>
        <v>33297.281999999999</v>
      </c>
      <c r="V491" s="103">
        <f>F491+710</f>
        <v>33257.281999999999</v>
      </c>
      <c r="W491" s="328">
        <f t="shared" si="1144"/>
        <v>33257.281999999999</v>
      </c>
      <c r="X491" s="141"/>
      <c r="Y491" s="136"/>
      <c r="Z491" s="142"/>
      <c r="AA491" s="143"/>
      <c r="AB491" s="420" t="s">
        <v>614</v>
      </c>
    </row>
    <row r="492" spans="1:28" ht="12.6" customHeight="1" x14ac:dyDescent="0.2">
      <c r="A492" s="4"/>
      <c r="B492" s="689" t="s">
        <v>703</v>
      </c>
      <c r="C492" s="712"/>
      <c r="D492" s="712"/>
      <c r="E492" s="712"/>
      <c r="F492" s="397">
        <f>31.386*X2</f>
        <v>32547.281999999999</v>
      </c>
      <c r="G492" s="314">
        <f t="shared" ref="G492:G493" si="1147">+F492*$X$1</f>
        <v>32547.281999999999</v>
      </c>
      <c r="H492" s="104">
        <f>F492+4000</f>
        <v>36547.281999999999</v>
      </c>
      <c r="I492" s="314">
        <f t="shared" ref="I492:I495" si="1148">+H492*$X$1</f>
        <v>36547.281999999999</v>
      </c>
      <c r="J492" s="104">
        <f>F492+800</f>
        <v>33347.281999999999</v>
      </c>
      <c r="K492" s="314">
        <f t="shared" si="1145"/>
        <v>33347.281999999999</v>
      </c>
      <c r="L492" s="104">
        <f>F492+600</f>
        <v>33147.281999999999</v>
      </c>
      <c r="M492" s="314">
        <f t="shared" si="1146"/>
        <v>33147.281999999999</v>
      </c>
      <c r="N492" s="104">
        <f>F492+500</f>
        <v>33047.281999999999</v>
      </c>
      <c r="O492" s="314">
        <f t="shared" ref="O492:O495" si="1149">+N492*$X$1</f>
        <v>33047.281999999999</v>
      </c>
      <c r="P492" s="104">
        <f>F492+460</f>
        <v>33007.281999999999</v>
      </c>
      <c r="Q492" s="314">
        <f t="shared" ref="Q492:Q495" si="1150">+P492*$X$1</f>
        <v>33007.281999999999</v>
      </c>
      <c r="R492" s="104">
        <f>F492+440</f>
        <v>32987.281999999999</v>
      </c>
      <c r="S492" s="314">
        <f t="shared" ref="S492:S495" si="1151">+R492*$X$1</f>
        <v>32987.281999999999</v>
      </c>
      <c r="T492" s="104">
        <f>F492+400</f>
        <v>32947.281999999999</v>
      </c>
      <c r="U492" s="314">
        <f t="shared" ref="U492:U495" si="1152">+T492*$X$1</f>
        <v>32947.281999999999</v>
      </c>
      <c r="V492" s="104">
        <f>F492+370</f>
        <v>32917.281999999999</v>
      </c>
      <c r="W492" s="314">
        <f t="shared" ref="W492:W495" si="1153">+V492*$X$1</f>
        <v>32917.281999999999</v>
      </c>
      <c r="X492" s="141"/>
      <c r="Y492" s="136"/>
      <c r="Z492" s="142"/>
      <c r="AA492" s="143"/>
      <c r="AB492" s="420">
        <v>881</v>
      </c>
    </row>
    <row r="493" spans="1:28" ht="12.6" customHeight="1" x14ac:dyDescent="0.2">
      <c r="A493" s="4"/>
      <c r="B493" s="910" t="s">
        <v>704</v>
      </c>
      <c r="C493" s="713"/>
      <c r="D493" s="713"/>
      <c r="E493" s="713"/>
      <c r="F493" s="396">
        <f>20.3*X2</f>
        <v>21051.100000000002</v>
      </c>
      <c r="G493" s="328">
        <f t="shared" si="1147"/>
        <v>21051.100000000002</v>
      </c>
      <c r="H493" s="103">
        <f>F493+4000</f>
        <v>25051.100000000002</v>
      </c>
      <c r="I493" s="328">
        <f t="shared" si="1148"/>
        <v>25051.100000000002</v>
      </c>
      <c r="J493" s="103">
        <f t="shared" ref="J493:J494" si="1154">F493+800</f>
        <v>21851.100000000002</v>
      </c>
      <c r="K493" s="328">
        <f t="shared" ref="K493:K494" si="1155">+J493*$X$1</f>
        <v>21851.100000000002</v>
      </c>
      <c r="L493" s="103">
        <f t="shared" ref="L493:L494" si="1156">F493+600</f>
        <v>21651.100000000002</v>
      </c>
      <c r="M493" s="328">
        <f t="shared" ref="M493:M494" si="1157">+L493*$X$1</f>
        <v>21651.100000000002</v>
      </c>
      <c r="N493" s="103">
        <f>F493+500</f>
        <v>21551.100000000002</v>
      </c>
      <c r="O493" s="328">
        <f t="shared" si="1149"/>
        <v>21551.100000000002</v>
      </c>
      <c r="P493" s="103">
        <f>F493+460</f>
        <v>21511.100000000002</v>
      </c>
      <c r="Q493" s="328">
        <f t="shared" si="1150"/>
        <v>21511.100000000002</v>
      </c>
      <c r="R493" s="103">
        <f>F493+440</f>
        <v>21491.100000000002</v>
      </c>
      <c r="S493" s="328">
        <f t="shared" si="1151"/>
        <v>21491.100000000002</v>
      </c>
      <c r="T493" s="103">
        <f>F493+400</f>
        <v>21451.100000000002</v>
      </c>
      <c r="U493" s="328">
        <f t="shared" si="1152"/>
        <v>21451.100000000002</v>
      </c>
      <c r="V493" s="103">
        <f>F493+370</f>
        <v>21421.100000000002</v>
      </c>
      <c r="W493" s="328">
        <f t="shared" si="1153"/>
        <v>21421.100000000002</v>
      </c>
      <c r="X493" s="141"/>
      <c r="Y493" s="136"/>
      <c r="Z493" s="142"/>
      <c r="AA493" s="143"/>
      <c r="AB493" s="420">
        <v>882</v>
      </c>
    </row>
    <row r="494" spans="1:28" ht="12.6" customHeight="1" x14ac:dyDescent="0.2">
      <c r="A494" s="4"/>
      <c r="B494" s="813" t="s">
        <v>480</v>
      </c>
      <c r="C494" s="814"/>
      <c r="D494" s="814"/>
      <c r="E494" s="814"/>
      <c r="F494" s="397">
        <f>24*X2</f>
        <v>24888</v>
      </c>
      <c r="G494" s="314">
        <f t="shared" ref="G494:G496" si="1158">+F494*$X$1</f>
        <v>24888</v>
      </c>
      <c r="H494" s="104">
        <f>F494+4000</f>
        <v>28888</v>
      </c>
      <c r="I494" s="314">
        <f t="shared" si="1148"/>
        <v>28888</v>
      </c>
      <c r="J494" s="104">
        <f t="shared" si="1154"/>
        <v>25688</v>
      </c>
      <c r="K494" s="314">
        <f t="shared" si="1155"/>
        <v>25688</v>
      </c>
      <c r="L494" s="104">
        <f t="shared" si="1156"/>
        <v>25488</v>
      </c>
      <c r="M494" s="314">
        <f t="shared" si="1157"/>
        <v>25488</v>
      </c>
      <c r="N494" s="104">
        <f>F494+500</f>
        <v>25388</v>
      </c>
      <c r="O494" s="314">
        <f t="shared" si="1149"/>
        <v>25388</v>
      </c>
      <c r="P494" s="104">
        <f>F494+460</f>
        <v>25348</v>
      </c>
      <c r="Q494" s="314">
        <f t="shared" si="1150"/>
        <v>25348</v>
      </c>
      <c r="R494" s="104">
        <f>F494+440</f>
        <v>25328</v>
      </c>
      <c r="S494" s="314">
        <f t="shared" si="1151"/>
        <v>25328</v>
      </c>
      <c r="T494" s="104">
        <f>F494+400</f>
        <v>25288</v>
      </c>
      <c r="U494" s="314">
        <f t="shared" si="1152"/>
        <v>25288</v>
      </c>
      <c r="V494" s="104">
        <f>F494+370</f>
        <v>25258</v>
      </c>
      <c r="W494" s="314">
        <f t="shared" si="1153"/>
        <v>25258</v>
      </c>
      <c r="X494" s="141"/>
      <c r="Y494" s="136"/>
      <c r="Z494" s="142"/>
      <c r="AA494" s="143"/>
      <c r="AB494" s="420">
        <v>883</v>
      </c>
    </row>
    <row r="495" spans="1:28" ht="12.6" customHeight="1" x14ac:dyDescent="0.2">
      <c r="A495" s="4"/>
      <c r="B495" s="736" t="s">
        <v>789</v>
      </c>
      <c r="C495" s="698"/>
      <c r="D495" s="698"/>
      <c r="E495" s="699"/>
      <c r="F495" s="396">
        <f>16.1*X2</f>
        <v>16695.7</v>
      </c>
      <c r="G495" s="328">
        <f t="shared" si="1158"/>
        <v>16695.7</v>
      </c>
      <c r="H495" s="103">
        <f>F495+5000</f>
        <v>21695.7</v>
      </c>
      <c r="I495" s="328">
        <f t="shared" si="1148"/>
        <v>21695.7</v>
      </c>
      <c r="J495" s="103">
        <f>F495+1100</f>
        <v>17795.7</v>
      </c>
      <c r="K495" s="328">
        <f t="shared" ref="K495:K496" si="1159">+J495*$X$1</f>
        <v>17795.7</v>
      </c>
      <c r="L495" s="103">
        <f>F495+990</f>
        <v>17685.7</v>
      </c>
      <c r="M495" s="328">
        <f t="shared" ref="M495:M496" si="1160">+L495*$X$1</f>
        <v>17685.7</v>
      </c>
      <c r="N495" s="103">
        <f>F495+920</f>
        <v>17615.7</v>
      </c>
      <c r="O495" s="328">
        <f t="shared" si="1149"/>
        <v>17615.7</v>
      </c>
      <c r="P495" s="103">
        <f>F495+860</f>
        <v>17555.7</v>
      </c>
      <c r="Q495" s="328">
        <f t="shared" si="1150"/>
        <v>17555.7</v>
      </c>
      <c r="R495" s="103">
        <f>F495+800</f>
        <v>17495.7</v>
      </c>
      <c r="S495" s="328">
        <f t="shared" si="1151"/>
        <v>17495.7</v>
      </c>
      <c r="T495" s="103">
        <f>F495+750</f>
        <v>17445.7</v>
      </c>
      <c r="U495" s="328">
        <f t="shared" si="1152"/>
        <v>17445.7</v>
      </c>
      <c r="V495" s="103">
        <f>F495+710</f>
        <v>17405.7</v>
      </c>
      <c r="W495" s="328">
        <f t="shared" si="1153"/>
        <v>17405.7</v>
      </c>
      <c r="X495" s="141"/>
      <c r="Y495" s="136"/>
      <c r="Z495" s="142"/>
      <c r="AA495" s="143"/>
      <c r="AB495" s="420" t="s">
        <v>788</v>
      </c>
    </row>
    <row r="496" spans="1:28" ht="12.6" customHeight="1" x14ac:dyDescent="0.2">
      <c r="A496" s="4"/>
      <c r="B496" s="983" t="s">
        <v>790</v>
      </c>
      <c r="C496" s="940"/>
      <c r="D496" s="940"/>
      <c r="E496" s="941"/>
      <c r="F496" s="397">
        <f>16.1*X2</f>
        <v>16695.7</v>
      </c>
      <c r="G496" s="314">
        <f t="shared" si="1158"/>
        <v>16695.7</v>
      </c>
      <c r="H496" s="104">
        <f>F496+4000</f>
        <v>20695.7</v>
      </c>
      <c r="I496" s="314">
        <f t="shared" ref="I496:I497" si="1161">+H496*$X$1</f>
        <v>20695.7</v>
      </c>
      <c r="J496" s="104">
        <f t="shared" ref="J496" si="1162">F496+800</f>
        <v>17495.7</v>
      </c>
      <c r="K496" s="314">
        <f t="shared" si="1159"/>
        <v>17495.7</v>
      </c>
      <c r="L496" s="104">
        <f t="shared" ref="L496" si="1163">F496+600</f>
        <v>17295.7</v>
      </c>
      <c r="M496" s="314">
        <f t="shared" si="1160"/>
        <v>17295.7</v>
      </c>
      <c r="N496" s="104">
        <f>F496+500</f>
        <v>17195.7</v>
      </c>
      <c r="O496" s="314">
        <f t="shared" ref="O496:O497" si="1164">+N496*$X$1</f>
        <v>17195.7</v>
      </c>
      <c r="P496" s="104">
        <f>F496+460</f>
        <v>17155.7</v>
      </c>
      <c r="Q496" s="314">
        <f t="shared" ref="Q496:Q497" si="1165">+P496*$X$1</f>
        <v>17155.7</v>
      </c>
      <c r="R496" s="104">
        <f>F496+440</f>
        <v>17135.7</v>
      </c>
      <c r="S496" s="314">
        <f t="shared" ref="S496:S497" si="1166">+R496*$X$1</f>
        <v>17135.7</v>
      </c>
      <c r="T496" s="104">
        <f>F496+400</f>
        <v>17095.7</v>
      </c>
      <c r="U496" s="314">
        <f t="shared" ref="U496:U497" si="1167">+T496*$X$1</f>
        <v>17095.7</v>
      </c>
      <c r="V496" s="104">
        <f>F496+370</f>
        <v>17065.7</v>
      </c>
      <c r="W496" s="314">
        <f t="shared" ref="W496:W497" si="1168">+V496*$X$1</f>
        <v>17065.7</v>
      </c>
      <c r="X496" s="141"/>
      <c r="Y496" s="136"/>
      <c r="Z496" s="142"/>
      <c r="AA496" s="143"/>
      <c r="AB496" s="420">
        <v>886</v>
      </c>
    </row>
    <row r="497" spans="1:28" ht="12.6" customHeight="1" x14ac:dyDescent="0.2">
      <c r="A497" s="4"/>
      <c r="B497" s="910" t="s">
        <v>735</v>
      </c>
      <c r="C497" s="713"/>
      <c r="D497" s="713"/>
      <c r="E497" s="713"/>
      <c r="F497" s="393">
        <f>23.5*X2</f>
        <v>24369.5</v>
      </c>
      <c r="G497" s="294">
        <f t="shared" ref="G497" si="1169">+F497*$X$1</f>
        <v>24369.5</v>
      </c>
      <c r="H497" s="103">
        <f>F497+5000</f>
        <v>29369.5</v>
      </c>
      <c r="I497" s="328">
        <f t="shared" si="1161"/>
        <v>29369.5</v>
      </c>
      <c r="J497" s="103">
        <f>F497+1100</f>
        <v>25469.5</v>
      </c>
      <c r="K497" s="328">
        <f t="shared" ref="K497:K500" si="1170">+J497*$X$1</f>
        <v>25469.5</v>
      </c>
      <c r="L497" s="103">
        <f>F497+990</f>
        <v>25359.5</v>
      </c>
      <c r="M497" s="328">
        <f t="shared" ref="M497:M500" si="1171">+L497*$X$1</f>
        <v>25359.5</v>
      </c>
      <c r="N497" s="103">
        <f>F497+920</f>
        <v>25289.5</v>
      </c>
      <c r="O497" s="328">
        <f t="shared" si="1164"/>
        <v>25289.5</v>
      </c>
      <c r="P497" s="103">
        <f>F497+860</f>
        <v>25229.5</v>
      </c>
      <c r="Q497" s="328">
        <f t="shared" si="1165"/>
        <v>25229.5</v>
      </c>
      <c r="R497" s="103">
        <f>F497+800</f>
        <v>25169.5</v>
      </c>
      <c r="S497" s="328">
        <f t="shared" si="1166"/>
        <v>25169.5</v>
      </c>
      <c r="T497" s="103">
        <f>F497+750</f>
        <v>25119.5</v>
      </c>
      <c r="U497" s="328">
        <f t="shared" si="1167"/>
        <v>25119.5</v>
      </c>
      <c r="V497" s="103">
        <f>F497+710</f>
        <v>25079.5</v>
      </c>
      <c r="W497" s="328">
        <f t="shared" si="1168"/>
        <v>25079.5</v>
      </c>
      <c r="X497" s="141"/>
      <c r="Y497" s="136"/>
      <c r="Z497" s="142"/>
      <c r="AA497" s="143"/>
      <c r="AB497" s="420" t="s">
        <v>718</v>
      </c>
    </row>
    <row r="498" spans="1:28" ht="12.6" customHeight="1" x14ac:dyDescent="0.2">
      <c r="A498" s="4"/>
      <c r="B498" s="813" t="s">
        <v>734</v>
      </c>
      <c r="C498" s="814"/>
      <c r="D498" s="814"/>
      <c r="E498" s="814"/>
      <c r="F498" s="392">
        <f>23.5*X2</f>
        <v>24369.5</v>
      </c>
      <c r="G498" s="293">
        <f t="shared" ref="G498" si="1172">+F498*$X$1</f>
        <v>24369.5</v>
      </c>
      <c r="H498" s="104">
        <f>F498+4000</f>
        <v>28369.5</v>
      </c>
      <c r="I498" s="314">
        <f t="shared" ref="I498:I501" si="1173">+H498*$X$1</f>
        <v>28369.5</v>
      </c>
      <c r="J498" s="104">
        <f t="shared" ref="J498:J500" si="1174">F498+800</f>
        <v>25169.5</v>
      </c>
      <c r="K498" s="314">
        <f t="shared" si="1170"/>
        <v>25169.5</v>
      </c>
      <c r="L498" s="104">
        <f t="shared" ref="L498:L500" si="1175">F498+600</f>
        <v>24969.5</v>
      </c>
      <c r="M498" s="314">
        <f t="shared" si="1171"/>
        <v>24969.5</v>
      </c>
      <c r="N498" s="104">
        <f>F498+500</f>
        <v>24869.5</v>
      </c>
      <c r="O498" s="314">
        <f t="shared" ref="O498:O501" si="1176">+N498*$X$1</f>
        <v>24869.5</v>
      </c>
      <c r="P498" s="104">
        <f>F498+460</f>
        <v>24829.5</v>
      </c>
      <c r="Q498" s="314">
        <f t="shared" ref="Q498:Q501" si="1177">+P498*$X$1</f>
        <v>24829.5</v>
      </c>
      <c r="R498" s="104">
        <f>F498+440</f>
        <v>24809.5</v>
      </c>
      <c r="S498" s="314">
        <f t="shared" ref="S498:S501" si="1178">+R498*$X$1</f>
        <v>24809.5</v>
      </c>
      <c r="T498" s="104">
        <f>F498+400</f>
        <v>24769.5</v>
      </c>
      <c r="U498" s="314">
        <f t="shared" ref="U498:U501" si="1179">+T498*$X$1</f>
        <v>24769.5</v>
      </c>
      <c r="V498" s="104">
        <f>F498+370</f>
        <v>24739.5</v>
      </c>
      <c r="W498" s="314">
        <f t="shared" ref="W498:W501" si="1180">+V498*$X$1</f>
        <v>24739.5</v>
      </c>
      <c r="X498" s="141"/>
      <c r="Y498" s="136"/>
      <c r="Z498" s="142"/>
      <c r="AA498" s="143"/>
      <c r="AB498" s="420">
        <v>887</v>
      </c>
    </row>
    <row r="499" spans="1:28" ht="12.6" customHeight="1" x14ac:dyDescent="0.2">
      <c r="A499" s="4"/>
      <c r="B499" s="774" t="s">
        <v>650</v>
      </c>
      <c r="C499" s="705"/>
      <c r="D499" s="705"/>
      <c r="E499" s="705"/>
      <c r="F499" s="393">
        <f>14.7*X2</f>
        <v>15243.9</v>
      </c>
      <c r="G499" s="294">
        <f t="shared" ref="G499" si="1181">+F499*$X$1</f>
        <v>15243.9</v>
      </c>
      <c r="H499" s="103">
        <f>F499+4000</f>
        <v>19243.900000000001</v>
      </c>
      <c r="I499" s="328">
        <f t="shared" si="1173"/>
        <v>19243.900000000001</v>
      </c>
      <c r="J499" s="103">
        <f t="shared" si="1174"/>
        <v>16043.9</v>
      </c>
      <c r="K499" s="328">
        <f t="shared" si="1170"/>
        <v>16043.9</v>
      </c>
      <c r="L499" s="103">
        <f t="shared" si="1175"/>
        <v>15843.9</v>
      </c>
      <c r="M499" s="328">
        <f t="shared" si="1171"/>
        <v>15843.9</v>
      </c>
      <c r="N499" s="103">
        <f>F499+500</f>
        <v>15743.9</v>
      </c>
      <c r="O499" s="328">
        <f t="shared" si="1176"/>
        <v>15743.9</v>
      </c>
      <c r="P499" s="103">
        <f>F499+460</f>
        <v>15703.9</v>
      </c>
      <c r="Q499" s="328">
        <f t="shared" si="1177"/>
        <v>15703.9</v>
      </c>
      <c r="R499" s="103">
        <f>F499+440</f>
        <v>15683.9</v>
      </c>
      <c r="S499" s="328">
        <f t="shared" si="1178"/>
        <v>15683.9</v>
      </c>
      <c r="T499" s="103">
        <f>F499+400</f>
        <v>15643.9</v>
      </c>
      <c r="U499" s="328">
        <f t="shared" si="1179"/>
        <v>15643.9</v>
      </c>
      <c r="V499" s="103">
        <f>F499+370</f>
        <v>15613.9</v>
      </c>
      <c r="W499" s="328">
        <f t="shared" si="1180"/>
        <v>15613.9</v>
      </c>
      <c r="X499" s="141"/>
      <c r="Y499" s="136"/>
      <c r="Z499" s="142"/>
      <c r="AA499" s="143"/>
      <c r="AB499" s="420">
        <v>888</v>
      </c>
    </row>
    <row r="500" spans="1:28" ht="12.6" customHeight="1" x14ac:dyDescent="0.2">
      <c r="A500" s="4"/>
      <c r="B500" s="689" t="s">
        <v>440</v>
      </c>
      <c r="C500" s="684"/>
      <c r="D500" s="684"/>
      <c r="E500" s="684"/>
      <c r="F500" s="392">
        <f>16.2*X2</f>
        <v>16799.399999999998</v>
      </c>
      <c r="G500" s="293">
        <f t="shared" ref="G500" si="1182">+F500*$X$1</f>
        <v>16799.399999999998</v>
      </c>
      <c r="H500" s="104">
        <f>F500+4000</f>
        <v>20799.399999999998</v>
      </c>
      <c r="I500" s="314">
        <f t="shared" si="1173"/>
        <v>20799.399999999998</v>
      </c>
      <c r="J500" s="104">
        <f t="shared" si="1174"/>
        <v>17599.399999999998</v>
      </c>
      <c r="K500" s="314">
        <f t="shared" si="1170"/>
        <v>17599.399999999998</v>
      </c>
      <c r="L500" s="104">
        <f t="shared" si="1175"/>
        <v>17399.399999999998</v>
      </c>
      <c r="M500" s="314">
        <f t="shared" si="1171"/>
        <v>17399.399999999998</v>
      </c>
      <c r="N500" s="104">
        <f>F500+500</f>
        <v>17299.399999999998</v>
      </c>
      <c r="O500" s="314">
        <f t="shared" si="1176"/>
        <v>17299.399999999998</v>
      </c>
      <c r="P500" s="104">
        <f>F500+460</f>
        <v>17259.399999999998</v>
      </c>
      <c r="Q500" s="314">
        <f t="shared" si="1177"/>
        <v>17259.399999999998</v>
      </c>
      <c r="R500" s="104">
        <f>F500+440</f>
        <v>17239.399999999998</v>
      </c>
      <c r="S500" s="314">
        <f t="shared" si="1178"/>
        <v>17239.399999999998</v>
      </c>
      <c r="T500" s="104">
        <f>F500+400</f>
        <v>17199.399999999998</v>
      </c>
      <c r="U500" s="314">
        <f t="shared" si="1179"/>
        <v>17199.399999999998</v>
      </c>
      <c r="V500" s="104">
        <f>F500+370</f>
        <v>17169.399999999998</v>
      </c>
      <c r="W500" s="314">
        <f t="shared" si="1180"/>
        <v>17169.399999999998</v>
      </c>
      <c r="X500" s="141"/>
      <c r="Y500" s="136"/>
      <c r="Z500" s="142"/>
      <c r="AA500" s="143"/>
      <c r="AB500" s="420">
        <v>894</v>
      </c>
    </row>
    <row r="501" spans="1:28" ht="12.6" customHeight="1" x14ac:dyDescent="0.2">
      <c r="A501" s="4"/>
      <c r="B501" s="774" t="s">
        <v>695</v>
      </c>
      <c r="C501" s="705"/>
      <c r="D501" s="705"/>
      <c r="E501" s="705"/>
      <c r="F501" s="393">
        <f>15.5*X2</f>
        <v>16073.5</v>
      </c>
      <c r="G501" s="294">
        <f t="shared" ref="G501:G505" si="1183">+F501*$X$1</f>
        <v>16073.5</v>
      </c>
      <c r="H501" s="103">
        <f>F501+5000</f>
        <v>21073.5</v>
      </c>
      <c r="I501" s="328">
        <f t="shared" si="1173"/>
        <v>21073.5</v>
      </c>
      <c r="J501" s="103">
        <f>F501+1100</f>
        <v>17173.5</v>
      </c>
      <c r="K501" s="328">
        <f t="shared" ref="K501:K503" si="1184">+J501*$X$1</f>
        <v>17173.5</v>
      </c>
      <c r="L501" s="103">
        <f>F501+990</f>
        <v>17063.5</v>
      </c>
      <c r="M501" s="328">
        <f t="shared" ref="M501:M503" si="1185">+L501*$X$1</f>
        <v>17063.5</v>
      </c>
      <c r="N501" s="103">
        <f>F501+920</f>
        <v>16993.5</v>
      </c>
      <c r="O501" s="328">
        <f t="shared" si="1176"/>
        <v>16993.5</v>
      </c>
      <c r="P501" s="103">
        <f>F501+860</f>
        <v>16933.5</v>
      </c>
      <c r="Q501" s="328">
        <f t="shared" si="1177"/>
        <v>16933.5</v>
      </c>
      <c r="R501" s="103">
        <f>F501+800</f>
        <v>16873.5</v>
      </c>
      <c r="S501" s="328">
        <f t="shared" si="1178"/>
        <v>16873.5</v>
      </c>
      <c r="T501" s="103">
        <f>F501+750</f>
        <v>16823.5</v>
      </c>
      <c r="U501" s="328">
        <f t="shared" si="1179"/>
        <v>16823.5</v>
      </c>
      <c r="V501" s="103">
        <f>F501+710</f>
        <v>16783.5</v>
      </c>
      <c r="W501" s="328">
        <f t="shared" si="1180"/>
        <v>16783.5</v>
      </c>
      <c r="X501" s="141"/>
      <c r="Y501" s="136"/>
      <c r="Z501" s="142"/>
      <c r="AA501" s="143"/>
      <c r="AB501" s="420">
        <v>896</v>
      </c>
    </row>
    <row r="502" spans="1:28" ht="12.6" customHeight="1" x14ac:dyDescent="0.2">
      <c r="A502" s="4"/>
      <c r="B502" s="689" t="s">
        <v>649</v>
      </c>
      <c r="C502" s="712"/>
      <c r="D502" s="712"/>
      <c r="E502" s="712"/>
      <c r="F502" s="392">
        <f>15.5*X2</f>
        <v>16073.5</v>
      </c>
      <c r="G502" s="293">
        <f t="shared" si="1183"/>
        <v>16073.5</v>
      </c>
      <c r="H502" s="104">
        <f>F502+4000</f>
        <v>20073.5</v>
      </c>
      <c r="I502" s="314">
        <f t="shared" ref="I502:I504" si="1186">+H502*$X$1</f>
        <v>20073.5</v>
      </c>
      <c r="J502" s="104">
        <f t="shared" ref="J502" si="1187">F502+800</f>
        <v>16873.5</v>
      </c>
      <c r="K502" s="314">
        <f t="shared" si="1184"/>
        <v>16873.5</v>
      </c>
      <c r="L502" s="104">
        <f t="shared" ref="L502" si="1188">F502+600</f>
        <v>16673.5</v>
      </c>
      <c r="M502" s="314">
        <f t="shared" si="1185"/>
        <v>16673.5</v>
      </c>
      <c r="N502" s="104">
        <f>F502+500</f>
        <v>16573.5</v>
      </c>
      <c r="O502" s="314">
        <f t="shared" ref="O502:O507" si="1189">+N502*$X$1</f>
        <v>16573.5</v>
      </c>
      <c r="P502" s="104">
        <f>F502+460</f>
        <v>16533.5</v>
      </c>
      <c r="Q502" s="314">
        <f t="shared" ref="Q502:Q506" si="1190">+P502*$X$1</f>
        <v>16533.5</v>
      </c>
      <c r="R502" s="104">
        <f>F502+440</f>
        <v>16513.5</v>
      </c>
      <c r="S502" s="314">
        <f t="shared" ref="S502:S506" si="1191">+R502*$X$1</f>
        <v>16513.5</v>
      </c>
      <c r="T502" s="104">
        <f>F502+400</f>
        <v>16473.5</v>
      </c>
      <c r="U502" s="314">
        <f t="shared" ref="U502:U506" si="1192">+T502*$X$1</f>
        <v>16473.5</v>
      </c>
      <c r="V502" s="104">
        <f>F502+370</f>
        <v>16443.5</v>
      </c>
      <c r="W502" s="314">
        <f t="shared" ref="W502:W506" si="1193">+V502*$X$1</f>
        <v>16443.5</v>
      </c>
      <c r="X502" s="141"/>
      <c r="Y502" s="136"/>
      <c r="Z502" s="142"/>
      <c r="AA502" s="143"/>
      <c r="AB502" s="420">
        <v>896</v>
      </c>
    </row>
    <row r="503" spans="1:28" ht="12.6" customHeight="1" x14ac:dyDescent="0.2">
      <c r="A503" s="4"/>
      <c r="B503" s="688" t="s">
        <v>947</v>
      </c>
      <c r="C503" s="788"/>
      <c r="D503" s="788"/>
      <c r="E503" s="788"/>
      <c r="F503" s="339">
        <v>20475</v>
      </c>
      <c r="G503" s="294">
        <f t="shared" ref="G503" si="1194">+F503*$X$1</f>
        <v>20475</v>
      </c>
      <c r="H503" s="103">
        <f>F503+5000</f>
        <v>25475</v>
      </c>
      <c r="I503" s="328">
        <f t="shared" ref="I503" si="1195">+H503*$X$1</f>
        <v>25475</v>
      </c>
      <c r="J503" s="103">
        <f>F503+1100</f>
        <v>21575</v>
      </c>
      <c r="K503" s="328">
        <f t="shared" si="1184"/>
        <v>21575</v>
      </c>
      <c r="L503" s="103">
        <f>F503+990</f>
        <v>21465</v>
      </c>
      <c r="M503" s="328">
        <f t="shared" si="1185"/>
        <v>21465</v>
      </c>
      <c r="N503" s="103">
        <f>F503+920</f>
        <v>21395</v>
      </c>
      <c r="O503" s="328">
        <f t="shared" ref="O503" si="1196">+N503*$X$1</f>
        <v>21395</v>
      </c>
      <c r="P503" s="103">
        <f>F503+860</f>
        <v>21335</v>
      </c>
      <c r="Q503" s="328">
        <f t="shared" ref="Q503" si="1197">+P503*$X$1</f>
        <v>21335</v>
      </c>
      <c r="R503" s="103">
        <f>F503+800</f>
        <v>21275</v>
      </c>
      <c r="S503" s="328">
        <f t="shared" ref="S503" si="1198">+R503*$X$1</f>
        <v>21275</v>
      </c>
      <c r="T503" s="103">
        <f>F503+750</f>
        <v>21225</v>
      </c>
      <c r="U503" s="328">
        <f t="shared" ref="U503" si="1199">+T503*$X$1</f>
        <v>21225</v>
      </c>
      <c r="V503" s="103">
        <f>F503+710</f>
        <v>21185</v>
      </c>
      <c r="W503" s="328">
        <f t="shared" ref="W503" si="1200">+V503*$X$1</f>
        <v>21185</v>
      </c>
      <c r="X503" s="141"/>
      <c r="Y503" s="136"/>
      <c r="Z503" s="142"/>
      <c r="AA503" s="143"/>
      <c r="AB503" s="420"/>
    </row>
    <row r="504" spans="1:28" ht="12.6" customHeight="1" x14ac:dyDescent="0.2">
      <c r="A504" s="4"/>
      <c r="B504" s="689" t="s">
        <v>652</v>
      </c>
      <c r="C504" s="927"/>
      <c r="D504" s="927"/>
      <c r="E504" s="927"/>
      <c r="F504" s="392">
        <f>19*X2</f>
        <v>19703</v>
      </c>
      <c r="G504" s="293">
        <f t="shared" si="1183"/>
        <v>19703</v>
      </c>
      <c r="H504" s="104">
        <f>F504+5000</f>
        <v>24703</v>
      </c>
      <c r="I504" s="314">
        <f t="shared" si="1186"/>
        <v>24703</v>
      </c>
      <c r="J504" s="104">
        <f>F504+1100</f>
        <v>20803</v>
      </c>
      <c r="K504" s="314">
        <f t="shared" ref="K504:K508" si="1201">+J504*$X$1</f>
        <v>20803</v>
      </c>
      <c r="L504" s="104">
        <f>F504+990</f>
        <v>20693</v>
      </c>
      <c r="M504" s="314">
        <f t="shared" ref="M504:M508" si="1202">+L504*$X$1</f>
        <v>20693</v>
      </c>
      <c r="N504" s="104">
        <f>F504+920</f>
        <v>20623</v>
      </c>
      <c r="O504" s="314">
        <f t="shared" si="1189"/>
        <v>20623</v>
      </c>
      <c r="P504" s="104">
        <f>F504+860</f>
        <v>20563</v>
      </c>
      <c r="Q504" s="314">
        <f t="shared" si="1190"/>
        <v>20563</v>
      </c>
      <c r="R504" s="104">
        <f>F504+800</f>
        <v>20503</v>
      </c>
      <c r="S504" s="314">
        <f t="shared" si="1191"/>
        <v>20503</v>
      </c>
      <c r="T504" s="104">
        <f>F504+750</f>
        <v>20453</v>
      </c>
      <c r="U504" s="314">
        <f t="shared" si="1192"/>
        <v>20453</v>
      </c>
      <c r="V504" s="104">
        <f>F504+710</f>
        <v>20413</v>
      </c>
      <c r="W504" s="314">
        <f t="shared" si="1193"/>
        <v>20413</v>
      </c>
      <c r="X504" s="141"/>
      <c r="Y504" s="136"/>
      <c r="Z504" s="142"/>
      <c r="AA504" s="143"/>
      <c r="AB504" s="420">
        <v>899</v>
      </c>
    </row>
    <row r="505" spans="1:28" ht="12.6" customHeight="1" x14ac:dyDescent="0.2">
      <c r="A505" s="4"/>
      <c r="B505" s="774" t="s">
        <v>660</v>
      </c>
      <c r="C505" s="928"/>
      <c r="D505" s="928"/>
      <c r="E505" s="928"/>
      <c r="F505" s="393">
        <f>19*X2</f>
        <v>19703</v>
      </c>
      <c r="G505" s="294">
        <f t="shared" si="1183"/>
        <v>19703</v>
      </c>
      <c r="H505" s="103">
        <f>F505+4000</f>
        <v>23703</v>
      </c>
      <c r="I505" s="328">
        <f t="shared" ref="I505:I507" si="1203">+H505*$X$1</f>
        <v>23703</v>
      </c>
      <c r="J505" s="103">
        <f t="shared" ref="J505" si="1204">F505+800</f>
        <v>20503</v>
      </c>
      <c r="K505" s="328">
        <f t="shared" si="1201"/>
        <v>20503</v>
      </c>
      <c r="L505" s="103">
        <f t="shared" ref="L505" si="1205">F505+600</f>
        <v>20303</v>
      </c>
      <c r="M505" s="328">
        <f t="shared" si="1202"/>
        <v>20303</v>
      </c>
      <c r="N505" s="103">
        <f>F505+500</f>
        <v>20203</v>
      </c>
      <c r="O505" s="328">
        <f t="shared" si="1189"/>
        <v>20203</v>
      </c>
      <c r="P505" s="103">
        <f>F505+460</f>
        <v>20163</v>
      </c>
      <c r="Q505" s="328">
        <f t="shared" si="1190"/>
        <v>20163</v>
      </c>
      <c r="R505" s="103">
        <f>F505+440</f>
        <v>20143</v>
      </c>
      <c r="S505" s="328">
        <f t="shared" si="1191"/>
        <v>20143</v>
      </c>
      <c r="T505" s="103">
        <f>F505+400</f>
        <v>20103</v>
      </c>
      <c r="U505" s="328">
        <f t="shared" si="1192"/>
        <v>20103</v>
      </c>
      <c r="V505" s="103">
        <f>F505+370</f>
        <v>20073</v>
      </c>
      <c r="W505" s="328">
        <f t="shared" si="1193"/>
        <v>20073</v>
      </c>
      <c r="X505" s="141"/>
      <c r="Y505" s="136"/>
      <c r="Z505" s="142"/>
      <c r="AA505" s="143"/>
      <c r="AB505" s="420" t="s">
        <v>661</v>
      </c>
    </row>
    <row r="506" spans="1:28" ht="12.6" customHeight="1" x14ac:dyDescent="0.2">
      <c r="A506" s="4"/>
      <c r="B506" s="689" t="s">
        <v>511</v>
      </c>
      <c r="C506" s="684"/>
      <c r="D506" s="684"/>
      <c r="E506" s="684"/>
      <c r="F506" s="392">
        <f>20*X2</f>
        <v>20740</v>
      </c>
      <c r="G506" s="293">
        <f t="shared" ref="G506" si="1206">+F506*$X$1</f>
        <v>20740</v>
      </c>
      <c r="H506" s="104">
        <f>F506+5000</f>
        <v>25740</v>
      </c>
      <c r="I506" s="314">
        <f t="shared" si="1203"/>
        <v>25740</v>
      </c>
      <c r="J506" s="104">
        <f>F506+1100</f>
        <v>21840</v>
      </c>
      <c r="K506" s="314">
        <f t="shared" si="1201"/>
        <v>21840</v>
      </c>
      <c r="L506" s="104">
        <f>F506+990</f>
        <v>21730</v>
      </c>
      <c r="M506" s="314">
        <f t="shared" si="1202"/>
        <v>21730</v>
      </c>
      <c r="N506" s="104">
        <f>F506+920</f>
        <v>21660</v>
      </c>
      <c r="O506" s="314">
        <f t="shared" si="1189"/>
        <v>21660</v>
      </c>
      <c r="P506" s="104">
        <f>F506+860</f>
        <v>21600</v>
      </c>
      <c r="Q506" s="314">
        <f t="shared" si="1190"/>
        <v>21600</v>
      </c>
      <c r="R506" s="104">
        <f>F506+800</f>
        <v>21540</v>
      </c>
      <c r="S506" s="314">
        <f t="shared" si="1191"/>
        <v>21540</v>
      </c>
      <c r="T506" s="104">
        <f>F506+750</f>
        <v>21490</v>
      </c>
      <c r="U506" s="314">
        <f t="shared" si="1192"/>
        <v>21490</v>
      </c>
      <c r="V506" s="104">
        <f>F506+710</f>
        <v>21450</v>
      </c>
      <c r="W506" s="314">
        <f t="shared" si="1193"/>
        <v>21450</v>
      </c>
      <c r="X506" s="141"/>
      <c r="Y506" s="136"/>
      <c r="Z506" s="142"/>
      <c r="AA506" s="143"/>
      <c r="AB506" s="420">
        <v>900</v>
      </c>
    </row>
    <row r="507" spans="1:28" ht="12.6" customHeight="1" x14ac:dyDescent="0.2">
      <c r="A507" s="4"/>
      <c r="B507" s="736" t="s">
        <v>439</v>
      </c>
      <c r="C507" s="691"/>
      <c r="D507" s="691"/>
      <c r="E507" s="692"/>
      <c r="F507" s="589">
        <v>15372</v>
      </c>
      <c r="G507" s="294">
        <f>+F507*$X$1</f>
        <v>15372</v>
      </c>
      <c r="H507" s="103">
        <f>F507+5000</f>
        <v>20372</v>
      </c>
      <c r="I507" s="328">
        <f t="shared" si="1203"/>
        <v>20372</v>
      </c>
      <c r="J507" s="103">
        <f>F507+1100</f>
        <v>16472</v>
      </c>
      <c r="K507" s="328">
        <f t="shared" si="1201"/>
        <v>16472</v>
      </c>
      <c r="L507" s="103">
        <f>F507+990</f>
        <v>16362</v>
      </c>
      <c r="M507" s="328">
        <f t="shared" si="1202"/>
        <v>16362</v>
      </c>
      <c r="N507" s="103">
        <f>F507+920</f>
        <v>16292</v>
      </c>
      <c r="O507" s="328">
        <f t="shared" si="1189"/>
        <v>16292</v>
      </c>
      <c r="P507" s="103"/>
      <c r="Q507" s="328"/>
      <c r="R507" s="103"/>
      <c r="S507" s="328"/>
      <c r="T507" s="103"/>
      <c r="U507" s="328"/>
      <c r="V507" s="103"/>
      <c r="W507" s="328"/>
      <c r="X507" s="141"/>
      <c r="Y507" s="136"/>
      <c r="Z507" s="142"/>
      <c r="AA507" s="143"/>
      <c r="AB507" s="420">
        <v>902</v>
      </c>
    </row>
    <row r="508" spans="1:28" ht="12.6" customHeight="1" x14ac:dyDescent="0.2">
      <c r="A508" s="4"/>
      <c r="B508" s="689" t="s">
        <v>438</v>
      </c>
      <c r="C508" s="684"/>
      <c r="D508" s="684"/>
      <c r="E508" s="684"/>
      <c r="F508" s="340">
        <v>19970</v>
      </c>
      <c r="G508" s="293">
        <f>+F508*$X$1</f>
        <v>19970</v>
      </c>
      <c r="H508" s="104">
        <f>F508+4000</f>
        <v>23970</v>
      </c>
      <c r="I508" s="314">
        <f t="shared" ref="I508:I509" si="1207">+H508*$X$1</f>
        <v>23970</v>
      </c>
      <c r="J508" s="104">
        <f t="shared" ref="J508" si="1208">F508+800</f>
        <v>20770</v>
      </c>
      <c r="K508" s="314">
        <f t="shared" si="1201"/>
        <v>20770</v>
      </c>
      <c r="L508" s="104">
        <f t="shared" ref="L508" si="1209">F508+600</f>
        <v>20570</v>
      </c>
      <c r="M508" s="314">
        <f t="shared" si="1202"/>
        <v>20570</v>
      </c>
      <c r="N508" s="104">
        <f>F508+500</f>
        <v>20470</v>
      </c>
      <c r="O508" s="314">
        <f t="shared" ref="O508:O509" si="1210">+N508*$X$1</f>
        <v>20470</v>
      </c>
      <c r="P508" s="104">
        <f>F508+460</f>
        <v>20430</v>
      </c>
      <c r="Q508" s="314">
        <f t="shared" ref="Q508:Q509" si="1211">+P508*$X$1</f>
        <v>20430</v>
      </c>
      <c r="R508" s="104">
        <f>F508+440</f>
        <v>20410</v>
      </c>
      <c r="S508" s="314">
        <f t="shared" ref="S508:S509" si="1212">+R508*$X$1</f>
        <v>20410</v>
      </c>
      <c r="T508" s="104">
        <f>F508+400</f>
        <v>20370</v>
      </c>
      <c r="U508" s="314">
        <f t="shared" ref="U508:U509" si="1213">+T508*$X$1</f>
        <v>20370</v>
      </c>
      <c r="V508" s="104">
        <f>F508+370</f>
        <v>20340</v>
      </c>
      <c r="W508" s="314">
        <f t="shared" ref="W508:W509" si="1214">+V508*$X$1</f>
        <v>20340</v>
      </c>
      <c r="X508" s="141"/>
      <c r="Y508" s="136"/>
      <c r="Z508" s="142"/>
      <c r="AA508" s="143"/>
      <c r="AB508" s="420">
        <v>905</v>
      </c>
    </row>
    <row r="509" spans="1:28" ht="12.6" customHeight="1" x14ac:dyDescent="0.2">
      <c r="A509" s="4"/>
      <c r="B509" s="774" t="s">
        <v>706</v>
      </c>
      <c r="C509" s="751"/>
      <c r="D509" s="751"/>
      <c r="E509" s="751"/>
      <c r="F509" s="393">
        <f>21.3*X2</f>
        <v>22088.100000000002</v>
      </c>
      <c r="G509" s="294">
        <f>+F509*$X$1</f>
        <v>22088.100000000002</v>
      </c>
      <c r="H509" s="103">
        <f>F509+5000</f>
        <v>27088.100000000002</v>
      </c>
      <c r="I509" s="328">
        <f t="shared" si="1207"/>
        <v>27088.100000000002</v>
      </c>
      <c r="J509" s="103">
        <f>F509+1100</f>
        <v>23188.100000000002</v>
      </c>
      <c r="K509" s="328">
        <f t="shared" ref="K509:K510" si="1215">+J509*$X$1</f>
        <v>23188.100000000002</v>
      </c>
      <c r="L509" s="103">
        <f>F509+990</f>
        <v>23078.100000000002</v>
      </c>
      <c r="M509" s="328">
        <f t="shared" ref="M509:M510" si="1216">+L509*$X$1</f>
        <v>23078.100000000002</v>
      </c>
      <c r="N509" s="103">
        <f>F509+920</f>
        <v>23008.100000000002</v>
      </c>
      <c r="O509" s="328">
        <f t="shared" si="1210"/>
        <v>23008.100000000002</v>
      </c>
      <c r="P509" s="103">
        <f>F509+860</f>
        <v>22948.100000000002</v>
      </c>
      <c r="Q509" s="328">
        <f t="shared" si="1211"/>
        <v>22948.100000000002</v>
      </c>
      <c r="R509" s="103">
        <f>F509+800</f>
        <v>22888.100000000002</v>
      </c>
      <c r="S509" s="328">
        <f t="shared" si="1212"/>
        <v>22888.100000000002</v>
      </c>
      <c r="T509" s="103">
        <f>F509+750</f>
        <v>22838.100000000002</v>
      </c>
      <c r="U509" s="328">
        <f t="shared" si="1213"/>
        <v>22838.100000000002</v>
      </c>
      <c r="V509" s="103">
        <f>F509+710</f>
        <v>22798.100000000002</v>
      </c>
      <c r="W509" s="328">
        <f t="shared" si="1214"/>
        <v>22798.100000000002</v>
      </c>
      <c r="X509" s="141"/>
      <c r="Y509" s="136"/>
      <c r="Z509" s="142"/>
      <c r="AA509" s="143"/>
      <c r="AB509" s="420">
        <v>906</v>
      </c>
    </row>
    <row r="510" spans="1:28" ht="12.6" customHeight="1" x14ac:dyDescent="0.2">
      <c r="A510" s="4"/>
      <c r="B510" s="689" t="s">
        <v>707</v>
      </c>
      <c r="C510" s="684"/>
      <c r="D510" s="684"/>
      <c r="E510" s="684"/>
      <c r="F510" s="392">
        <f>21.3*X2</f>
        <v>22088.100000000002</v>
      </c>
      <c r="G510" s="293">
        <f>+F510*$X$1</f>
        <v>22088.100000000002</v>
      </c>
      <c r="H510" s="104">
        <f>F510+4000</f>
        <v>26088.100000000002</v>
      </c>
      <c r="I510" s="314">
        <f t="shared" ref="I510:I512" si="1217">+H510*$X$1</f>
        <v>26088.100000000002</v>
      </c>
      <c r="J510" s="104">
        <f t="shared" ref="J510" si="1218">F510+800</f>
        <v>22888.100000000002</v>
      </c>
      <c r="K510" s="314">
        <f t="shared" si="1215"/>
        <v>22888.100000000002</v>
      </c>
      <c r="L510" s="104">
        <f t="shared" ref="L510" si="1219">F510+600</f>
        <v>22688.100000000002</v>
      </c>
      <c r="M510" s="314">
        <f t="shared" si="1216"/>
        <v>22688.100000000002</v>
      </c>
      <c r="N510" s="104">
        <f>F510+500</f>
        <v>22588.100000000002</v>
      </c>
      <c r="O510" s="314">
        <f t="shared" ref="O510:O512" si="1220">+N510*$X$1</f>
        <v>22588.100000000002</v>
      </c>
      <c r="P510" s="104">
        <f>F510+460</f>
        <v>22548.100000000002</v>
      </c>
      <c r="Q510" s="314">
        <f t="shared" ref="Q510:Q511" si="1221">+P510*$X$1</f>
        <v>22548.100000000002</v>
      </c>
      <c r="R510" s="104">
        <f>F510+440</f>
        <v>22528.100000000002</v>
      </c>
      <c r="S510" s="314">
        <f t="shared" ref="S510:S511" si="1222">+R510*$X$1</f>
        <v>22528.100000000002</v>
      </c>
      <c r="T510" s="104">
        <f>F510+400</f>
        <v>22488.100000000002</v>
      </c>
      <c r="U510" s="314">
        <f t="shared" ref="U510:U511" si="1223">+T510*$X$1</f>
        <v>22488.100000000002</v>
      </c>
      <c r="V510" s="104">
        <f>F510+370</f>
        <v>22458.100000000002</v>
      </c>
      <c r="W510" s="314">
        <f t="shared" ref="W510:W511" si="1224">+V510*$X$1</f>
        <v>22458.100000000002</v>
      </c>
      <c r="X510" s="141"/>
      <c r="Y510" s="136"/>
      <c r="Z510" s="142"/>
      <c r="AA510" s="143"/>
      <c r="AB510" s="420">
        <v>906</v>
      </c>
    </row>
    <row r="511" spans="1:28" ht="12.6" customHeight="1" x14ac:dyDescent="0.2">
      <c r="A511" s="4"/>
      <c r="B511" s="774" t="s">
        <v>648</v>
      </c>
      <c r="C511" s="705"/>
      <c r="D511" s="705"/>
      <c r="E511" s="705"/>
      <c r="F511" s="394">
        <f>21.1*X2</f>
        <v>21880.7</v>
      </c>
      <c r="G511" s="294">
        <f t="shared" ref="G511" si="1225">+F511*$X$1</f>
        <v>21880.7</v>
      </c>
      <c r="H511" s="103">
        <f>F511+5000</f>
        <v>26880.7</v>
      </c>
      <c r="I511" s="328">
        <f t="shared" si="1217"/>
        <v>26880.7</v>
      </c>
      <c r="J511" s="103">
        <f>F511+1100</f>
        <v>22980.7</v>
      </c>
      <c r="K511" s="328">
        <f t="shared" ref="K511:K512" si="1226">+J511*$X$1</f>
        <v>22980.7</v>
      </c>
      <c r="L511" s="103">
        <f>F511+990</f>
        <v>22870.7</v>
      </c>
      <c r="M511" s="328">
        <f t="shared" ref="M511:M512" si="1227">+L511*$X$1</f>
        <v>22870.7</v>
      </c>
      <c r="N511" s="103">
        <f>F511+920</f>
        <v>22800.7</v>
      </c>
      <c r="O511" s="328">
        <f t="shared" si="1220"/>
        <v>22800.7</v>
      </c>
      <c r="P511" s="103">
        <f>F511+860</f>
        <v>22740.7</v>
      </c>
      <c r="Q511" s="328">
        <f t="shared" si="1221"/>
        <v>22740.7</v>
      </c>
      <c r="R511" s="103">
        <f>F511+800</f>
        <v>22680.7</v>
      </c>
      <c r="S511" s="328">
        <f t="shared" si="1222"/>
        <v>22680.7</v>
      </c>
      <c r="T511" s="103">
        <f>F511+750</f>
        <v>22630.7</v>
      </c>
      <c r="U511" s="328">
        <f t="shared" si="1223"/>
        <v>22630.7</v>
      </c>
      <c r="V511" s="103">
        <f>F511+710</f>
        <v>22590.7</v>
      </c>
      <c r="W511" s="328">
        <f t="shared" si="1224"/>
        <v>22590.7</v>
      </c>
      <c r="X511" s="141"/>
      <c r="Y511" s="136"/>
      <c r="Z511" s="142"/>
      <c r="AA511" s="143"/>
      <c r="AB511" s="420" t="s">
        <v>662</v>
      </c>
    </row>
    <row r="512" spans="1:28" ht="12.6" customHeight="1" x14ac:dyDescent="0.2">
      <c r="A512" s="4"/>
      <c r="B512" s="689" t="s">
        <v>705</v>
      </c>
      <c r="C512" s="712"/>
      <c r="D512" s="712"/>
      <c r="E512" s="712"/>
      <c r="F512" s="395">
        <f>21.1*X2</f>
        <v>21880.7</v>
      </c>
      <c r="G512" s="293">
        <f t="shared" ref="G512" si="1228">+F512*$X$1</f>
        <v>21880.7</v>
      </c>
      <c r="H512" s="104">
        <f>F512+4000</f>
        <v>25880.7</v>
      </c>
      <c r="I512" s="314">
        <f t="shared" si="1217"/>
        <v>25880.7</v>
      </c>
      <c r="J512" s="104">
        <f t="shared" ref="J512" si="1229">F512+800</f>
        <v>22680.7</v>
      </c>
      <c r="K512" s="314">
        <f t="shared" si="1226"/>
        <v>22680.7</v>
      </c>
      <c r="L512" s="104">
        <f t="shared" ref="L512" si="1230">F512+600</f>
        <v>22480.7</v>
      </c>
      <c r="M512" s="314">
        <f t="shared" si="1227"/>
        <v>22480.7</v>
      </c>
      <c r="N512" s="104">
        <f>F512+500</f>
        <v>22380.7</v>
      </c>
      <c r="O512" s="314">
        <f t="shared" si="1220"/>
        <v>22380.7</v>
      </c>
      <c r="P512" s="104"/>
      <c r="Q512" s="314"/>
      <c r="R512" s="104"/>
      <c r="S512" s="314"/>
      <c r="T512" s="104"/>
      <c r="U512" s="314"/>
      <c r="V512" s="104"/>
      <c r="W512" s="314"/>
      <c r="X512" s="141"/>
      <c r="Y512" s="136"/>
      <c r="Z512" s="142"/>
      <c r="AA512" s="143"/>
      <c r="AB512" s="420">
        <v>907</v>
      </c>
    </row>
    <row r="513" spans="1:34" ht="12.6" customHeight="1" x14ac:dyDescent="0.2">
      <c r="A513" s="4"/>
      <c r="B513" s="1164" t="s">
        <v>619</v>
      </c>
      <c r="C513" s="1165"/>
      <c r="D513" s="1165"/>
      <c r="E513" s="1165"/>
      <c r="F513" s="294"/>
      <c r="G513" s="294"/>
      <c r="H513" s="492">
        <v>1900</v>
      </c>
      <c r="I513" s="294">
        <f t="shared" ref="I513" si="1231">+H513*$X$1</f>
        <v>1900</v>
      </c>
      <c r="J513" s="492">
        <v>800</v>
      </c>
      <c r="K513" s="294">
        <f t="shared" ref="K513" si="1232">+J513*$X$1</f>
        <v>800</v>
      </c>
      <c r="L513" s="492">
        <v>680</v>
      </c>
      <c r="M513" s="294">
        <f t="shared" ref="M513" si="1233">+L513*$X$1</f>
        <v>680</v>
      </c>
      <c r="N513" s="492">
        <v>620</v>
      </c>
      <c r="O513" s="294">
        <f t="shared" ref="O513" si="1234">+N513*$X$1</f>
        <v>620</v>
      </c>
      <c r="P513" s="492">
        <v>570</v>
      </c>
      <c r="Q513" s="294">
        <f t="shared" ref="Q513" si="1235">+P513*$X$1</f>
        <v>570</v>
      </c>
      <c r="R513" s="492">
        <v>520</v>
      </c>
      <c r="S513" s="294">
        <f t="shared" ref="S513" si="1236">+R513*$X$1</f>
        <v>520</v>
      </c>
      <c r="T513" s="492">
        <v>480</v>
      </c>
      <c r="U513" s="294">
        <f t="shared" ref="U513" si="1237">+T513*$X$1</f>
        <v>480</v>
      </c>
      <c r="V513" s="492">
        <v>450</v>
      </c>
      <c r="W513" s="294">
        <f t="shared" ref="W513" si="1238">+V513*$X$1</f>
        <v>450</v>
      </c>
      <c r="X513" s="141"/>
      <c r="Y513" s="136"/>
      <c r="Z513" s="142"/>
      <c r="AA513" s="143"/>
      <c r="AB513" s="32"/>
    </row>
    <row r="514" spans="1:34" ht="12.6" customHeight="1" x14ac:dyDescent="0.2">
      <c r="A514" s="4"/>
      <c r="B514" s="1162" t="s">
        <v>620</v>
      </c>
      <c r="C514" s="1163"/>
      <c r="D514" s="1163"/>
      <c r="E514" s="1163"/>
      <c r="F514" s="293"/>
      <c r="G514" s="293"/>
      <c r="H514" s="638">
        <v>900</v>
      </c>
      <c r="I514" s="293">
        <f t="shared" ref="I514" si="1239">+H514*$X$1</f>
        <v>900</v>
      </c>
      <c r="J514" s="638">
        <v>420</v>
      </c>
      <c r="K514" s="293">
        <f t="shared" ref="K514" si="1240">+J514*$X$1</f>
        <v>420</v>
      </c>
      <c r="L514" s="638">
        <v>380</v>
      </c>
      <c r="M514" s="293">
        <f t="shared" ref="M514" si="1241">+L514*$X$1</f>
        <v>380</v>
      </c>
      <c r="N514" s="638">
        <v>350</v>
      </c>
      <c r="O514" s="293">
        <f t="shared" ref="O514" si="1242">+N514*$X$1</f>
        <v>350</v>
      </c>
      <c r="P514" s="638">
        <v>320</v>
      </c>
      <c r="Q514" s="293">
        <f t="shared" ref="Q514" si="1243">+P514*$X$1</f>
        <v>320</v>
      </c>
      <c r="R514" s="638">
        <v>300</v>
      </c>
      <c r="S514" s="293">
        <f t="shared" ref="S514" si="1244">+R514*$X$1</f>
        <v>300</v>
      </c>
      <c r="T514" s="638">
        <v>280</v>
      </c>
      <c r="U514" s="293">
        <f t="shared" ref="U514" si="1245">+T514*$X$1</f>
        <v>280</v>
      </c>
      <c r="V514" s="638">
        <v>260</v>
      </c>
      <c r="W514" s="293">
        <f t="shared" ref="W514" si="1246">+V514*$X$1</f>
        <v>260</v>
      </c>
      <c r="X514" s="141"/>
      <c r="Y514" s="136"/>
      <c r="Z514" s="142"/>
      <c r="AA514" s="143"/>
      <c r="AB514" s="32"/>
    </row>
    <row r="515" spans="1:34" ht="9" customHeight="1" x14ac:dyDescent="0.2">
      <c r="A515" s="98"/>
      <c r="B515" s="78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80"/>
      <c r="W515" s="81"/>
      <c r="AB515" s="82"/>
    </row>
    <row r="516" spans="1:34" ht="13.5" customHeight="1" x14ac:dyDescent="0.2">
      <c r="B516" s="665" t="s">
        <v>594</v>
      </c>
      <c r="C516" s="666"/>
      <c r="D516" s="666"/>
      <c r="E516" s="666"/>
      <c r="F516" s="666"/>
      <c r="G516" s="666"/>
      <c r="H516" s="666"/>
      <c r="I516" s="666"/>
      <c r="J516" s="666"/>
      <c r="K516" s="666"/>
      <c r="L516" s="666"/>
      <c r="M516" s="666"/>
      <c r="N516" s="666"/>
      <c r="O516" s="666"/>
      <c r="P516" s="666"/>
      <c r="Q516" s="666"/>
      <c r="R516" s="666"/>
      <c r="S516" s="666"/>
      <c r="T516" s="666"/>
      <c r="U516" s="666"/>
      <c r="V516" s="666"/>
      <c r="W516" s="666"/>
      <c r="AB516" s="4"/>
      <c r="AF516" s="645"/>
      <c r="AG516" s="646"/>
      <c r="AH516" s="646"/>
    </row>
    <row r="517" spans="1:34" ht="12.75" customHeight="1" x14ac:dyDescent="0.2">
      <c r="B517" s="647" t="s">
        <v>11</v>
      </c>
      <c r="C517" s="649" t="s">
        <v>12</v>
      </c>
      <c r="D517" s="650"/>
      <c r="E517" s="650"/>
      <c r="F517" s="652" t="s">
        <v>291</v>
      </c>
      <c r="G517" s="652" t="s">
        <v>13</v>
      </c>
      <c r="H517" s="654" t="s">
        <v>942</v>
      </c>
      <c r="I517" s="654"/>
      <c r="J517" s="655"/>
      <c r="K517" s="655"/>
      <c r="L517" s="655"/>
      <c r="M517" s="655"/>
      <c r="N517" s="655"/>
      <c r="O517" s="655"/>
      <c r="P517" s="655"/>
      <c r="Q517" s="655"/>
      <c r="R517" s="655"/>
      <c r="S517" s="655"/>
      <c r="T517" s="655"/>
      <c r="U517" s="655"/>
      <c r="V517" s="655"/>
      <c r="W517" s="656"/>
      <c r="X517" s="657" t="s">
        <v>14</v>
      </c>
      <c r="Y517" s="658"/>
      <c r="Z517" s="658"/>
      <c r="AA517" s="659"/>
      <c r="AB517" s="663" t="s">
        <v>15</v>
      </c>
      <c r="AF517" s="645" t="s">
        <v>3</v>
      </c>
      <c r="AG517" s="646"/>
      <c r="AH517" s="646"/>
    </row>
    <row r="518" spans="1:34" ht="10.5" customHeight="1" x14ac:dyDescent="0.2">
      <c r="B518" s="648"/>
      <c r="C518" s="651"/>
      <c r="D518" s="651"/>
      <c r="E518" s="651"/>
      <c r="F518" s="653"/>
      <c r="G518" s="653"/>
      <c r="H518" s="519"/>
      <c r="I518" s="520" t="s">
        <v>579</v>
      </c>
      <c r="J518" s="519"/>
      <c r="K518" s="520" t="s">
        <v>292</v>
      </c>
      <c r="L518" s="519"/>
      <c r="M518" s="520" t="s">
        <v>293</v>
      </c>
      <c r="N518" s="519"/>
      <c r="O518" s="520" t="s">
        <v>581</v>
      </c>
      <c r="P518" s="519"/>
      <c r="Q518" s="520" t="s">
        <v>17</v>
      </c>
      <c r="R518" s="519"/>
      <c r="S518" s="520" t="s">
        <v>18</v>
      </c>
      <c r="T518" s="519"/>
      <c r="U518" s="520" t="s">
        <v>19</v>
      </c>
      <c r="V518" s="519"/>
      <c r="W518" s="521" t="s">
        <v>582</v>
      </c>
      <c r="X518" s="660"/>
      <c r="Y518" s="661"/>
      <c r="Z518" s="661"/>
      <c r="AA518" s="662"/>
      <c r="AB518" s="664"/>
    </row>
    <row r="519" spans="1:34" ht="12" customHeight="1" x14ac:dyDescent="0.2">
      <c r="A519" s="4"/>
      <c r="B519" s="708" t="s">
        <v>906</v>
      </c>
      <c r="C519" s="749"/>
      <c r="D519" s="749"/>
      <c r="E519" s="749"/>
      <c r="F519" s="396">
        <f>13.34*X2</f>
        <v>13833.58</v>
      </c>
      <c r="G519" s="328">
        <f t="shared" ref="G519" si="1247">+F519*$X$1</f>
        <v>13833.58</v>
      </c>
      <c r="H519" s="103"/>
      <c r="I519" s="328"/>
      <c r="J519" s="103">
        <f>F519+810</f>
        <v>14643.58</v>
      </c>
      <c r="K519" s="328">
        <f t="shared" ref="K519" si="1248">+J519*$X$1</f>
        <v>14643.58</v>
      </c>
      <c r="L519" s="103">
        <f t="shared" ref="L519:L527" si="1249">F519+500</f>
        <v>14333.58</v>
      </c>
      <c r="M519" s="328">
        <f t="shared" ref="M519" si="1250">+L519*$X$1</f>
        <v>14333.58</v>
      </c>
      <c r="N519" s="103">
        <f t="shared" ref="N519:N527" si="1251">F519+430</f>
        <v>14263.58</v>
      </c>
      <c r="O519" s="328">
        <f t="shared" ref="O519" si="1252">+N519*$X$1</f>
        <v>14263.58</v>
      </c>
      <c r="P519" s="103">
        <f t="shared" ref="P519:P527" si="1253">F519+390</f>
        <v>14223.58</v>
      </c>
      <c r="Q519" s="328">
        <f t="shared" ref="Q519" si="1254">+P519*$X$1</f>
        <v>14223.58</v>
      </c>
      <c r="R519" s="103">
        <f t="shared" ref="R519:R527" si="1255">F519+360</f>
        <v>14193.58</v>
      </c>
      <c r="S519" s="328">
        <f t="shared" ref="S519" si="1256">+R519*$X$1</f>
        <v>14193.58</v>
      </c>
      <c r="T519" s="103">
        <f t="shared" ref="T519:T527" si="1257">F519+320</f>
        <v>14153.58</v>
      </c>
      <c r="U519" s="328">
        <f t="shared" ref="U519" si="1258">+T519*$X$1</f>
        <v>14153.58</v>
      </c>
      <c r="V519" s="103">
        <f t="shared" ref="V519:V527" si="1259">F519+280</f>
        <v>14113.58</v>
      </c>
      <c r="W519" s="328">
        <f t="shared" ref="W519" si="1260">+V519*$X$1</f>
        <v>14113.58</v>
      </c>
      <c r="X519" s="141"/>
      <c r="Y519" s="136"/>
      <c r="Z519" s="142"/>
      <c r="AA519" s="143"/>
      <c r="AB519" s="420">
        <v>533</v>
      </c>
    </row>
    <row r="520" spans="1:34" ht="12" customHeight="1" x14ac:dyDescent="0.2">
      <c r="A520" s="4"/>
      <c r="B520" s="757" t="s">
        <v>909</v>
      </c>
      <c r="C520" s="758"/>
      <c r="D520" s="758"/>
      <c r="E520" s="758"/>
      <c r="F520" s="397">
        <f>7.79*X2</f>
        <v>8078.2300000000005</v>
      </c>
      <c r="G520" s="314">
        <f t="shared" ref="G520" si="1261">+F520*$X$1</f>
        <v>8078.2300000000005</v>
      </c>
      <c r="H520" s="104"/>
      <c r="I520" s="314"/>
      <c r="J520" s="104"/>
      <c r="K520" s="314"/>
      <c r="L520" s="104">
        <f t="shared" si="1249"/>
        <v>8578.23</v>
      </c>
      <c r="M520" s="314">
        <f t="shared" ref="M520:M522" si="1262">+L520*$X$1</f>
        <v>8578.23</v>
      </c>
      <c r="N520" s="104">
        <f t="shared" si="1251"/>
        <v>8508.23</v>
      </c>
      <c r="O520" s="314">
        <f t="shared" ref="O520:O522" si="1263">+N520*$X$1</f>
        <v>8508.23</v>
      </c>
      <c r="P520" s="104">
        <f t="shared" si="1253"/>
        <v>8468.23</v>
      </c>
      <c r="Q520" s="314">
        <f t="shared" ref="Q520:Q522" si="1264">+P520*$X$1</f>
        <v>8468.23</v>
      </c>
      <c r="R520" s="104">
        <f t="shared" si="1255"/>
        <v>8438.23</v>
      </c>
      <c r="S520" s="314">
        <f t="shared" ref="S520:S522" si="1265">+R520*$X$1</f>
        <v>8438.23</v>
      </c>
      <c r="T520" s="104">
        <f t="shared" si="1257"/>
        <v>8398.23</v>
      </c>
      <c r="U520" s="314">
        <f t="shared" ref="U520:U522" si="1266">+T520*$X$1</f>
        <v>8398.23</v>
      </c>
      <c r="V520" s="104">
        <f t="shared" si="1259"/>
        <v>8358.23</v>
      </c>
      <c r="W520" s="314">
        <f t="shared" ref="W520:W522" si="1267">+V520*$X$1</f>
        <v>8358.23</v>
      </c>
      <c r="X520" s="141"/>
      <c r="Y520" s="136"/>
      <c r="Z520" s="142"/>
      <c r="AA520" s="143"/>
      <c r="AB520" s="434">
        <v>566</v>
      </c>
    </row>
    <row r="521" spans="1:34" ht="12" customHeight="1" x14ac:dyDescent="0.2">
      <c r="A521" s="4"/>
      <c r="B521" s="757" t="s">
        <v>910</v>
      </c>
      <c r="C521" s="758"/>
      <c r="D521" s="758"/>
      <c r="E521" s="758"/>
      <c r="F521" s="396">
        <f>9.6*X2</f>
        <v>9955.1999999999989</v>
      </c>
      <c r="G521" s="328">
        <f t="shared" ref="G521" si="1268">+F521*$X$1</f>
        <v>9955.1999999999989</v>
      </c>
      <c r="H521" s="103"/>
      <c r="I521" s="328"/>
      <c r="J521" s="103"/>
      <c r="K521" s="328"/>
      <c r="L521" s="103">
        <f t="shared" si="1249"/>
        <v>10455.199999999999</v>
      </c>
      <c r="M521" s="328">
        <f t="shared" si="1262"/>
        <v>10455.199999999999</v>
      </c>
      <c r="N521" s="103">
        <f t="shared" si="1251"/>
        <v>10385.199999999999</v>
      </c>
      <c r="O521" s="328">
        <f t="shared" si="1263"/>
        <v>10385.199999999999</v>
      </c>
      <c r="P521" s="103">
        <f t="shared" si="1253"/>
        <v>10345.199999999999</v>
      </c>
      <c r="Q521" s="328">
        <f t="shared" si="1264"/>
        <v>10345.199999999999</v>
      </c>
      <c r="R521" s="103">
        <f t="shared" si="1255"/>
        <v>10315.199999999999</v>
      </c>
      <c r="S521" s="328">
        <f t="shared" si="1265"/>
        <v>10315.199999999999</v>
      </c>
      <c r="T521" s="103">
        <f t="shared" si="1257"/>
        <v>10275.199999999999</v>
      </c>
      <c r="U521" s="328">
        <f t="shared" si="1266"/>
        <v>10275.199999999999</v>
      </c>
      <c r="V521" s="103">
        <f t="shared" si="1259"/>
        <v>10235.199999999999</v>
      </c>
      <c r="W521" s="328">
        <f t="shared" si="1267"/>
        <v>10235.199999999999</v>
      </c>
      <c r="X521" s="141"/>
      <c r="Y521" s="136"/>
      <c r="Z521" s="142"/>
      <c r="AA521" s="143"/>
      <c r="AB521" s="434">
        <v>567</v>
      </c>
    </row>
    <row r="522" spans="1:34" ht="12" customHeight="1" x14ac:dyDescent="0.2">
      <c r="A522" s="4"/>
      <c r="B522" s="757" t="s">
        <v>911</v>
      </c>
      <c r="C522" s="758"/>
      <c r="D522" s="758"/>
      <c r="E522" s="758"/>
      <c r="F522" s="397">
        <f>9.36*X2</f>
        <v>9706.32</v>
      </c>
      <c r="G522" s="314">
        <f t="shared" ref="G522" si="1269">+F522*$X$1</f>
        <v>9706.32</v>
      </c>
      <c r="H522" s="104"/>
      <c r="I522" s="314"/>
      <c r="J522" s="104"/>
      <c r="K522" s="314"/>
      <c r="L522" s="104">
        <f t="shared" si="1249"/>
        <v>10206.32</v>
      </c>
      <c r="M522" s="314">
        <f t="shared" si="1262"/>
        <v>10206.32</v>
      </c>
      <c r="N522" s="104">
        <f t="shared" si="1251"/>
        <v>10136.32</v>
      </c>
      <c r="O522" s="314">
        <f t="shared" si="1263"/>
        <v>10136.32</v>
      </c>
      <c r="P522" s="104">
        <f t="shared" si="1253"/>
        <v>10096.32</v>
      </c>
      <c r="Q522" s="314">
        <f t="shared" si="1264"/>
        <v>10096.32</v>
      </c>
      <c r="R522" s="104">
        <f t="shared" si="1255"/>
        <v>10066.32</v>
      </c>
      <c r="S522" s="314">
        <f t="shared" si="1265"/>
        <v>10066.32</v>
      </c>
      <c r="T522" s="104">
        <f t="shared" si="1257"/>
        <v>10026.32</v>
      </c>
      <c r="U522" s="314">
        <f t="shared" si="1266"/>
        <v>10026.32</v>
      </c>
      <c r="V522" s="104">
        <f t="shared" si="1259"/>
        <v>9986.32</v>
      </c>
      <c r="W522" s="314">
        <f t="shared" si="1267"/>
        <v>9986.32</v>
      </c>
      <c r="X522" s="141"/>
      <c r="Y522" s="136"/>
      <c r="Z522" s="142"/>
      <c r="AA522" s="143"/>
      <c r="AB522" s="434">
        <v>569</v>
      </c>
    </row>
    <row r="523" spans="1:34" ht="12" customHeight="1" x14ac:dyDescent="0.2">
      <c r="A523" s="4"/>
      <c r="B523" s="706" t="s">
        <v>774</v>
      </c>
      <c r="C523" s="707"/>
      <c r="D523" s="707"/>
      <c r="E523" s="707"/>
      <c r="F523" s="396">
        <f>28.12*X2</f>
        <v>29160.440000000002</v>
      </c>
      <c r="G523" s="328">
        <f t="shared" ref="G523:K542" si="1270">+F523*$X$1</f>
        <v>29160.440000000002</v>
      </c>
      <c r="H523" s="103">
        <f>F523+4000</f>
        <v>33160.44</v>
      </c>
      <c r="I523" s="328">
        <f t="shared" si="1270"/>
        <v>33160.44</v>
      </c>
      <c r="J523" s="103">
        <f>F523+810</f>
        <v>29970.440000000002</v>
      </c>
      <c r="K523" s="328">
        <f t="shared" si="1270"/>
        <v>29970.440000000002</v>
      </c>
      <c r="L523" s="103">
        <f t="shared" si="1249"/>
        <v>29660.440000000002</v>
      </c>
      <c r="M523" s="328">
        <f t="shared" ref="M523" si="1271">+L523*$X$1</f>
        <v>29660.440000000002</v>
      </c>
      <c r="N523" s="103">
        <f t="shared" si="1251"/>
        <v>29590.440000000002</v>
      </c>
      <c r="O523" s="328">
        <f t="shared" ref="O523" si="1272">+N523*$X$1</f>
        <v>29590.440000000002</v>
      </c>
      <c r="P523" s="103">
        <f t="shared" si="1253"/>
        <v>29550.440000000002</v>
      </c>
      <c r="Q523" s="328">
        <f t="shared" ref="Q523" si="1273">+P523*$X$1</f>
        <v>29550.440000000002</v>
      </c>
      <c r="R523" s="103">
        <f t="shared" si="1255"/>
        <v>29520.440000000002</v>
      </c>
      <c r="S523" s="328">
        <f t="shared" ref="S523" si="1274">+R523*$X$1</f>
        <v>29520.440000000002</v>
      </c>
      <c r="T523" s="103">
        <f t="shared" si="1257"/>
        <v>29480.440000000002</v>
      </c>
      <c r="U523" s="328">
        <f t="shared" ref="U523" si="1275">+T523*$X$1</f>
        <v>29480.440000000002</v>
      </c>
      <c r="V523" s="103">
        <f t="shared" si="1259"/>
        <v>29440.440000000002</v>
      </c>
      <c r="W523" s="328">
        <f t="shared" ref="W523" si="1276">+V523*$X$1</f>
        <v>29440.440000000002</v>
      </c>
      <c r="X523" s="141"/>
      <c r="Y523" s="136"/>
      <c r="Z523" s="142"/>
      <c r="AA523" s="143"/>
      <c r="AB523" s="434">
        <v>570</v>
      </c>
    </row>
    <row r="524" spans="1:34" ht="12" customHeight="1" x14ac:dyDescent="0.2">
      <c r="A524" s="4"/>
      <c r="B524" s="937" t="s">
        <v>940</v>
      </c>
      <c r="C524" s="953"/>
      <c r="D524" s="953"/>
      <c r="E524" s="953"/>
      <c r="F524" s="397">
        <f>5.1*X2</f>
        <v>5288.7</v>
      </c>
      <c r="G524" s="314">
        <f t="shared" ref="G524" si="1277">+F524*$X$1</f>
        <v>5288.7</v>
      </c>
      <c r="H524" s="104"/>
      <c r="I524" s="314"/>
      <c r="J524" s="104">
        <f>F524+810</f>
        <v>6098.7</v>
      </c>
      <c r="K524" s="314">
        <f t="shared" ref="K524:K527" si="1278">+J524*$X$1</f>
        <v>6098.7</v>
      </c>
      <c r="L524" s="104">
        <f t="shared" si="1249"/>
        <v>5788.7</v>
      </c>
      <c r="M524" s="314">
        <f t="shared" ref="M524:M527" si="1279">+L524*$X$1</f>
        <v>5788.7</v>
      </c>
      <c r="N524" s="104">
        <f t="shared" si="1251"/>
        <v>5718.7</v>
      </c>
      <c r="O524" s="314">
        <f t="shared" ref="O524:O527" si="1280">+N524*$X$1</f>
        <v>5718.7</v>
      </c>
      <c r="P524" s="104">
        <f t="shared" si="1253"/>
        <v>5678.7</v>
      </c>
      <c r="Q524" s="314">
        <f t="shared" ref="Q524:Q527" si="1281">+P524*$X$1</f>
        <v>5678.7</v>
      </c>
      <c r="R524" s="104">
        <f t="shared" si="1255"/>
        <v>5648.7</v>
      </c>
      <c r="S524" s="314">
        <f t="shared" ref="S524:S527" si="1282">+R524*$X$1</f>
        <v>5648.7</v>
      </c>
      <c r="T524" s="104">
        <f t="shared" si="1257"/>
        <v>5608.7</v>
      </c>
      <c r="U524" s="314">
        <f t="shared" ref="U524:U527" si="1283">+T524*$X$1</f>
        <v>5608.7</v>
      </c>
      <c r="V524" s="104">
        <f t="shared" si="1259"/>
        <v>5568.7</v>
      </c>
      <c r="W524" s="314">
        <f t="shared" ref="W524:W527" si="1284">+V524*$X$1</f>
        <v>5568.7</v>
      </c>
      <c r="X524" s="141"/>
      <c r="Y524" s="136"/>
      <c r="Z524" s="142"/>
      <c r="AA524" s="143"/>
      <c r="AB524" s="420" t="s">
        <v>816</v>
      </c>
    </row>
    <row r="525" spans="1:34" ht="12" customHeight="1" x14ac:dyDescent="0.2">
      <c r="A525" s="4"/>
      <c r="B525" s="757" t="s">
        <v>941</v>
      </c>
      <c r="C525" s="758"/>
      <c r="D525" s="758"/>
      <c r="E525" s="758"/>
      <c r="F525" s="396">
        <f>1.93*X2</f>
        <v>2001.4099999999999</v>
      </c>
      <c r="G525" s="328">
        <f t="shared" ref="G525" si="1285">+F525*$X$1</f>
        <v>2001.4099999999999</v>
      </c>
      <c r="H525" s="103"/>
      <c r="I525" s="328"/>
      <c r="J525" s="103">
        <f>F525+810</f>
        <v>2811.41</v>
      </c>
      <c r="K525" s="328">
        <f t="shared" ref="K525" si="1286">+J525*$X$1</f>
        <v>2811.41</v>
      </c>
      <c r="L525" s="103">
        <f t="shared" si="1249"/>
        <v>2501.41</v>
      </c>
      <c r="M525" s="328">
        <f t="shared" ref="M525" si="1287">+L525*$X$1</f>
        <v>2501.41</v>
      </c>
      <c r="N525" s="103">
        <f t="shared" si="1251"/>
        <v>2431.41</v>
      </c>
      <c r="O525" s="328">
        <f t="shared" ref="O525" si="1288">+N525*$X$1</f>
        <v>2431.41</v>
      </c>
      <c r="P525" s="103">
        <f t="shared" si="1253"/>
        <v>2391.41</v>
      </c>
      <c r="Q525" s="328">
        <f t="shared" ref="Q525" si="1289">+P525*$X$1</f>
        <v>2391.41</v>
      </c>
      <c r="R525" s="103">
        <f t="shared" si="1255"/>
        <v>2361.41</v>
      </c>
      <c r="S525" s="328">
        <f t="shared" ref="S525" si="1290">+R525*$X$1</f>
        <v>2361.41</v>
      </c>
      <c r="T525" s="103">
        <f t="shared" si="1257"/>
        <v>2321.41</v>
      </c>
      <c r="U525" s="328">
        <f t="shared" ref="U525" si="1291">+T525*$X$1</f>
        <v>2321.41</v>
      </c>
      <c r="V525" s="103">
        <f t="shared" si="1259"/>
        <v>2281.41</v>
      </c>
      <c r="W525" s="328">
        <f t="shared" ref="W525" si="1292">+V525*$X$1</f>
        <v>2281.41</v>
      </c>
      <c r="X525" s="141"/>
      <c r="Y525" s="136"/>
      <c r="Z525" s="142"/>
      <c r="AA525" s="143"/>
      <c r="AB525" s="420">
        <v>575</v>
      </c>
    </row>
    <row r="526" spans="1:34" ht="12" customHeight="1" x14ac:dyDescent="0.2">
      <c r="A526" s="4"/>
      <c r="B526" s="937" t="s">
        <v>764</v>
      </c>
      <c r="C526" s="953"/>
      <c r="D526" s="953"/>
      <c r="E526" s="953"/>
      <c r="F526" s="563">
        <v>20310</v>
      </c>
      <c r="G526" s="314">
        <f t="shared" ref="G526" si="1293">+F526*$X$1</f>
        <v>20310</v>
      </c>
      <c r="H526" s="104"/>
      <c r="I526" s="314"/>
      <c r="J526" s="104">
        <f>F526+810</f>
        <v>21120</v>
      </c>
      <c r="K526" s="314">
        <f t="shared" si="1278"/>
        <v>21120</v>
      </c>
      <c r="L526" s="104">
        <f t="shared" si="1249"/>
        <v>20810</v>
      </c>
      <c r="M526" s="314">
        <f t="shared" si="1279"/>
        <v>20810</v>
      </c>
      <c r="N526" s="104">
        <f t="shared" si="1251"/>
        <v>20740</v>
      </c>
      <c r="O526" s="314">
        <f t="shared" si="1280"/>
        <v>20740</v>
      </c>
      <c r="P526" s="104">
        <f t="shared" si="1253"/>
        <v>20700</v>
      </c>
      <c r="Q526" s="314">
        <f t="shared" si="1281"/>
        <v>20700</v>
      </c>
      <c r="R526" s="104">
        <f t="shared" si="1255"/>
        <v>20670</v>
      </c>
      <c r="S526" s="314">
        <f t="shared" si="1282"/>
        <v>20670</v>
      </c>
      <c r="T526" s="104">
        <f t="shared" si="1257"/>
        <v>20630</v>
      </c>
      <c r="U526" s="314">
        <f t="shared" si="1283"/>
        <v>20630</v>
      </c>
      <c r="V526" s="104">
        <f t="shared" si="1259"/>
        <v>20590</v>
      </c>
      <c r="W526" s="314">
        <f t="shared" si="1284"/>
        <v>20590</v>
      </c>
      <c r="X526" s="141"/>
      <c r="Y526" s="136"/>
      <c r="Z526" s="142"/>
      <c r="AA526" s="143"/>
      <c r="AB526" s="420">
        <v>577</v>
      </c>
    </row>
    <row r="527" spans="1:34" ht="12" customHeight="1" x14ac:dyDescent="0.2">
      <c r="A527" s="4"/>
      <c r="B527" s="704" t="s">
        <v>763</v>
      </c>
      <c r="C527" s="751"/>
      <c r="D527" s="751"/>
      <c r="E527" s="751"/>
      <c r="F527" s="396">
        <f>29.9*X2</f>
        <v>31006.3</v>
      </c>
      <c r="G527" s="328">
        <f t="shared" si="1270"/>
        <v>31006.3</v>
      </c>
      <c r="H527" s="103">
        <f>F527+4000</f>
        <v>35006.300000000003</v>
      </c>
      <c r="I527" s="328">
        <f t="shared" ref="I527" si="1294">+H527*$X$1</f>
        <v>35006.300000000003</v>
      </c>
      <c r="J527" s="103">
        <f>F527+810</f>
        <v>31816.3</v>
      </c>
      <c r="K527" s="328">
        <f t="shared" si="1278"/>
        <v>31816.3</v>
      </c>
      <c r="L527" s="103">
        <f t="shared" si="1249"/>
        <v>31506.3</v>
      </c>
      <c r="M527" s="328">
        <f t="shared" si="1279"/>
        <v>31506.3</v>
      </c>
      <c r="N527" s="103">
        <f t="shared" si="1251"/>
        <v>31436.3</v>
      </c>
      <c r="O527" s="328">
        <f t="shared" si="1280"/>
        <v>31436.3</v>
      </c>
      <c r="P527" s="103">
        <f t="shared" si="1253"/>
        <v>31396.3</v>
      </c>
      <c r="Q527" s="328">
        <f t="shared" si="1281"/>
        <v>31396.3</v>
      </c>
      <c r="R527" s="103">
        <f t="shared" si="1255"/>
        <v>31366.3</v>
      </c>
      <c r="S527" s="328">
        <f t="shared" si="1282"/>
        <v>31366.3</v>
      </c>
      <c r="T527" s="103">
        <f t="shared" si="1257"/>
        <v>31326.3</v>
      </c>
      <c r="U527" s="328">
        <f t="shared" si="1283"/>
        <v>31326.3</v>
      </c>
      <c r="V527" s="103">
        <f t="shared" si="1259"/>
        <v>31286.3</v>
      </c>
      <c r="W527" s="328">
        <f t="shared" si="1284"/>
        <v>31286.3</v>
      </c>
      <c r="X527" s="141"/>
      <c r="Y527" s="136"/>
      <c r="Z527" s="142"/>
      <c r="AA527" s="143"/>
      <c r="AB527" s="420">
        <v>580</v>
      </c>
    </row>
    <row r="528" spans="1:34" ht="12" customHeight="1" x14ac:dyDescent="0.2">
      <c r="A528" s="4"/>
      <c r="B528" s="683" t="s">
        <v>762</v>
      </c>
      <c r="C528" s="684"/>
      <c r="D528" s="684"/>
      <c r="E528" s="684"/>
      <c r="F528" s="395">
        <f>28.6*X2</f>
        <v>29658.2</v>
      </c>
      <c r="G528" s="293">
        <f t="shared" si="1270"/>
        <v>29658.2</v>
      </c>
      <c r="H528" s="104">
        <f t="shared" ref="H528:H530" si="1295">F528+4000</f>
        <v>33658.199999999997</v>
      </c>
      <c r="I528" s="314">
        <f t="shared" ref="I528:I530" si="1296">+H528*$X$1</f>
        <v>33658.199999999997</v>
      </c>
      <c r="J528" s="104">
        <f t="shared" ref="J528:J530" si="1297">F528+810</f>
        <v>30468.2</v>
      </c>
      <c r="K528" s="314">
        <f t="shared" ref="K528:K530" si="1298">+J528*$X$1</f>
        <v>30468.2</v>
      </c>
      <c r="L528" s="104">
        <f t="shared" ref="L528:L530" si="1299">F528+500</f>
        <v>30158.2</v>
      </c>
      <c r="M528" s="314">
        <f t="shared" ref="M528:M530" si="1300">+L528*$X$1</f>
        <v>30158.2</v>
      </c>
      <c r="N528" s="104">
        <f t="shared" ref="N528:N530" si="1301">F528+430</f>
        <v>30088.2</v>
      </c>
      <c r="O528" s="314">
        <f t="shared" ref="O528:O530" si="1302">+N528*$X$1</f>
        <v>30088.2</v>
      </c>
      <c r="P528" s="104">
        <f t="shared" ref="P528:P530" si="1303">F528+390</f>
        <v>30048.2</v>
      </c>
      <c r="Q528" s="314">
        <f t="shared" ref="Q528:Q530" si="1304">+P528*$X$1</f>
        <v>30048.2</v>
      </c>
      <c r="R528" s="104">
        <f t="shared" ref="R528:R530" si="1305">F528+360</f>
        <v>30018.2</v>
      </c>
      <c r="S528" s="314">
        <f t="shared" ref="S528:S530" si="1306">+R528*$X$1</f>
        <v>30018.2</v>
      </c>
      <c r="T528" s="104">
        <f t="shared" ref="T528:T530" si="1307">F528+320</f>
        <v>29978.2</v>
      </c>
      <c r="U528" s="314">
        <f t="shared" ref="U528:U530" si="1308">+T528*$X$1</f>
        <v>29978.2</v>
      </c>
      <c r="V528" s="104">
        <f t="shared" ref="V528:V530" si="1309">F528+280</f>
        <v>29938.2</v>
      </c>
      <c r="W528" s="314">
        <f t="shared" ref="W528:W530" si="1310">+V528*$X$1</f>
        <v>29938.2</v>
      </c>
      <c r="X528" s="141"/>
      <c r="Y528" s="136"/>
      <c r="Z528" s="142"/>
      <c r="AA528" s="143"/>
      <c r="AB528" s="420">
        <v>582</v>
      </c>
    </row>
    <row r="529" spans="1:28" ht="12" customHeight="1" x14ac:dyDescent="0.2">
      <c r="A529" s="4"/>
      <c r="B529" s="704" t="s">
        <v>761</v>
      </c>
      <c r="C529" s="751"/>
      <c r="D529" s="751"/>
      <c r="E529" s="751"/>
      <c r="F529" s="562">
        <v>47318</v>
      </c>
      <c r="G529" s="328">
        <f t="shared" si="1270"/>
        <v>47318</v>
      </c>
      <c r="H529" s="103">
        <f t="shared" si="1295"/>
        <v>51318</v>
      </c>
      <c r="I529" s="328">
        <f t="shared" si="1296"/>
        <v>51318</v>
      </c>
      <c r="J529" s="103">
        <f t="shared" si="1297"/>
        <v>48128</v>
      </c>
      <c r="K529" s="328">
        <f t="shared" si="1298"/>
        <v>48128</v>
      </c>
      <c r="L529" s="103">
        <f t="shared" si="1299"/>
        <v>47818</v>
      </c>
      <c r="M529" s="328">
        <f t="shared" si="1300"/>
        <v>47818</v>
      </c>
      <c r="N529" s="103">
        <f t="shared" si="1301"/>
        <v>47748</v>
      </c>
      <c r="O529" s="328">
        <f t="shared" si="1302"/>
        <v>47748</v>
      </c>
      <c r="P529" s="103">
        <f t="shared" si="1303"/>
        <v>47708</v>
      </c>
      <c r="Q529" s="328">
        <f t="shared" si="1304"/>
        <v>47708</v>
      </c>
      <c r="R529" s="103">
        <f t="shared" si="1305"/>
        <v>47678</v>
      </c>
      <c r="S529" s="328">
        <f t="shared" si="1306"/>
        <v>47678</v>
      </c>
      <c r="T529" s="103">
        <f t="shared" si="1307"/>
        <v>47638</v>
      </c>
      <c r="U529" s="328">
        <f t="shared" si="1308"/>
        <v>47638</v>
      </c>
      <c r="V529" s="103">
        <f t="shared" si="1309"/>
        <v>47598</v>
      </c>
      <c r="W529" s="328">
        <f t="shared" si="1310"/>
        <v>47598</v>
      </c>
      <c r="X529" s="141"/>
      <c r="Y529" s="136"/>
      <c r="Z529" s="142"/>
      <c r="AA529" s="143"/>
      <c r="AB529" s="420">
        <v>584</v>
      </c>
    </row>
    <row r="530" spans="1:28" ht="12" customHeight="1" x14ac:dyDescent="0.2">
      <c r="A530" s="4"/>
      <c r="B530" s="733" t="s">
        <v>817</v>
      </c>
      <c r="C530" s="734"/>
      <c r="D530" s="734"/>
      <c r="E530" s="735"/>
      <c r="F530" s="395">
        <f>29.9*X2</f>
        <v>31006.3</v>
      </c>
      <c r="G530" s="293">
        <f>+F530*$X$1</f>
        <v>31006.3</v>
      </c>
      <c r="H530" s="104">
        <f t="shared" si="1295"/>
        <v>35006.300000000003</v>
      </c>
      <c r="I530" s="314">
        <f t="shared" si="1296"/>
        <v>35006.300000000003</v>
      </c>
      <c r="J530" s="104">
        <f t="shared" si="1297"/>
        <v>31816.3</v>
      </c>
      <c r="K530" s="314">
        <f t="shared" si="1298"/>
        <v>31816.3</v>
      </c>
      <c r="L530" s="104">
        <f t="shared" si="1299"/>
        <v>31506.3</v>
      </c>
      <c r="M530" s="314">
        <f t="shared" si="1300"/>
        <v>31506.3</v>
      </c>
      <c r="N530" s="104">
        <f t="shared" si="1301"/>
        <v>31436.3</v>
      </c>
      <c r="O530" s="314">
        <f t="shared" si="1302"/>
        <v>31436.3</v>
      </c>
      <c r="P530" s="104">
        <f t="shared" si="1303"/>
        <v>31396.3</v>
      </c>
      <c r="Q530" s="314">
        <f t="shared" si="1304"/>
        <v>31396.3</v>
      </c>
      <c r="R530" s="104">
        <f t="shared" si="1305"/>
        <v>31366.3</v>
      </c>
      <c r="S530" s="314">
        <f t="shared" si="1306"/>
        <v>31366.3</v>
      </c>
      <c r="T530" s="104">
        <f t="shared" si="1307"/>
        <v>31326.3</v>
      </c>
      <c r="U530" s="314">
        <f t="shared" si="1308"/>
        <v>31326.3</v>
      </c>
      <c r="V530" s="104">
        <f t="shared" si="1309"/>
        <v>31286.3</v>
      </c>
      <c r="W530" s="314">
        <f t="shared" si="1310"/>
        <v>31286.3</v>
      </c>
      <c r="X530" s="141"/>
      <c r="Y530" s="136"/>
      <c r="Z530" s="142"/>
      <c r="AA530" s="143"/>
      <c r="AB530" s="420">
        <v>586</v>
      </c>
    </row>
    <row r="531" spans="1:28" ht="12" customHeight="1" x14ac:dyDescent="0.2">
      <c r="A531" s="4"/>
      <c r="B531" s="730" t="s">
        <v>912</v>
      </c>
      <c r="C531" s="731"/>
      <c r="D531" s="731"/>
      <c r="E531" s="732"/>
      <c r="F531" s="562">
        <v>15080</v>
      </c>
      <c r="G531" s="328">
        <f t="shared" ref="G531:G532" si="1311">+F531*$X$1</f>
        <v>15080</v>
      </c>
      <c r="H531" s="103"/>
      <c r="I531" s="328"/>
      <c r="J531" s="103"/>
      <c r="K531" s="328"/>
      <c r="L531" s="103">
        <f t="shared" ref="L531:L532" si="1312">F531+500</f>
        <v>15580</v>
      </c>
      <c r="M531" s="328">
        <f t="shared" ref="M531:M532" si="1313">+L531*$X$1</f>
        <v>15580</v>
      </c>
      <c r="N531" s="103">
        <f t="shared" ref="N531:N532" si="1314">F531+430</f>
        <v>15510</v>
      </c>
      <c r="O531" s="328">
        <f t="shared" ref="O531:O532" si="1315">+N531*$X$1</f>
        <v>15510</v>
      </c>
      <c r="P531" s="103">
        <f t="shared" ref="P531:P532" si="1316">F531+390</f>
        <v>15470</v>
      </c>
      <c r="Q531" s="328">
        <f t="shared" ref="Q531:Q532" si="1317">+P531*$X$1</f>
        <v>15470</v>
      </c>
      <c r="R531" s="103">
        <f t="shared" ref="R531:R532" si="1318">F531+360</f>
        <v>15440</v>
      </c>
      <c r="S531" s="328">
        <f t="shared" ref="S531:S532" si="1319">+R531*$X$1</f>
        <v>15440</v>
      </c>
      <c r="T531" s="103">
        <f t="shared" ref="T531:T532" si="1320">F531+320</f>
        <v>15400</v>
      </c>
      <c r="U531" s="328">
        <f t="shared" ref="U531:U532" si="1321">+T531*$X$1</f>
        <v>15400</v>
      </c>
      <c r="V531" s="103">
        <f t="shared" ref="V531:V532" si="1322">F531+280</f>
        <v>15360</v>
      </c>
      <c r="W531" s="328">
        <f t="shared" ref="W531:W532" si="1323">+V531*$X$1</f>
        <v>15360</v>
      </c>
      <c r="X531" s="141"/>
      <c r="Y531" s="136"/>
      <c r="Z531" s="142"/>
      <c r="AA531" s="143"/>
      <c r="AB531" s="420">
        <v>590</v>
      </c>
    </row>
    <row r="532" spans="1:28" ht="12" customHeight="1" x14ac:dyDescent="0.2">
      <c r="A532" s="4"/>
      <c r="B532" s="730" t="s">
        <v>922</v>
      </c>
      <c r="C532" s="731"/>
      <c r="D532" s="731"/>
      <c r="E532" s="732"/>
      <c r="F532" s="395">
        <f>6.28*X2</f>
        <v>6512.3600000000006</v>
      </c>
      <c r="G532" s="293">
        <f t="shared" si="1311"/>
        <v>6512.3600000000006</v>
      </c>
      <c r="H532" s="104">
        <f t="shared" ref="H532" si="1324">F532+4000</f>
        <v>10512.36</v>
      </c>
      <c r="I532" s="314">
        <f t="shared" ref="I532" si="1325">+H532*$X$1</f>
        <v>10512.36</v>
      </c>
      <c r="J532" s="104">
        <f t="shared" ref="J532" si="1326">F532+810</f>
        <v>7322.3600000000006</v>
      </c>
      <c r="K532" s="314">
        <f t="shared" ref="K532" si="1327">+J532*$X$1</f>
        <v>7322.3600000000006</v>
      </c>
      <c r="L532" s="104">
        <f t="shared" si="1312"/>
        <v>7012.3600000000006</v>
      </c>
      <c r="M532" s="314">
        <f t="shared" si="1313"/>
        <v>7012.3600000000006</v>
      </c>
      <c r="N532" s="104">
        <f t="shared" si="1314"/>
        <v>6942.3600000000006</v>
      </c>
      <c r="O532" s="314">
        <f t="shared" si="1315"/>
        <v>6942.3600000000006</v>
      </c>
      <c r="P532" s="104">
        <f t="shared" si="1316"/>
        <v>6902.3600000000006</v>
      </c>
      <c r="Q532" s="314">
        <f t="shared" si="1317"/>
        <v>6902.3600000000006</v>
      </c>
      <c r="R532" s="104">
        <f t="shared" si="1318"/>
        <v>6872.3600000000006</v>
      </c>
      <c r="S532" s="314">
        <f t="shared" si="1319"/>
        <v>6872.3600000000006</v>
      </c>
      <c r="T532" s="104">
        <f t="shared" si="1320"/>
        <v>6832.3600000000006</v>
      </c>
      <c r="U532" s="314">
        <f t="shared" si="1321"/>
        <v>6832.3600000000006</v>
      </c>
      <c r="V532" s="104">
        <f t="shared" si="1322"/>
        <v>6792.3600000000006</v>
      </c>
      <c r="W532" s="314">
        <f t="shared" si="1323"/>
        <v>6792.3600000000006</v>
      </c>
      <c r="X532" s="141"/>
      <c r="Y532" s="136"/>
      <c r="Z532" s="142"/>
      <c r="AA532" s="143"/>
      <c r="AB532" s="197">
        <v>593</v>
      </c>
    </row>
    <row r="533" spans="1:28" ht="12" customHeight="1" x14ac:dyDescent="0.2">
      <c r="A533" s="4"/>
      <c r="B533" s="736" t="s">
        <v>773</v>
      </c>
      <c r="C533" s="737"/>
      <c r="D533" s="737"/>
      <c r="E533" s="738"/>
      <c r="F533" s="589">
        <v>31690</v>
      </c>
      <c r="G533" s="294">
        <f t="shared" si="1270"/>
        <v>31690</v>
      </c>
      <c r="H533" s="103"/>
      <c r="I533" s="328"/>
      <c r="J533" s="103">
        <f t="shared" ref="J533" si="1328">F533+810</f>
        <v>32500</v>
      </c>
      <c r="K533" s="328">
        <f t="shared" ref="K533" si="1329">+J533*$X$1</f>
        <v>32500</v>
      </c>
      <c r="L533" s="103">
        <f t="shared" ref="L533" si="1330">F533+500</f>
        <v>32190</v>
      </c>
      <c r="M533" s="328">
        <f t="shared" ref="M533" si="1331">+L533*$X$1</f>
        <v>32190</v>
      </c>
      <c r="N533" s="103">
        <f t="shared" ref="N533" si="1332">F533+430</f>
        <v>32120</v>
      </c>
      <c r="O533" s="328">
        <f t="shared" ref="O533" si="1333">+N533*$X$1</f>
        <v>32120</v>
      </c>
      <c r="P533" s="103">
        <f t="shared" ref="P533" si="1334">F533+390</f>
        <v>32080</v>
      </c>
      <c r="Q533" s="328">
        <f t="shared" ref="Q533" si="1335">+P533*$X$1</f>
        <v>32080</v>
      </c>
      <c r="R533" s="103">
        <f t="shared" ref="R533" si="1336">F533+360</f>
        <v>32050</v>
      </c>
      <c r="S533" s="328">
        <f t="shared" ref="S533" si="1337">+R533*$X$1</f>
        <v>32050</v>
      </c>
      <c r="T533" s="103">
        <f t="shared" ref="T533" si="1338">F533+320</f>
        <v>32010</v>
      </c>
      <c r="U533" s="328">
        <f t="shared" ref="U533" si="1339">+T533*$X$1</f>
        <v>32010</v>
      </c>
      <c r="V533" s="103">
        <f t="shared" ref="V533" si="1340">F533+280</f>
        <v>31970</v>
      </c>
      <c r="W533" s="328">
        <f t="shared" ref="W533" si="1341">+V533*$X$1</f>
        <v>31970</v>
      </c>
      <c r="X533" s="141"/>
      <c r="Y533" s="136"/>
      <c r="Z533" s="142"/>
      <c r="AA533" s="143"/>
      <c r="AB533" s="420">
        <v>599</v>
      </c>
    </row>
    <row r="534" spans="1:28" ht="12" customHeight="1" x14ac:dyDescent="0.2">
      <c r="A534" s="4"/>
      <c r="B534" s="733" t="s">
        <v>760</v>
      </c>
      <c r="C534" s="734"/>
      <c r="D534" s="734"/>
      <c r="E534" s="735"/>
      <c r="F534" s="392">
        <f>22.12*X2</f>
        <v>22938.440000000002</v>
      </c>
      <c r="G534" s="293">
        <f t="shared" si="1270"/>
        <v>22938.440000000002</v>
      </c>
      <c r="H534" s="104">
        <f t="shared" ref="H534" si="1342">F534+4000</f>
        <v>26938.440000000002</v>
      </c>
      <c r="I534" s="314">
        <f t="shared" ref="I534" si="1343">+H534*$X$1</f>
        <v>26938.440000000002</v>
      </c>
      <c r="J534" s="104">
        <f t="shared" ref="J534" si="1344">F534+810</f>
        <v>23748.440000000002</v>
      </c>
      <c r="K534" s="314">
        <f t="shared" ref="K534:K547" si="1345">+J534*$X$1</f>
        <v>23748.440000000002</v>
      </c>
      <c r="L534" s="104">
        <f t="shared" ref="L534" si="1346">F534+500</f>
        <v>23438.440000000002</v>
      </c>
      <c r="M534" s="314">
        <f t="shared" ref="M534:M547" si="1347">+L534*$X$1</f>
        <v>23438.440000000002</v>
      </c>
      <c r="N534" s="104">
        <f t="shared" ref="N534" si="1348">F534+430</f>
        <v>23368.440000000002</v>
      </c>
      <c r="O534" s="314">
        <f t="shared" ref="O534:O547" si="1349">+N534*$X$1</f>
        <v>23368.440000000002</v>
      </c>
      <c r="P534" s="104">
        <f t="shared" ref="P534" si="1350">F534+390</f>
        <v>23328.440000000002</v>
      </c>
      <c r="Q534" s="314">
        <f t="shared" ref="Q534:Q547" si="1351">+P534*$X$1</f>
        <v>23328.440000000002</v>
      </c>
      <c r="R534" s="104">
        <f t="shared" ref="R534" si="1352">F534+360</f>
        <v>23298.440000000002</v>
      </c>
      <c r="S534" s="314">
        <f t="shared" ref="S534:S547" si="1353">+R534*$X$1</f>
        <v>23298.440000000002</v>
      </c>
      <c r="T534" s="104">
        <f t="shared" ref="T534" si="1354">F534+320</f>
        <v>23258.440000000002</v>
      </c>
      <c r="U534" s="314">
        <f t="shared" ref="U534:U547" si="1355">+T534*$X$1</f>
        <v>23258.440000000002</v>
      </c>
      <c r="V534" s="104">
        <f t="shared" ref="V534" si="1356">F534+280</f>
        <v>23218.440000000002</v>
      </c>
      <c r="W534" s="314">
        <f t="shared" ref="W534:W547" si="1357">+V534*$X$1</f>
        <v>23218.440000000002</v>
      </c>
      <c r="X534" s="141"/>
      <c r="Y534" s="136"/>
      <c r="Z534" s="142"/>
      <c r="AA534" s="143"/>
      <c r="AB534" s="420">
        <v>600</v>
      </c>
    </row>
    <row r="535" spans="1:28" ht="12" customHeight="1" x14ac:dyDescent="0.2">
      <c r="A535" s="4"/>
      <c r="B535" s="736" t="s">
        <v>921</v>
      </c>
      <c r="C535" s="737"/>
      <c r="D535" s="737"/>
      <c r="E535" s="738"/>
      <c r="F535" s="394">
        <f>74.5*X2</f>
        <v>77256.5</v>
      </c>
      <c r="G535" s="294">
        <f t="shared" ref="G535" si="1358">+F535*$X$1</f>
        <v>77256.5</v>
      </c>
      <c r="H535" s="103">
        <f t="shared" ref="H535:H545" si="1359">F535+4000</f>
        <v>81256.5</v>
      </c>
      <c r="I535" s="328">
        <f t="shared" ref="I535:I545" si="1360">+H535*$X$1</f>
        <v>81256.5</v>
      </c>
      <c r="J535" s="103">
        <f t="shared" ref="J535:J545" si="1361">F535+810</f>
        <v>78066.5</v>
      </c>
      <c r="K535" s="328">
        <f t="shared" ref="K535:K545" si="1362">+J535*$X$1</f>
        <v>78066.5</v>
      </c>
      <c r="L535" s="103">
        <f t="shared" ref="L535:L545" si="1363">F535+500</f>
        <v>77756.5</v>
      </c>
      <c r="M535" s="328">
        <f t="shared" ref="M535:M545" si="1364">+L535*$X$1</f>
        <v>77756.5</v>
      </c>
      <c r="N535" s="103">
        <f t="shared" ref="N535:N545" si="1365">F535+430</f>
        <v>77686.5</v>
      </c>
      <c r="O535" s="328">
        <f t="shared" ref="O535:O545" si="1366">+N535*$X$1</f>
        <v>77686.5</v>
      </c>
      <c r="P535" s="103">
        <f t="shared" ref="P535:P545" si="1367">F535+390</f>
        <v>77646.5</v>
      </c>
      <c r="Q535" s="328">
        <f t="shared" ref="Q535:Q545" si="1368">+P535*$X$1</f>
        <v>77646.5</v>
      </c>
      <c r="R535" s="103">
        <f t="shared" ref="R535:R545" si="1369">F535+360</f>
        <v>77616.5</v>
      </c>
      <c r="S535" s="328">
        <f t="shared" ref="S535:S545" si="1370">+R535*$X$1</f>
        <v>77616.5</v>
      </c>
      <c r="T535" s="103">
        <f t="shared" ref="T535:T545" si="1371">F535+320</f>
        <v>77576.5</v>
      </c>
      <c r="U535" s="328">
        <f t="shared" ref="U535:U545" si="1372">+T535*$X$1</f>
        <v>77576.5</v>
      </c>
      <c r="V535" s="103">
        <f t="shared" ref="V535:V545" si="1373">F535+280</f>
        <v>77536.5</v>
      </c>
      <c r="W535" s="328">
        <f t="shared" ref="W535:W545" si="1374">+V535*$X$1</f>
        <v>77536.5</v>
      </c>
      <c r="X535" s="141"/>
      <c r="Y535" s="136"/>
      <c r="Z535" s="142"/>
      <c r="AA535" s="143"/>
      <c r="AB535" s="420">
        <v>605</v>
      </c>
    </row>
    <row r="536" spans="1:28" ht="12" customHeight="1" x14ac:dyDescent="0.2">
      <c r="A536" s="4"/>
      <c r="B536" s="730" t="s">
        <v>908</v>
      </c>
      <c r="C536" s="731"/>
      <c r="D536" s="731"/>
      <c r="E536" s="732"/>
      <c r="F536" s="395">
        <f>53.39*X2</f>
        <v>55365.43</v>
      </c>
      <c r="G536" s="293">
        <f t="shared" si="1270"/>
        <v>55365.43</v>
      </c>
      <c r="H536" s="104">
        <f t="shared" si="1359"/>
        <v>59365.43</v>
      </c>
      <c r="I536" s="314">
        <f t="shared" si="1360"/>
        <v>59365.43</v>
      </c>
      <c r="J536" s="104">
        <f t="shared" si="1361"/>
        <v>56175.43</v>
      </c>
      <c r="K536" s="314">
        <f t="shared" si="1362"/>
        <v>56175.43</v>
      </c>
      <c r="L536" s="104">
        <f t="shared" si="1363"/>
        <v>55865.43</v>
      </c>
      <c r="M536" s="314">
        <f t="shared" si="1364"/>
        <v>55865.43</v>
      </c>
      <c r="N536" s="104">
        <f t="shared" si="1365"/>
        <v>55795.43</v>
      </c>
      <c r="O536" s="314">
        <f t="shared" si="1366"/>
        <v>55795.43</v>
      </c>
      <c r="P536" s="104">
        <f t="shared" si="1367"/>
        <v>55755.43</v>
      </c>
      <c r="Q536" s="314">
        <f t="shared" si="1368"/>
        <v>55755.43</v>
      </c>
      <c r="R536" s="104">
        <f t="shared" si="1369"/>
        <v>55725.43</v>
      </c>
      <c r="S536" s="314">
        <f t="shared" si="1370"/>
        <v>55725.43</v>
      </c>
      <c r="T536" s="104">
        <f t="shared" si="1371"/>
        <v>55685.43</v>
      </c>
      <c r="U536" s="314">
        <f t="shared" si="1372"/>
        <v>55685.43</v>
      </c>
      <c r="V536" s="104">
        <f t="shared" si="1373"/>
        <v>55645.43</v>
      </c>
      <c r="W536" s="314">
        <f t="shared" si="1374"/>
        <v>55645.43</v>
      </c>
      <c r="X536" s="141"/>
      <c r="Y536" s="136"/>
      <c r="Z536" s="142"/>
      <c r="AA536" s="143"/>
      <c r="AB536" s="420">
        <v>608</v>
      </c>
    </row>
    <row r="537" spans="1:28" ht="12" customHeight="1" x14ac:dyDescent="0.2">
      <c r="A537" s="4"/>
      <c r="B537" s="736" t="s">
        <v>765</v>
      </c>
      <c r="C537" s="737"/>
      <c r="D537" s="737"/>
      <c r="E537" s="738"/>
      <c r="F537" s="394">
        <f>43.45*X2</f>
        <v>45057.65</v>
      </c>
      <c r="G537" s="294">
        <f t="shared" ref="G537:G539" si="1375">+F537*$X$1</f>
        <v>45057.65</v>
      </c>
      <c r="H537" s="103">
        <f t="shared" si="1359"/>
        <v>49057.65</v>
      </c>
      <c r="I537" s="328">
        <f t="shared" si="1360"/>
        <v>49057.65</v>
      </c>
      <c r="J537" s="103">
        <f t="shared" si="1361"/>
        <v>45867.65</v>
      </c>
      <c r="K537" s="328">
        <f t="shared" si="1362"/>
        <v>45867.65</v>
      </c>
      <c r="L537" s="103">
        <f t="shared" si="1363"/>
        <v>45557.65</v>
      </c>
      <c r="M537" s="328">
        <f t="shared" si="1364"/>
        <v>45557.65</v>
      </c>
      <c r="N537" s="103">
        <f t="shared" si="1365"/>
        <v>45487.65</v>
      </c>
      <c r="O537" s="328">
        <f t="shared" si="1366"/>
        <v>45487.65</v>
      </c>
      <c r="P537" s="103">
        <f t="shared" si="1367"/>
        <v>45447.65</v>
      </c>
      <c r="Q537" s="328">
        <f t="shared" si="1368"/>
        <v>45447.65</v>
      </c>
      <c r="R537" s="103">
        <f t="shared" si="1369"/>
        <v>45417.65</v>
      </c>
      <c r="S537" s="328">
        <f t="shared" si="1370"/>
        <v>45417.65</v>
      </c>
      <c r="T537" s="103">
        <f t="shared" si="1371"/>
        <v>45377.65</v>
      </c>
      <c r="U537" s="328">
        <f t="shared" si="1372"/>
        <v>45377.65</v>
      </c>
      <c r="V537" s="103">
        <f t="shared" si="1373"/>
        <v>45337.65</v>
      </c>
      <c r="W537" s="328">
        <f t="shared" si="1374"/>
        <v>45337.65</v>
      </c>
      <c r="X537" s="141"/>
      <c r="Y537" s="136"/>
      <c r="Z537" s="142"/>
      <c r="AA537" s="143"/>
      <c r="AB537" s="420">
        <v>609</v>
      </c>
    </row>
    <row r="538" spans="1:28" ht="12" customHeight="1" x14ac:dyDescent="0.2">
      <c r="A538" s="4"/>
      <c r="B538" s="733" t="s">
        <v>766</v>
      </c>
      <c r="C538" s="734"/>
      <c r="D538" s="734"/>
      <c r="E538" s="735"/>
      <c r="F538" s="395">
        <f>52.2*X2</f>
        <v>54131.4</v>
      </c>
      <c r="G538" s="293">
        <f t="shared" si="1375"/>
        <v>54131.4</v>
      </c>
      <c r="H538" s="104">
        <f t="shared" si="1359"/>
        <v>58131.4</v>
      </c>
      <c r="I538" s="314">
        <f t="shared" si="1360"/>
        <v>58131.4</v>
      </c>
      <c r="J538" s="104">
        <f t="shared" si="1361"/>
        <v>54941.4</v>
      </c>
      <c r="K538" s="314">
        <f t="shared" si="1362"/>
        <v>54941.4</v>
      </c>
      <c r="L538" s="104">
        <f t="shared" si="1363"/>
        <v>54631.4</v>
      </c>
      <c r="M538" s="314">
        <f t="shared" si="1364"/>
        <v>54631.4</v>
      </c>
      <c r="N538" s="104">
        <f t="shared" si="1365"/>
        <v>54561.4</v>
      </c>
      <c r="O538" s="314">
        <f t="shared" si="1366"/>
        <v>54561.4</v>
      </c>
      <c r="P538" s="104">
        <f t="shared" si="1367"/>
        <v>54521.4</v>
      </c>
      <c r="Q538" s="314">
        <f t="shared" si="1368"/>
        <v>54521.4</v>
      </c>
      <c r="R538" s="104">
        <f t="shared" si="1369"/>
        <v>54491.4</v>
      </c>
      <c r="S538" s="314">
        <f t="shared" si="1370"/>
        <v>54491.4</v>
      </c>
      <c r="T538" s="104">
        <f t="shared" si="1371"/>
        <v>54451.4</v>
      </c>
      <c r="U538" s="314">
        <f t="shared" si="1372"/>
        <v>54451.4</v>
      </c>
      <c r="V538" s="104">
        <f t="shared" si="1373"/>
        <v>54411.4</v>
      </c>
      <c r="W538" s="314">
        <f t="shared" si="1374"/>
        <v>54411.4</v>
      </c>
      <c r="X538" s="141"/>
      <c r="Y538" s="136"/>
      <c r="Z538" s="142"/>
      <c r="AA538" s="143"/>
      <c r="AB538" s="420">
        <v>611</v>
      </c>
    </row>
    <row r="539" spans="1:28" ht="12" customHeight="1" x14ac:dyDescent="0.2">
      <c r="A539" s="4"/>
      <c r="B539" s="730" t="s">
        <v>919</v>
      </c>
      <c r="C539" s="731"/>
      <c r="D539" s="731"/>
      <c r="E539" s="732"/>
      <c r="F539" s="394">
        <f>47.5*X2</f>
        <v>49257.5</v>
      </c>
      <c r="G539" s="294">
        <f t="shared" si="1375"/>
        <v>49257.5</v>
      </c>
      <c r="H539" s="103">
        <f t="shared" si="1359"/>
        <v>53257.5</v>
      </c>
      <c r="I539" s="328">
        <f t="shared" si="1360"/>
        <v>53257.5</v>
      </c>
      <c r="J539" s="103">
        <f t="shared" si="1361"/>
        <v>50067.5</v>
      </c>
      <c r="K539" s="328">
        <f t="shared" si="1362"/>
        <v>50067.5</v>
      </c>
      <c r="L539" s="103">
        <f t="shared" si="1363"/>
        <v>49757.5</v>
      </c>
      <c r="M539" s="328">
        <f t="shared" si="1364"/>
        <v>49757.5</v>
      </c>
      <c r="N539" s="103">
        <f t="shared" si="1365"/>
        <v>49687.5</v>
      </c>
      <c r="O539" s="328">
        <f t="shared" si="1366"/>
        <v>49687.5</v>
      </c>
      <c r="P539" s="103">
        <f t="shared" si="1367"/>
        <v>49647.5</v>
      </c>
      <c r="Q539" s="328">
        <f t="shared" si="1368"/>
        <v>49647.5</v>
      </c>
      <c r="R539" s="103">
        <f t="shared" si="1369"/>
        <v>49617.5</v>
      </c>
      <c r="S539" s="328">
        <f t="shared" si="1370"/>
        <v>49617.5</v>
      </c>
      <c r="T539" s="103">
        <f t="shared" si="1371"/>
        <v>49577.5</v>
      </c>
      <c r="U539" s="328">
        <f t="shared" si="1372"/>
        <v>49577.5</v>
      </c>
      <c r="V539" s="103">
        <f t="shared" si="1373"/>
        <v>49537.5</v>
      </c>
      <c r="W539" s="328">
        <f t="shared" si="1374"/>
        <v>49537.5</v>
      </c>
      <c r="X539" s="141"/>
      <c r="Y539" s="136"/>
      <c r="Z539" s="142"/>
      <c r="AA539" s="143"/>
      <c r="AB539" s="420">
        <v>613</v>
      </c>
    </row>
    <row r="540" spans="1:28" ht="12" customHeight="1" x14ac:dyDescent="0.2">
      <c r="A540" s="4"/>
      <c r="B540" s="733" t="s">
        <v>642</v>
      </c>
      <c r="C540" s="734"/>
      <c r="D540" s="734"/>
      <c r="E540" s="735"/>
      <c r="F540" s="395">
        <f>5.96*X2</f>
        <v>6180.5199999999995</v>
      </c>
      <c r="G540" s="293">
        <f t="shared" ref="G540" si="1376">+F540*$X$1</f>
        <v>6180.5199999999995</v>
      </c>
      <c r="H540" s="104">
        <f t="shared" si="1359"/>
        <v>10180.52</v>
      </c>
      <c r="I540" s="314">
        <f t="shared" si="1360"/>
        <v>10180.52</v>
      </c>
      <c r="J540" s="104">
        <f t="shared" si="1361"/>
        <v>6990.5199999999995</v>
      </c>
      <c r="K540" s="314">
        <f t="shared" si="1362"/>
        <v>6990.5199999999995</v>
      </c>
      <c r="L540" s="104">
        <f t="shared" si="1363"/>
        <v>6680.5199999999995</v>
      </c>
      <c r="M540" s="314">
        <f t="shared" si="1364"/>
        <v>6680.5199999999995</v>
      </c>
      <c r="N540" s="104">
        <f t="shared" si="1365"/>
        <v>6610.5199999999995</v>
      </c>
      <c r="O540" s="314">
        <f t="shared" si="1366"/>
        <v>6610.5199999999995</v>
      </c>
      <c r="P540" s="104">
        <f t="shared" si="1367"/>
        <v>6570.5199999999995</v>
      </c>
      <c r="Q540" s="314">
        <f t="shared" si="1368"/>
        <v>6570.5199999999995</v>
      </c>
      <c r="R540" s="104">
        <f t="shared" si="1369"/>
        <v>6540.5199999999995</v>
      </c>
      <c r="S540" s="314">
        <f t="shared" si="1370"/>
        <v>6540.5199999999995</v>
      </c>
      <c r="T540" s="104">
        <f t="shared" si="1371"/>
        <v>6500.5199999999995</v>
      </c>
      <c r="U540" s="314">
        <f t="shared" si="1372"/>
        <v>6500.5199999999995</v>
      </c>
      <c r="V540" s="104">
        <f t="shared" si="1373"/>
        <v>6460.5199999999995</v>
      </c>
      <c r="W540" s="314">
        <f t="shared" si="1374"/>
        <v>6460.5199999999995</v>
      </c>
      <c r="X540" s="141"/>
      <c r="Y540" s="136"/>
      <c r="Z540" s="142"/>
      <c r="AA540" s="143"/>
      <c r="AB540" s="197">
        <v>642</v>
      </c>
    </row>
    <row r="541" spans="1:28" ht="12" customHeight="1" x14ac:dyDescent="0.2">
      <c r="A541" s="4"/>
      <c r="B541" s="736" t="s">
        <v>643</v>
      </c>
      <c r="C541" s="737"/>
      <c r="D541" s="737"/>
      <c r="E541" s="738"/>
      <c r="F541" s="394">
        <f>26.6*X2</f>
        <v>27584.2</v>
      </c>
      <c r="G541" s="294">
        <f t="shared" ref="G541" si="1377">+F541*$X$1</f>
        <v>27584.2</v>
      </c>
      <c r="H541" s="103">
        <f t="shared" si="1359"/>
        <v>31584.2</v>
      </c>
      <c r="I541" s="328">
        <f t="shared" si="1360"/>
        <v>31584.2</v>
      </c>
      <c r="J541" s="103">
        <f t="shared" si="1361"/>
        <v>28394.2</v>
      </c>
      <c r="K541" s="328">
        <f t="shared" si="1362"/>
        <v>28394.2</v>
      </c>
      <c r="L541" s="103">
        <f t="shared" si="1363"/>
        <v>28084.2</v>
      </c>
      <c r="M541" s="328">
        <f t="shared" si="1364"/>
        <v>28084.2</v>
      </c>
      <c r="N541" s="103">
        <f t="shared" si="1365"/>
        <v>28014.2</v>
      </c>
      <c r="O541" s="328">
        <f t="shared" si="1366"/>
        <v>28014.2</v>
      </c>
      <c r="P541" s="103">
        <f t="shared" si="1367"/>
        <v>27974.2</v>
      </c>
      <c r="Q541" s="328">
        <f t="shared" si="1368"/>
        <v>27974.2</v>
      </c>
      <c r="R541" s="103">
        <f t="shared" si="1369"/>
        <v>27944.2</v>
      </c>
      <c r="S541" s="328">
        <f t="shared" si="1370"/>
        <v>27944.2</v>
      </c>
      <c r="T541" s="103">
        <f t="shared" si="1371"/>
        <v>27904.2</v>
      </c>
      <c r="U541" s="328">
        <f t="shared" si="1372"/>
        <v>27904.2</v>
      </c>
      <c r="V541" s="103">
        <f t="shared" si="1373"/>
        <v>27864.2</v>
      </c>
      <c r="W541" s="328">
        <f t="shared" si="1374"/>
        <v>27864.2</v>
      </c>
      <c r="X541" s="141"/>
      <c r="Y541" s="136"/>
      <c r="Z541" s="142"/>
      <c r="AA541" s="143"/>
      <c r="AB541" s="197">
        <v>643</v>
      </c>
    </row>
    <row r="542" spans="1:28" ht="12" customHeight="1" x14ac:dyDescent="0.2">
      <c r="A542" s="4"/>
      <c r="B542" s="733" t="s">
        <v>767</v>
      </c>
      <c r="C542" s="734"/>
      <c r="D542" s="734"/>
      <c r="E542" s="735"/>
      <c r="F542" s="392">
        <f>42.331*X2</f>
        <v>43897.247000000003</v>
      </c>
      <c r="G542" s="293">
        <f t="shared" si="1270"/>
        <v>43897.247000000003</v>
      </c>
      <c r="H542" s="104">
        <f t="shared" si="1359"/>
        <v>47897.247000000003</v>
      </c>
      <c r="I542" s="314">
        <f t="shared" si="1360"/>
        <v>47897.247000000003</v>
      </c>
      <c r="J542" s="104">
        <f t="shared" si="1361"/>
        <v>44707.247000000003</v>
      </c>
      <c r="K542" s="314">
        <f t="shared" si="1362"/>
        <v>44707.247000000003</v>
      </c>
      <c r="L542" s="104">
        <f t="shared" si="1363"/>
        <v>44397.247000000003</v>
      </c>
      <c r="M542" s="314">
        <f t="shared" si="1364"/>
        <v>44397.247000000003</v>
      </c>
      <c r="N542" s="104">
        <f t="shared" si="1365"/>
        <v>44327.247000000003</v>
      </c>
      <c r="O542" s="314">
        <f t="shared" si="1366"/>
        <v>44327.247000000003</v>
      </c>
      <c r="P542" s="104">
        <f t="shared" si="1367"/>
        <v>44287.247000000003</v>
      </c>
      <c r="Q542" s="314">
        <f t="shared" si="1368"/>
        <v>44287.247000000003</v>
      </c>
      <c r="R542" s="104">
        <f t="shared" si="1369"/>
        <v>44257.247000000003</v>
      </c>
      <c r="S542" s="314">
        <f t="shared" si="1370"/>
        <v>44257.247000000003</v>
      </c>
      <c r="T542" s="104">
        <f t="shared" si="1371"/>
        <v>44217.247000000003</v>
      </c>
      <c r="U542" s="314">
        <f t="shared" si="1372"/>
        <v>44217.247000000003</v>
      </c>
      <c r="V542" s="104">
        <f t="shared" si="1373"/>
        <v>44177.247000000003</v>
      </c>
      <c r="W542" s="314">
        <f t="shared" si="1374"/>
        <v>44177.247000000003</v>
      </c>
      <c r="X542" s="141"/>
      <c r="Y542" s="136"/>
      <c r="Z542" s="142"/>
      <c r="AA542" s="143"/>
      <c r="AB542" s="420">
        <v>657</v>
      </c>
    </row>
    <row r="543" spans="1:28" ht="12" customHeight="1" x14ac:dyDescent="0.2">
      <c r="A543" s="4"/>
      <c r="B543" s="736" t="s">
        <v>768</v>
      </c>
      <c r="C543" s="737"/>
      <c r="D543" s="737"/>
      <c r="E543" s="738"/>
      <c r="F543" s="393">
        <f>36.05*X2</f>
        <v>37383.85</v>
      </c>
      <c r="G543" s="294">
        <f t="shared" ref="G543:G545" si="1378">+F543*$X$1</f>
        <v>37383.85</v>
      </c>
      <c r="H543" s="103">
        <f t="shared" si="1359"/>
        <v>41383.85</v>
      </c>
      <c r="I543" s="328">
        <f t="shared" si="1360"/>
        <v>41383.85</v>
      </c>
      <c r="J543" s="103">
        <f t="shared" si="1361"/>
        <v>38193.85</v>
      </c>
      <c r="K543" s="328">
        <f t="shared" si="1362"/>
        <v>38193.85</v>
      </c>
      <c r="L543" s="103">
        <f t="shared" si="1363"/>
        <v>37883.85</v>
      </c>
      <c r="M543" s="328">
        <f t="shared" si="1364"/>
        <v>37883.85</v>
      </c>
      <c r="N543" s="103">
        <f t="shared" si="1365"/>
        <v>37813.85</v>
      </c>
      <c r="O543" s="328">
        <f t="shared" si="1366"/>
        <v>37813.85</v>
      </c>
      <c r="P543" s="103">
        <f t="shared" si="1367"/>
        <v>37773.85</v>
      </c>
      <c r="Q543" s="328">
        <f t="shared" si="1368"/>
        <v>37773.85</v>
      </c>
      <c r="R543" s="103">
        <f t="shared" si="1369"/>
        <v>37743.85</v>
      </c>
      <c r="S543" s="328">
        <f t="shared" si="1370"/>
        <v>37743.85</v>
      </c>
      <c r="T543" s="103">
        <f t="shared" si="1371"/>
        <v>37703.85</v>
      </c>
      <c r="U543" s="328">
        <f t="shared" si="1372"/>
        <v>37703.85</v>
      </c>
      <c r="V543" s="103">
        <f t="shared" si="1373"/>
        <v>37663.85</v>
      </c>
      <c r="W543" s="328">
        <f t="shared" si="1374"/>
        <v>37663.85</v>
      </c>
      <c r="X543" s="141"/>
      <c r="Y543" s="136"/>
      <c r="Z543" s="142"/>
      <c r="AA543" s="143"/>
      <c r="AB543" s="420">
        <v>658</v>
      </c>
    </row>
    <row r="544" spans="1:28" ht="12" customHeight="1" x14ac:dyDescent="0.2">
      <c r="A544" s="4"/>
      <c r="B544" s="733" t="s">
        <v>769</v>
      </c>
      <c r="C544" s="734"/>
      <c r="D544" s="734"/>
      <c r="E544" s="735"/>
      <c r="F544" s="392">
        <f>28.5*X2</f>
        <v>29554.5</v>
      </c>
      <c r="G544" s="293">
        <f t="shared" si="1378"/>
        <v>29554.5</v>
      </c>
      <c r="H544" s="104">
        <f t="shared" si="1359"/>
        <v>33554.5</v>
      </c>
      <c r="I544" s="314">
        <f t="shared" si="1360"/>
        <v>33554.5</v>
      </c>
      <c r="J544" s="104">
        <f t="shared" si="1361"/>
        <v>30364.5</v>
      </c>
      <c r="K544" s="314">
        <f t="shared" si="1362"/>
        <v>30364.5</v>
      </c>
      <c r="L544" s="104">
        <f t="shared" si="1363"/>
        <v>30054.5</v>
      </c>
      <c r="M544" s="314">
        <f t="shared" si="1364"/>
        <v>30054.5</v>
      </c>
      <c r="N544" s="104">
        <f t="shared" si="1365"/>
        <v>29984.5</v>
      </c>
      <c r="O544" s="314">
        <f t="shared" si="1366"/>
        <v>29984.5</v>
      </c>
      <c r="P544" s="104">
        <f t="shared" si="1367"/>
        <v>29944.5</v>
      </c>
      <c r="Q544" s="314">
        <f t="shared" si="1368"/>
        <v>29944.5</v>
      </c>
      <c r="R544" s="104">
        <f t="shared" si="1369"/>
        <v>29914.5</v>
      </c>
      <c r="S544" s="314">
        <f t="shared" si="1370"/>
        <v>29914.5</v>
      </c>
      <c r="T544" s="104">
        <f t="shared" si="1371"/>
        <v>29874.5</v>
      </c>
      <c r="U544" s="314">
        <f t="shared" si="1372"/>
        <v>29874.5</v>
      </c>
      <c r="V544" s="104">
        <f t="shared" si="1373"/>
        <v>29834.5</v>
      </c>
      <c r="W544" s="314">
        <f t="shared" si="1374"/>
        <v>29834.5</v>
      </c>
      <c r="X544" s="141"/>
      <c r="Y544" s="136"/>
      <c r="Z544" s="142"/>
      <c r="AA544" s="143"/>
      <c r="AB544" s="420">
        <v>659</v>
      </c>
    </row>
    <row r="545" spans="1:28" ht="12" customHeight="1" x14ac:dyDescent="0.2">
      <c r="A545" s="4"/>
      <c r="B545" s="736" t="s">
        <v>770</v>
      </c>
      <c r="C545" s="737"/>
      <c r="D545" s="737"/>
      <c r="E545" s="738"/>
      <c r="F545" s="393">
        <f>13.1*X2</f>
        <v>13584.699999999999</v>
      </c>
      <c r="G545" s="294">
        <f t="shared" si="1378"/>
        <v>13584.699999999999</v>
      </c>
      <c r="H545" s="103">
        <f t="shared" si="1359"/>
        <v>17584.699999999997</v>
      </c>
      <c r="I545" s="328">
        <f t="shared" si="1360"/>
        <v>17584.699999999997</v>
      </c>
      <c r="J545" s="103">
        <f t="shared" si="1361"/>
        <v>14394.699999999999</v>
      </c>
      <c r="K545" s="328">
        <f t="shared" si="1362"/>
        <v>14394.699999999999</v>
      </c>
      <c r="L545" s="103">
        <f t="shared" si="1363"/>
        <v>14084.699999999999</v>
      </c>
      <c r="M545" s="328">
        <f t="shared" si="1364"/>
        <v>14084.699999999999</v>
      </c>
      <c r="N545" s="103">
        <f t="shared" si="1365"/>
        <v>14014.699999999999</v>
      </c>
      <c r="O545" s="328">
        <f t="shared" si="1366"/>
        <v>14014.699999999999</v>
      </c>
      <c r="P545" s="103">
        <f t="shared" si="1367"/>
        <v>13974.699999999999</v>
      </c>
      <c r="Q545" s="328">
        <f t="shared" si="1368"/>
        <v>13974.699999999999</v>
      </c>
      <c r="R545" s="103">
        <f t="shared" si="1369"/>
        <v>13944.699999999999</v>
      </c>
      <c r="S545" s="328">
        <f t="shared" si="1370"/>
        <v>13944.699999999999</v>
      </c>
      <c r="T545" s="103">
        <f t="shared" si="1371"/>
        <v>13904.699999999999</v>
      </c>
      <c r="U545" s="328">
        <f t="shared" si="1372"/>
        <v>13904.699999999999</v>
      </c>
      <c r="V545" s="103">
        <f t="shared" si="1373"/>
        <v>13864.699999999999</v>
      </c>
      <c r="W545" s="328">
        <f t="shared" si="1374"/>
        <v>13864.699999999999</v>
      </c>
      <c r="X545" s="141"/>
      <c r="Y545" s="136"/>
      <c r="Z545" s="142"/>
      <c r="AA545" s="143"/>
      <c r="AB545" s="420">
        <v>660</v>
      </c>
    </row>
    <row r="546" spans="1:28" ht="12" customHeight="1" x14ac:dyDescent="0.2">
      <c r="A546" s="4"/>
      <c r="B546" s="733" t="s">
        <v>622</v>
      </c>
      <c r="C546" s="734"/>
      <c r="D546" s="734"/>
      <c r="E546" s="735"/>
      <c r="F546" s="340">
        <v>32663</v>
      </c>
      <c r="G546" s="293">
        <f t="shared" ref="G546:G553" si="1379">+F546*$X$1</f>
        <v>32663</v>
      </c>
      <c r="H546" s="104"/>
      <c r="I546" s="314"/>
      <c r="J546" s="104">
        <f t="shared" ref="J546:J547" si="1380">F546+810</f>
        <v>33473</v>
      </c>
      <c r="K546" s="314">
        <f t="shared" si="1345"/>
        <v>33473</v>
      </c>
      <c r="L546" s="104">
        <f t="shared" ref="L546:L547" si="1381">F546+500</f>
        <v>33163</v>
      </c>
      <c r="M546" s="314">
        <f t="shared" si="1347"/>
        <v>33163</v>
      </c>
      <c r="N546" s="104">
        <f t="shared" ref="N546:N547" si="1382">F546+430</f>
        <v>33093</v>
      </c>
      <c r="O546" s="314">
        <f t="shared" si="1349"/>
        <v>33093</v>
      </c>
      <c r="P546" s="104">
        <f t="shared" ref="P546:P547" si="1383">F546+390</f>
        <v>33053</v>
      </c>
      <c r="Q546" s="314">
        <f t="shared" si="1351"/>
        <v>33053</v>
      </c>
      <c r="R546" s="104">
        <f t="shared" ref="R546:R547" si="1384">F546+360</f>
        <v>33023</v>
      </c>
      <c r="S546" s="314">
        <f t="shared" si="1353"/>
        <v>33023</v>
      </c>
      <c r="T546" s="104">
        <f t="shared" ref="T546:T547" si="1385">F546+320</f>
        <v>32983</v>
      </c>
      <c r="U546" s="314">
        <f t="shared" si="1355"/>
        <v>32983</v>
      </c>
      <c r="V546" s="104">
        <f t="shared" ref="V546:V547" si="1386">F546+280</f>
        <v>32943</v>
      </c>
      <c r="W546" s="314">
        <f t="shared" si="1357"/>
        <v>32943</v>
      </c>
      <c r="X546" s="141"/>
      <c r="Y546" s="136"/>
      <c r="Z546" s="142"/>
      <c r="AA546" s="143"/>
      <c r="AB546" s="420">
        <v>664</v>
      </c>
    </row>
    <row r="547" spans="1:28" ht="12" customHeight="1" x14ac:dyDescent="0.2">
      <c r="A547" s="4"/>
      <c r="B547" s="736" t="s">
        <v>792</v>
      </c>
      <c r="C547" s="737"/>
      <c r="D547" s="737"/>
      <c r="E547" s="738"/>
      <c r="F547" s="393">
        <f>18.4*X2</f>
        <v>19080.8</v>
      </c>
      <c r="G547" s="294">
        <f t="shared" si="1379"/>
        <v>19080.8</v>
      </c>
      <c r="H547" s="103">
        <f t="shared" ref="H547" si="1387">F547+4000</f>
        <v>23080.799999999999</v>
      </c>
      <c r="I547" s="328">
        <f t="shared" ref="I547" si="1388">+H547*$X$1</f>
        <v>23080.799999999999</v>
      </c>
      <c r="J547" s="103">
        <f t="shared" si="1380"/>
        <v>19890.8</v>
      </c>
      <c r="K547" s="328">
        <f t="shared" si="1345"/>
        <v>19890.8</v>
      </c>
      <c r="L547" s="103">
        <f t="shared" si="1381"/>
        <v>19580.8</v>
      </c>
      <c r="M547" s="328">
        <f t="shared" si="1347"/>
        <v>19580.8</v>
      </c>
      <c r="N547" s="103">
        <f t="shared" si="1382"/>
        <v>19510.8</v>
      </c>
      <c r="O547" s="328">
        <f t="shared" si="1349"/>
        <v>19510.8</v>
      </c>
      <c r="P547" s="103">
        <f t="shared" si="1383"/>
        <v>19470.8</v>
      </c>
      <c r="Q547" s="328">
        <f t="shared" si="1351"/>
        <v>19470.8</v>
      </c>
      <c r="R547" s="103">
        <f t="shared" si="1384"/>
        <v>19440.8</v>
      </c>
      <c r="S547" s="328">
        <f t="shared" si="1353"/>
        <v>19440.8</v>
      </c>
      <c r="T547" s="103">
        <f t="shared" si="1385"/>
        <v>19400.8</v>
      </c>
      <c r="U547" s="328">
        <f t="shared" si="1355"/>
        <v>19400.8</v>
      </c>
      <c r="V547" s="103">
        <f t="shared" si="1386"/>
        <v>19360.8</v>
      </c>
      <c r="W547" s="328">
        <f t="shared" si="1357"/>
        <v>19360.8</v>
      </c>
      <c r="X547" s="141"/>
      <c r="Y547" s="136"/>
      <c r="Z547" s="142"/>
      <c r="AA547" s="143"/>
      <c r="AB547" s="420">
        <v>667</v>
      </c>
    </row>
    <row r="548" spans="1:28" ht="12" customHeight="1" x14ac:dyDescent="0.2">
      <c r="A548" s="4"/>
      <c r="B548" s="733" t="s">
        <v>791</v>
      </c>
      <c r="C548" s="734"/>
      <c r="D548" s="734"/>
      <c r="E548" s="735"/>
      <c r="F548" s="392">
        <f>15*X2</f>
        <v>15555</v>
      </c>
      <c r="G548" s="293">
        <f t="shared" ref="G548:G550" si="1389">+F548*$X$1</f>
        <v>15555</v>
      </c>
      <c r="H548" s="104">
        <f t="shared" ref="H548:H557" si="1390">F548+4000</f>
        <v>19555</v>
      </c>
      <c r="I548" s="314">
        <f t="shared" ref="I548:I557" si="1391">+H548*$X$1</f>
        <v>19555</v>
      </c>
      <c r="J548" s="104">
        <f t="shared" ref="J548:J557" si="1392">F548+810</f>
        <v>16365</v>
      </c>
      <c r="K548" s="314">
        <f t="shared" ref="K548:K557" si="1393">+J548*$X$1</f>
        <v>16365</v>
      </c>
      <c r="L548" s="104">
        <f t="shared" ref="L548:L557" si="1394">F548+500</f>
        <v>16055</v>
      </c>
      <c r="M548" s="314">
        <f t="shared" ref="M548:M557" si="1395">+L548*$X$1</f>
        <v>16055</v>
      </c>
      <c r="N548" s="104">
        <f t="shared" ref="N548:N557" si="1396">F548+430</f>
        <v>15985</v>
      </c>
      <c r="O548" s="314">
        <f t="shared" ref="O548:O557" si="1397">+N548*$X$1</f>
        <v>15985</v>
      </c>
      <c r="P548" s="104">
        <f t="shared" ref="P548:P557" si="1398">F548+390</f>
        <v>15945</v>
      </c>
      <c r="Q548" s="314">
        <f t="shared" ref="Q548:Q557" si="1399">+P548*$X$1</f>
        <v>15945</v>
      </c>
      <c r="R548" s="104">
        <f t="shared" ref="R548:R557" si="1400">F548+360</f>
        <v>15915</v>
      </c>
      <c r="S548" s="314">
        <f t="shared" ref="S548:S557" si="1401">+R548*$X$1</f>
        <v>15915</v>
      </c>
      <c r="T548" s="104">
        <f t="shared" ref="T548:T557" si="1402">F548+320</f>
        <v>15875</v>
      </c>
      <c r="U548" s="314">
        <f t="shared" ref="U548:U557" si="1403">+T548*$X$1</f>
        <v>15875</v>
      </c>
      <c r="V548" s="104">
        <f t="shared" ref="V548:V557" si="1404">F548+280</f>
        <v>15835</v>
      </c>
      <c r="W548" s="314">
        <f t="shared" ref="W548:W557" si="1405">+V548*$X$1</f>
        <v>15835</v>
      </c>
      <c r="X548" s="141"/>
      <c r="Y548" s="136"/>
      <c r="Z548" s="142"/>
      <c r="AA548" s="143"/>
      <c r="AB548" s="420">
        <v>668</v>
      </c>
    </row>
    <row r="549" spans="1:28" ht="12" customHeight="1" x14ac:dyDescent="0.2">
      <c r="A549" s="4"/>
      <c r="B549" s="736" t="s">
        <v>873</v>
      </c>
      <c r="C549" s="737"/>
      <c r="D549" s="737"/>
      <c r="E549" s="738"/>
      <c r="F549" s="393">
        <f>15.28*X2</f>
        <v>15845.359999999999</v>
      </c>
      <c r="G549" s="294">
        <f t="shared" si="1389"/>
        <v>15845.359999999999</v>
      </c>
      <c r="H549" s="103">
        <f t="shared" si="1390"/>
        <v>19845.36</v>
      </c>
      <c r="I549" s="328">
        <f t="shared" si="1391"/>
        <v>19845.36</v>
      </c>
      <c r="J549" s="103">
        <f t="shared" si="1392"/>
        <v>16655.36</v>
      </c>
      <c r="K549" s="328">
        <f t="shared" si="1393"/>
        <v>16655.36</v>
      </c>
      <c r="L549" s="103">
        <f t="shared" si="1394"/>
        <v>16345.359999999999</v>
      </c>
      <c r="M549" s="328">
        <f t="shared" si="1395"/>
        <v>16345.359999999999</v>
      </c>
      <c r="N549" s="103">
        <f t="shared" si="1396"/>
        <v>16275.359999999999</v>
      </c>
      <c r="O549" s="328">
        <f t="shared" si="1397"/>
        <v>16275.359999999999</v>
      </c>
      <c r="P549" s="103">
        <f t="shared" si="1398"/>
        <v>16235.359999999999</v>
      </c>
      <c r="Q549" s="328">
        <f t="shared" si="1399"/>
        <v>16235.359999999999</v>
      </c>
      <c r="R549" s="103">
        <f t="shared" si="1400"/>
        <v>16205.359999999999</v>
      </c>
      <c r="S549" s="328">
        <f t="shared" si="1401"/>
        <v>16205.359999999999</v>
      </c>
      <c r="T549" s="103">
        <f t="shared" si="1402"/>
        <v>16165.359999999999</v>
      </c>
      <c r="U549" s="328">
        <f t="shared" si="1403"/>
        <v>16165.359999999999</v>
      </c>
      <c r="V549" s="103">
        <f t="shared" si="1404"/>
        <v>16125.359999999999</v>
      </c>
      <c r="W549" s="328">
        <f t="shared" si="1405"/>
        <v>16125.359999999999</v>
      </c>
      <c r="X549" s="141"/>
      <c r="Y549" s="136"/>
      <c r="Z549" s="142"/>
      <c r="AA549" s="143"/>
      <c r="AB549" s="197">
        <v>675</v>
      </c>
    </row>
    <row r="550" spans="1:28" ht="12" customHeight="1" x14ac:dyDescent="0.2">
      <c r="A550" s="4"/>
      <c r="B550" s="730" t="s">
        <v>918</v>
      </c>
      <c r="C550" s="731"/>
      <c r="D550" s="731"/>
      <c r="E550" s="732"/>
      <c r="F550" s="392">
        <f>12.72*X2</f>
        <v>13190.640000000001</v>
      </c>
      <c r="G550" s="293">
        <f t="shared" si="1389"/>
        <v>13190.640000000001</v>
      </c>
      <c r="H550" s="104">
        <f t="shared" si="1390"/>
        <v>17190.64</v>
      </c>
      <c r="I550" s="314">
        <f t="shared" si="1391"/>
        <v>17190.64</v>
      </c>
      <c r="J550" s="104">
        <f t="shared" si="1392"/>
        <v>14000.640000000001</v>
      </c>
      <c r="K550" s="314">
        <f t="shared" si="1393"/>
        <v>14000.640000000001</v>
      </c>
      <c r="L550" s="104">
        <f t="shared" si="1394"/>
        <v>13690.640000000001</v>
      </c>
      <c r="M550" s="314">
        <f t="shared" si="1395"/>
        <v>13690.640000000001</v>
      </c>
      <c r="N550" s="104">
        <f t="shared" si="1396"/>
        <v>13620.640000000001</v>
      </c>
      <c r="O550" s="314">
        <f t="shared" si="1397"/>
        <v>13620.640000000001</v>
      </c>
      <c r="P550" s="104">
        <f t="shared" si="1398"/>
        <v>13580.640000000001</v>
      </c>
      <c r="Q550" s="314">
        <f t="shared" si="1399"/>
        <v>13580.640000000001</v>
      </c>
      <c r="R550" s="104">
        <f t="shared" si="1400"/>
        <v>13550.640000000001</v>
      </c>
      <c r="S550" s="314">
        <f t="shared" si="1401"/>
        <v>13550.640000000001</v>
      </c>
      <c r="T550" s="104">
        <f t="shared" si="1402"/>
        <v>13510.640000000001</v>
      </c>
      <c r="U550" s="314">
        <f t="shared" si="1403"/>
        <v>13510.640000000001</v>
      </c>
      <c r="V550" s="104">
        <f t="shared" si="1404"/>
        <v>13470.640000000001</v>
      </c>
      <c r="W550" s="314">
        <f t="shared" si="1405"/>
        <v>13470.640000000001</v>
      </c>
      <c r="X550" s="141"/>
      <c r="Y550" s="136"/>
      <c r="Z550" s="142"/>
      <c r="AA550" s="143"/>
      <c r="AB550" s="197">
        <v>682</v>
      </c>
    </row>
    <row r="551" spans="1:28" ht="12" customHeight="1" x14ac:dyDescent="0.2">
      <c r="A551" s="4"/>
      <c r="B551" s="736" t="s">
        <v>540</v>
      </c>
      <c r="C551" s="737"/>
      <c r="D551" s="737"/>
      <c r="E551" s="738"/>
      <c r="F551" s="393">
        <f>10.4*X2</f>
        <v>10784.800000000001</v>
      </c>
      <c r="G551" s="294">
        <f t="shared" si="1379"/>
        <v>10784.800000000001</v>
      </c>
      <c r="H551" s="103">
        <f t="shared" si="1390"/>
        <v>14784.800000000001</v>
      </c>
      <c r="I551" s="328">
        <f t="shared" si="1391"/>
        <v>14784.800000000001</v>
      </c>
      <c r="J551" s="103">
        <f t="shared" si="1392"/>
        <v>11594.800000000001</v>
      </c>
      <c r="K551" s="328">
        <f t="shared" si="1393"/>
        <v>11594.800000000001</v>
      </c>
      <c r="L551" s="103">
        <f t="shared" si="1394"/>
        <v>11284.800000000001</v>
      </c>
      <c r="M551" s="328">
        <f t="shared" si="1395"/>
        <v>11284.800000000001</v>
      </c>
      <c r="N551" s="103">
        <f t="shared" si="1396"/>
        <v>11214.800000000001</v>
      </c>
      <c r="O551" s="328">
        <f t="shared" si="1397"/>
        <v>11214.800000000001</v>
      </c>
      <c r="P551" s="103">
        <f t="shared" si="1398"/>
        <v>11174.800000000001</v>
      </c>
      <c r="Q551" s="328">
        <f t="shared" si="1399"/>
        <v>11174.800000000001</v>
      </c>
      <c r="R551" s="103">
        <f t="shared" si="1400"/>
        <v>11144.800000000001</v>
      </c>
      <c r="S551" s="328">
        <f t="shared" si="1401"/>
        <v>11144.800000000001</v>
      </c>
      <c r="T551" s="103">
        <f t="shared" si="1402"/>
        <v>11104.800000000001</v>
      </c>
      <c r="U551" s="328">
        <f t="shared" si="1403"/>
        <v>11104.800000000001</v>
      </c>
      <c r="V551" s="103">
        <f t="shared" si="1404"/>
        <v>11064.800000000001</v>
      </c>
      <c r="W551" s="328">
        <f t="shared" si="1405"/>
        <v>11064.800000000001</v>
      </c>
      <c r="X551" s="141"/>
      <c r="Y551" s="136"/>
      <c r="Z551" s="142"/>
      <c r="AA551" s="143"/>
      <c r="AB551" s="197">
        <v>686</v>
      </c>
    </row>
    <row r="552" spans="1:28" ht="12" customHeight="1" x14ac:dyDescent="0.2">
      <c r="A552" s="4"/>
      <c r="B552" s="733" t="s">
        <v>580</v>
      </c>
      <c r="C552" s="734"/>
      <c r="D552" s="734"/>
      <c r="E552" s="735"/>
      <c r="F552" s="395">
        <f>32*X2</f>
        <v>33184</v>
      </c>
      <c r="G552" s="293">
        <f t="shared" si="1379"/>
        <v>33184</v>
      </c>
      <c r="H552" s="104">
        <f t="shared" si="1390"/>
        <v>37184</v>
      </c>
      <c r="I552" s="314">
        <f t="shared" si="1391"/>
        <v>37184</v>
      </c>
      <c r="J552" s="104">
        <f t="shared" si="1392"/>
        <v>33994</v>
      </c>
      <c r="K552" s="314">
        <f t="shared" si="1393"/>
        <v>33994</v>
      </c>
      <c r="L552" s="104">
        <f t="shared" si="1394"/>
        <v>33684</v>
      </c>
      <c r="M552" s="314">
        <f t="shared" si="1395"/>
        <v>33684</v>
      </c>
      <c r="N552" s="104">
        <f t="shared" si="1396"/>
        <v>33614</v>
      </c>
      <c r="O552" s="314">
        <f t="shared" si="1397"/>
        <v>33614</v>
      </c>
      <c r="P552" s="104">
        <f t="shared" si="1398"/>
        <v>33574</v>
      </c>
      <c r="Q552" s="314">
        <f t="shared" si="1399"/>
        <v>33574</v>
      </c>
      <c r="R552" s="104">
        <f t="shared" si="1400"/>
        <v>33544</v>
      </c>
      <c r="S552" s="314">
        <f t="shared" si="1401"/>
        <v>33544</v>
      </c>
      <c r="T552" s="104">
        <f t="shared" si="1402"/>
        <v>33504</v>
      </c>
      <c r="U552" s="314">
        <f t="shared" si="1403"/>
        <v>33504</v>
      </c>
      <c r="V552" s="104">
        <f t="shared" si="1404"/>
        <v>33464</v>
      </c>
      <c r="W552" s="314">
        <f t="shared" si="1405"/>
        <v>33464</v>
      </c>
      <c r="X552" s="141"/>
      <c r="Y552" s="136"/>
      <c r="Z552" s="142"/>
      <c r="AA552" s="143"/>
      <c r="AB552" s="420">
        <v>687</v>
      </c>
    </row>
    <row r="553" spans="1:28" ht="12" customHeight="1" x14ac:dyDescent="0.2">
      <c r="A553" s="4"/>
      <c r="B553" s="736" t="s">
        <v>771</v>
      </c>
      <c r="C553" s="737"/>
      <c r="D553" s="737"/>
      <c r="E553" s="738"/>
      <c r="F553" s="394">
        <f>17.8*X2</f>
        <v>18458.600000000002</v>
      </c>
      <c r="G553" s="294">
        <f t="shared" si="1379"/>
        <v>18458.600000000002</v>
      </c>
      <c r="H553" s="103">
        <f t="shared" si="1390"/>
        <v>22458.600000000002</v>
      </c>
      <c r="I553" s="328">
        <f t="shared" si="1391"/>
        <v>22458.600000000002</v>
      </c>
      <c r="J553" s="103">
        <f t="shared" si="1392"/>
        <v>19268.600000000002</v>
      </c>
      <c r="K553" s="328">
        <f t="shared" si="1393"/>
        <v>19268.600000000002</v>
      </c>
      <c r="L553" s="103">
        <f t="shared" si="1394"/>
        <v>18958.600000000002</v>
      </c>
      <c r="M553" s="328">
        <f t="shared" si="1395"/>
        <v>18958.600000000002</v>
      </c>
      <c r="N553" s="103">
        <f t="shared" si="1396"/>
        <v>18888.600000000002</v>
      </c>
      <c r="O553" s="328">
        <f t="shared" si="1397"/>
        <v>18888.600000000002</v>
      </c>
      <c r="P553" s="103">
        <f t="shared" si="1398"/>
        <v>18848.600000000002</v>
      </c>
      <c r="Q553" s="328">
        <f t="shared" si="1399"/>
        <v>18848.600000000002</v>
      </c>
      <c r="R553" s="103">
        <f t="shared" si="1400"/>
        <v>18818.600000000002</v>
      </c>
      <c r="S553" s="328">
        <f t="shared" si="1401"/>
        <v>18818.600000000002</v>
      </c>
      <c r="T553" s="103">
        <f t="shared" si="1402"/>
        <v>18778.600000000002</v>
      </c>
      <c r="U553" s="328">
        <f t="shared" si="1403"/>
        <v>18778.600000000002</v>
      </c>
      <c r="V553" s="103">
        <f t="shared" si="1404"/>
        <v>18738.600000000002</v>
      </c>
      <c r="W553" s="328">
        <f t="shared" si="1405"/>
        <v>18738.600000000002</v>
      </c>
      <c r="X553" s="141"/>
      <c r="Y553" s="136"/>
      <c r="Z553" s="142"/>
      <c r="AA553" s="143"/>
      <c r="AB553" s="420">
        <v>694</v>
      </c>
    </row>
    <row r="554" spans="1:28" ht="12" customHeight="1" x14ac:dyDescent="0.2">
      <c r="A554" s="4"/>
      <c r="B554" s="733" t="s">
        <v>920</v>
      </c>
      <c r="C554" s="734"/>
      <c r="D554" s="734"/>
      <c r="E554" s="735"/>
      <c r="F554" s="395">
        <f>15.7*X2</f>
        <v>16280.9</v>
      </c>
      <c r="G554" s="293">
        <f t="shared" ref="G554" si="1406">+F554*$X$1</f>
        <v>16280.9</v>
      </c>
      <c r="H554" s="104">
        <f t="shared" si="1390"/>
        <v>20280.900000000001</v>
      </c>
      <c r="I554" s="314">
        <f t="shared" si="1391"/>
        <v>20280.900000000001</v>
      </c>
      <c r="J554" s="104">
        <f t="shared" si="1392"/>
        <v>17090.900000000001</v>
      </c>
      <c r="K554" s="314">
        <f t="shared" si="1393"/>
        <v>17090.900000000001</v>
      </c>
      <c r="L554" s="104">
        <f t="shared" si="1394"/>
        <v>16780.900000000001</v>
      </c>
      <c r="M554" s="314">
        <f t="shared" si="1395"/>
        <v>16780.900000000001</v>
      </c>
      <c r="N554" s="104">
        <f t="shared" si="1396"/>
        <v>16710.900000000001</v>
      </c>
      <c r="O554" s="314">
        <f t="shared" si="1397"/>
        <v>16710.900000000001</v>
      </c>
      <c r="P554" s="104">
        <f t="shared" si="1398"/>
        <v>16670.900000000001</v>
      </c>
      <c r="Q554" s="314">
        <f t="shared" si="1399"/>
        <v>16670.900000000001</v>
      </c>
      <c r="R554" s="104">
        <f t="shared" si="1400"/>
        <v>16640.900000000001</v>
      </c>
      <c r="S554" s="314">
        <f t="shared" si="1401"/>
        <v>16640.900000000001</v>
      </c>
      <c r="T554" s="104">
        <f t="shared" si="1402"/>
        <v>16600.900000000001</v>
      </c>
      <c r="U554" s="314">
        <f t="shared" si="1403"/>
        <v>16600.900000000001</v>
      </c>
      <c r="V554" s="104">
        <f t="shared" si="1404"/>
        <v>16560.900000000001</v>
      </c>
      <c r="W554" s="314">
        <f t="shared" si="1405"/>
        <v>16560.900000000001</v>
      </c>
      <c r="X554" s="141"/>
      <c r="Y554" s="136"/>
      <c r="Z554" s="142"/>
      <c r="AA554" s="143"/>
      <c r="AB554" s="420">
        <v>696</v>
      </c>
    </row>
    <row r="555" spans="1:28" ht="12" customHeight="1" x14ac:dyDescent="0.2">
      <c r="A555" s="4"/>
      <c r="B555" s="736" t="s">
        <v>772</v>
      </c>
      <c r="C555" s="737"/>
      <c r="D555" s="737"/>
      <c r="E555" s="738"/>
      <c r="F555" s="393">
        <f>37.5*X2</f>
        <v>38887.5</v>
      </c>
      <c r="G555" s="294">
        <f t="shared" ref="G555" si="1407">+F555*$X$1</f>
        <v>38887.5</v>
      </c>
      <c r="H555" s="103">
        <f t="shared" si="1390"/>
        <v>42887.5</v>
      </c>
      <c r="I555" s="328">
        <f t="shared" si="1391"/>
        <v>42887.5</v>
      </c>
      <c r="J555" s="103">
        <f t="shared" si="1392"/>
        <v>39697.5</v>
      </c>
      <c r="K555" s="328">
        <f t="shared" si="1393"/>
        <v>39697.5</v>
      </c>
      <c r="L555" s="103">
        <f t="shared" si="1394"/>
        <v>39387.5</v>
      </c>
      <c r="M555" s="328">
        <f t="shared" si="1395"/>
        <v>39387.5</v>
      </c>
      <c r="N555" s="103">
        <f t="shared" si="1396"/>
        <v>39317.5</v>
      </c>
      <c r="O555" s="328">
        <f t="shared" si="1397"/>
        <v>39317.5</v>
      </c>
      <c r="P555" s="103">
        <f t="shared" si="1398"/>
        <v>39277.5</v>
      </c>
      <c r="Q555" s="328">
        <f t="shared" si="1399"/>
        <v>39277.5</v>
      </c>
      <c r="R555" s="103">
        <f t="shared" si="1400"/>
        <v>39247.5</v>
      </c>
      <c r="S555" s="328">
        <f t="shared" si="1401"/>
        <v>39247.5</v>
      </c>
      <c r="T555" s="103">
        <f t="shared" si="1402"/>
        <v>39207.5</v>
      </c>
      <c r="U555" s="328">
        <f t="shared" si="1403"/>
        <v>39207.5</v>
      </c>
      <c r="V555" s="103">
        <f t="shared" si="1404"/>
        <v>39167.5</v>
      </c>
      <c r="W555" s="328">
        <f t="shared" si="1405"/>
        <v>39167.5</v>
      </c>
      <c r="X555" s="141"/>
      <c r="Y555" s="136"/>
      <c r="Z555" s="142"/>
      <c r="AA555" s="143"/>
      <c r="AB555" s="420">
        <v>698</v>
      </c>
    </row>
    <row r="556" spans="1:28" ht="12" customHeight="1" x14ac:dyDescent="0.2">
      <c r="A556" s="4"/>
      <c r="B556" s="730" t="s">
        <v>923</v>
      </c>
      <c r="C556" s="731"/>
      <c r="D556" s="731"/>
      <c r="E556" s="732"/>
      <c r="F556" s="392">
        <f>28.2*X2</f>
        <v>29243.399999999998</v>
      </c>
      <c r="G556" s="293">
        <f>+F556*$X$1</f>
        <v>29243.399999999998</v>
      </c>
      <c r="H556" s="104">
        <f t="shared" si="1390"/>
        <v>33243.399999999994</v>
      </c>
      <c r="I556" s="314">
        <f t="shared" si="1391"/>
        <v>33243.399999999994</v>
      </c>
      <c r="J556" s="104">
        <f t="shared" si="1392"/>
        <v>30053.399999999998</v>
      </c>
      <c r="K556" s="314">
        <f t="shared" si="1393"/>
        <v>30053.399999999998</v>
      </c>
      <c r="L556" s="104">
        <f t="shared" si="1394"/>
        <v>29743.399999999998</v>
      </c>
      <c r="M556" s="314">
        <f t="shared" si="1395"/>
        <v>29743.399999999998</v>
      </c>
      <c r="N556" s="104">
        <f t="shared" si="1396"/>
        <v>29673.399999999998</v>
      </c>
      <c r="O556" s="314">
        <f t="shared" si="1397"/>
        <v>29673.399999999998</v>
      </c>
      <c r="P556" s="104">
        <f t="shared" si="1398"/>
        <v>29633.399999999998</v>
      </c>
      <c r="Q556" s="314">
        <f t="shared" si="1399"/>
        <v>29633.399999999998</v>
      </c>
      <c r="R556" s="104">
        <f t="shared" si="1400"/>
        <v>29603.399999999998</v>
      </c>
      <c r="S556" s="314">
        <f t="shared" si="1401"/>
        <v>29603.399999999998</v>
      </c>
      <c r="T556" s="104">
        <f t="shared" si="1402"/>
        <v>29563.399999999998</v>
      </c>
      <c r="U556" s="314">
        <f t="shared" si="1403"/>
        <v>29563.399999999998</v>
      </c>
      <c r="V556" s="104">
        <f t="shared" si="1404"/>
        <v>29523.399999999998</v>
      </c>
      <c r="W556" s="314">
        <f t="shared" si="1405"/>
        <v>29523.399999999998</v>
      </c>
      <c r="X556" s="141"/>
      <c r="Y556" s="136"/>
      <c r="Z556" s="142"/>
      <c r="AA556" s="143"/>
      <c r="AB556" s="420">
        <v>708</v>
      </c>
    </row>
    <row r="557" spans="1:28" ht="12" customHeight="1" x14ac:dyDescent="0.2">
      <c r="A557" s="4"/>
      <c r="B557" s="736" t="s">
        <v>615</v>
      </c>
      <c r="C557" s="737"/>
      <c r="D557" s="737"/>
      <c r="E557" s="738"/>
      <c r="F557" s="393">
        <f>54*X2</f>
        <v>55998</v>
      </c>
      <c r="G557" s="294">
        <f>+F557*$X$1</f>
        <v>55998</v>
      </c>
      <c r="H557" s="103">
        <f t="shared" si="1390"/>
        <v>59998</v>
      </c>
      <c r="I557" s="328">
        <f t="shared" si="1391"/>
        <v>59998</v>
      </c>
      <c r="J557" s="103">
        <f t="shared" si="1392"/>
        <v>56808</v>
      </c>
      <c r="K557" s="328">
        <f t="shared" si="1393"/>
        <v>56808</v>
      </c>
      <c r="L557" s="103">
        <f t="shared" si="1394"/>
        <v>56498</v>
      </c>
      <c r="M557" s="328">
        <f t="shared" si="1395"/>
        <v>56498</v>
      </c>
      <c r="N557" s="103">
        <f t="shared" si="1396"/>
        <v>56428</v>
      </c>
      <c r="O557" s="328">
        <f t="shared" si="1397"/>
        <v>56428</v>
      </c>
      <c r="P557" s="103">
        <f t="shared" si="1398"/>
        <v>56388</v>
      </c>
      <c r="Q557" s="328">
        <f t="shared" si="1399"/>
        <v>56388</v>
      </c>
      <c r="R557" s="103">
        <f t="shared" si="1400"/>
        <v>56358</v>
      </c>
      <c r="S557" s="328">
        <f t="shared" si="1401"/>
        <v>56358</v>
      </c>
      <c r="T557" s="103">
        <f t="shared" si="1402"/>
        <v>56318</v>
      </c>
      <c r="U557" s="328">
        <f t="shared" si="1403"/>
        <v>56318</v>
      </c>
      <c r="V557" s="103">
        <f t="shared" si="1404"/>
        <v>56278</v>
      </c>
      <c r="W557" s="328">
        <f t="shared" si="1405"/>
        <v>56278</v>
      </c>
      <c r="X557" s="141"/>
      <c r="Y557" s="136"/>
      <c r="Z557" s="142"/>
      <c r="AA557" s="143"/>
      <c r="AB557" s="420">
        <v>710</v>
      </c>
    </row>
    <row r="558" spans="1:28" ht="12" customHeight="1" x14ac:dyDescent="0.2">
      <c r="A558" s="76"/>
      <c r="B558" s="109"/>
      <c r="C558" s="344"/>
      <c r="D558" s="344"/>
      <c r="E558" s="344"/>
      <c r="F558" s="345"/>
      <c r="G558" s="345"/>
      <c r="H558" s="118"/>
      <c r="I558" s="345"/>
      <c r="J558" s="118"/>
      <c r="K558" s="345"/>
      <c r="L558" s="118"/>
      <c r="M558" s="345"/>
      <c r="N558" s="118"/>
      <c r="O558" s="345"/>
      <c r="P558" s="118"/>
      <c r="Q558" s="345"/>
      <c r="R558" s="118"/>
      <c r="S558" s="345"/>
      <c r="T558" s="118"/>
      <c r="U558" s="345"/>
      <c r="V558" s="118"/>
      <c r="W558" s="345"/>
      <c r="X558" s="205"/>
      <c r="Y558" s="76"/>
      <c r="Z558" s="206"/>
      <c r="AA558" s="206"/>
      <c r="AB558" s="207"/>
    </row>
    <row r="559" spans="1:28" ht="12" customHeight="1" x14ac:dyDescent="0.2">
      <c r="A559" s="76"/>
      <c r="B559" s="109"/>
      <c r="C559" s="632"/>
      <c r="D559" s="632"/>
      <c r="E559" s="632"/>
      <c r="F559" s="345"/>
      <c r="G559" s="345"/>
      <c r="H559" s="118"/>
      <c r="I559" s="345"/>
      <c r="J559" s="118"/>
      <c r="K559" s="345"/>
      <c r="L559" s="118"/>
      <c r="M559" s="345"/>
      <c r="N559" s="118"/>
      <c r="O559" s="345"/>
      <c r="P559" s="118"/>
      <c r="Q559" s="345"/>
      <c r="R559" s="118"/>
      <c r="S559" s="345"/>
      <c r="T559" s="118"/>
      <c r="U559" s="345"/>
      <c r="V559" s="118"/>
      <c r="W559" s="345"/>
      <c r="X559" s="205"/>
      <c r="Y559" s="76"/>
      <c r="Z559" s="206"/>
      <c r="AA559" s="206"/>
      <c r="AB559" s="207"/>
    </row>
    <row r="560" spans="1:28" ht="12" customHeight="1" x14ac:dyDescent="0.2">
      <c r="A560" s="76"/>
      <c r="B560" s="109"/>
      <c r="C560" s="590"/>
      <c r="D560" s="590"/>
      <c r="E560" s="590"/>
      <c r="F560" s="345"/>
      <c r="G560" s="345"/>
      <c r="H560" s="118"/>
      <c r="I560" s="345"/>
      <c r="J560" s="118"/>
      <c r="K560" s="345"/>
      <c r="L560" s="118"/>
      <c r="M560" s="345"/>
      <c r="N560" s="118"/>
      <c r="O560" s="345"/>
      <c r="P560" s="118"/>
      <c r="Q560" s="345"/>
      <c r="R560" s="118"/>
      <c r="S560" s="345"/>
      <c r="T560" s="118"/>
      <c r="U560" s="345"/>
      <c r="V560" s="118"/>
      <c r="W560" s="345"/>
      <c r="X560" s="205"/>
      <c r="Y560" s="76"/>
      <c r="Z560" s="206"/>
      <c r="AA560" s="206"/>
      <c r="AB560" s="207"/>
    </row>
    <row r="561" spans="1:34" ht="14.25" customHeight="1" x14ac:dyDescent="0.2">
      <c r="B561" s="665" t="s">
        <v>594</v>
      </c>
      <c r="C561" s="666"/>
      <c r="D561" s="666"/>
      <c r="E561" s="666"/>
      <c r="F561" s="666"/>
      <c r="G561" s="666"/>
      <c r="H561" s="666"/>
      <c r="I561" s="666"/>
      <c r="J561" s="666"/>
      <c r="K561" s="666"/>
      <c r="L561" s="666"/>
      <c r="M561" s="666"/>
      <c r="N561" s="666"/>
      <c r="O561" s="666"/>
      <c r="P561" s="666"/>
      <c r="Q561" s="666"/>
      <c r="R561" s="666"/>
      <c r="S561" s="666"/>
      <c r="T561" s="666"/>
      <c r="U561" s="666"/>
      <c r="V561" s="666"/>
      <c r="W561" s="666"/>
      <c r="AB561" s="4"/>
      <c r="AF561" s="645"/>
      <c r="AG561" s="646"/>
      <c r="AH561" s="646"/>
    </row>
    <row r="562" spans="1:34" ht="14.25" customHeight="1" x14ac:dyDescent="0.2">
      <c r="B562" s="647" t="s">
        <v>11</v>
      </c>
      <c r="C562" s="649" t="s">
        <v>12</v>
      </c>
      <c r="D562" s="650"/>
      <c r="E562" s="650"/>
      <c r="F562" s="652" t="s">
        <v>291</v>
      </c>
      <c r="G562" s="652" t="s">
        <v>13</v>
      </c>
      <c r="H562" s="654" t="s">
        <v>844</v>
      </c>
      <c r="I562" s="654"/>
      <c r="J562" s="655"/>
      <c r="K562" s="655"/>
      <c r="L562" s="655"/>
      <c r="M562" s="655"/>
      <c r="N562" s="655"/>
      <c r="O562" s="655"/>
      <c r="P562" s="655"/>
      <c r="Q562" s="655"/>
      <c r="R562" s="655"/>
      <c r="S562" s="655"/>
      <c r="T562" s="655"/>
      <c r="U562" s="655"/>
      <c r="V562" s="655"/>
      <c r="W562" s="656"/>
      <c r="X562" s="657" t="s">
        <v>14</v>
      </c>
      <c r="Y562" s="658"/>
      <c r="Z562" s="658"/>
      <c r="AA562" s="659"/>
      <c r="AB562" s="663" t="s">
        <v>15</v>
      </c>
      <c r="AF562" s="645" t="s">
        <v>3</v>
      </c>
      <c r="AG562" s="646"/>
      <c r="AH562" s="646"/>
    </row>
    <row r="563" spans="1:34" ht="12" customHeight="1" x14ac:dyDescent="0.2">
      <c r="B563" s="648"/>
      <c r="C563" s="651"/>
      <c r="D563" s="651"/>
      <c r="E563" s="651"/>
      <c r="F563" s="653"/>
      <c r="G563" s="653"/>
      <c r="H563" s="519"/>
      <c r="I563" s="520" t="s">
        <v>579</v>
      </c>
      <c r="J563" s="519"/>
      <c r="K563" s="520" t="s">
        <v>292</v>
      </c>
      <c r="L563" s="519"/>
      <c r="M563" s="520" t="s">
        <v>293</v>
      </c>
      <c r="N563" s="519"/>
      <c r="O563" s="520" t="s">
        <v>581</v>
      </c>
      <c r="P563" s="519"/>
      <c r="Q563" s="520" t="s">
        <v>17</v>
      </c>
      <c r="R563" s="519"/>
      <c r="S563" s="520" t="s">
        <v>18</v>
      </c>
      <c r="T563" s="519"/>
      <c r="U563" s="520" t="s">
        <v>19</v>
      </c>
      <c r="V563" s="519"/>
      <c r="W563" s="521" t="s">
        <v>582</v>
      </c>
      <c r="X563" s="660"/>
      <c r="Y563" s="661"/>
      <c r="Z563" s="661"/>
      <c r="AA563" s="662"/>
      <c r="AB563" s="664"/>
    </row>
    <row r="564" spans="1:34" ht="12" customHeight="1" x14ac:dyDescent="0.2">
      <c r="A564" s="4"/>
      <c r="B564" s="736" t="s">
        <v>587</v>
      </c>
      <c r="C564" s="737"/>
      <c r="D564" s="737"/>
      <c r="E564" s="738"/>
      <c r="F564" s="393">
        <f>62.42*X2</f>
        <v>64729.54</v>
      </c>
      <c r="G564" s="294">
        <f t="shared" ref="G564" si="1408">+F564*$X$1</f>
        <v>64729.54</v>
      </c>
      <c r="H564" s="103">
        <f>F564+4000</f>
        <v>68729.540000000008</v>
      </c>
      <c r="I564" s="328">
        <f>+H564*$X$1</f>
        <v>68729.540000000008</v>
      </c>
      <c r="J564" s="103">
        <f>F564+810</f>
        <v>65539.540000000008</v>
      </c>
      <c r="K564" s="328">
        <f>+J564*$X$1</f>
        <v>65539.540000000008</v>
      </c>
      <c r="L564" s="103">
        <f>F564+500</f>
        <v>65229.54</v>
      </c>
      <c r="M564" s="328">
        <f>+L564*$X$1</f>
        <v>65229.54</v>
      </c>
      <c r="N564" s="103">
        <f>F564+430</f>
        <v>65159.54</v>
      </c>
      <c r="O564" s="328">
        <f>+N564*$X$1</f>
        <v>65159.54</v>
      </c>
      <c r="P564" s="103">
        <f>F564+390</f>
        <v>65119.54</v>
      </c>
      <c r="Q564" s="328">
        <f>+P564*$X$1</f>
        <v>65119.54</v>
      </c>
      <c r="R564" s="103">
        <f>F564+360</f>
        <v>65089.54</v>
      </c>
      <c r="S564" s="328">
        <f>+R564*$X$1</f>
        <v>65089.54</v>
      </c>
      <c r="T564" s="103">
        <f>F564+320</f>
        <v>65049.54</v>
      </c>
      <c r="U564" s="328">
        <f>+T564*$X$1</f>
        <v>65049.54</v>
      </c>
      <c r="V564" s="103">
        <f>F564+280</f>
        <v>65009.54</v>
      </c>
      <c r="W564" s="328">
        <f>+V564*$X$1</f>
        <v>65009.54</v>
      </c>
      <c r="X564" s="141"/>
      <c r="Y564" s="136"/>
      <c r="Z564" s="142"/>
      <c r="AA564" s="143"/>
      <c r="AB564" s="420">
        <v>711</v>
      </c>
    </row>
    <row r="565" spans="1:34" ht="12" customHeight="1" x14ac:dyDescent="0.2">
      <c r="A565" s="4"/>
      <c r="B565" s="733" t="s">
        <v>618</v>
      </c>
      <c r="C565" s="734"/>
      <c r="D565" s="734"/>
      <c r="E565" s="735"/>
      <c r="F565" s="392">
        <f>59.1*X2</f>
        <v>61286.700000000004</v>
      </c>
      <c r="G565" s="293">
        <f t="shared" ref="G565" si="1409">+F565*$X$1</f>
        <v>61286.700000000004</v>
      </c>
      <c r="H565" s="104">
        <f t="shared" ref="H565:H575" si="1410">F565+4000</f>
        <v>65286.700000000004</v>
      </c>
      <c r="I565" s="314">
        <f t="shared" ref="I565:I575" si="1411">+H565*$X$1</f>
        <v>65286.700000000004</v>
      </c>
      <c r="J565" s="104">
        <f t="shared" ref="J565:J575" si="1412">F565+810</f>
        <v>62096.700000000004</v>
      </c>
      <c r="K565" s="314">
        <f t="shared" ref="K565:K575" si="1413">+J565*$X$1</f>
        <v>62096.700000000004</v>
      </c>
      <c r="L565" s="104">
        <f t="shared" ref="L565:L575" si="1414">F565+500</f>
        <v>61786.700000000004</v>
      </c>
      <c r="M565" s="314">
        <f t="shared" ref="M565:M575" si="1415">+L565*$X$1</f>
        <v>61786.700000000004</v>
      </c>
      <c r="N565" s="104">
        <f t="shared" ref="N565:N575" si="1416">F565+430</f>
        <v>61716.700000000004</v>
      </c>
      <c r="O565" s="314">
        <f t="shared" ref="O565:O575" si="1417">+N565*$X$1</f>
        <v>61716.700000000004</v>
      </c>
      <c r="P565" s="104">
        <f t="shared" ref="P565:P575" si="1418">F565+390</f>
        <v>61676.700000000004</v>
      </c>
      <c r="Q565" s="314">
        <f t="shared" ref="Q565:Q575" si="1419">+P565*$X$1</f>
        <v>61676.700000000004</v>
      </c>
      <c r="R565" s="104">
        <f t="shared" ref="R565:R575" si="1420">F565+360</f>
        <v>61646.700000000004</v>
      </c>
      <c r="S565" s="314">
        <f t="shared" ref="S565:S575" si="1421">+R565*$X$1</f>
        <v>61646.700000000004</v>
      </c>
      <c r="T565" s="104">
        <f t="shared" ref="T565:T575" si="1422">F565+320</f>
        <v>61606.700000000004</v>
      </c>
      <c r="U565" s="314">
        <f t="shared" ref="U565:U575" si="1423">+T565*$X$1</f>
        <v>61606.700000000004</v>
      </c>
      <c r="V565" s="104">
        <f t="shared" ref="V565:V575" si="1424">F565+280</f>
        <v>61566.700000000004</v>
      </c>
      <c r="W565" s="314">
        <f t="shared" ref="W565:W575" si="1425">+V565*$X$1</f>
        <v>61566.700000000004</v>
      </c>
      <c r="X565" s="141"/>
      <c r="Y565" s="136"/>
      <c r="Z565" s="142"/>
      <c r="AA565" s="143"/>
      <c r="AB565" s="420">
        <v>714</v>
      </c>
    </row>
    <row r="566" spans="1:34" ht="12" customHeight="1" x14ac:dyDescent="0.2">
      <c r="A566" s="4"/>
      <c r="B566" s="736" t="s">
        <v>757</v>
      </c>
      <c r="C566" s="737"/>
      <c r="D566" s="737"/>
      <c r="E566" s="738"/>
      <c r="F566" s="393">
        <f>12.5*X2</f>
        <v>12962.5</v>
      </c>
      <c r="G566" s="294">
        <f t="shared" ref="G566" si="1426">+F566*$X$1</f>
        <v>12962.5</v>
      </c>
      <c r="H566" s="103">
        <f t="shared" si="1410"/>
        <v>16962.5</v>
      </c>
      <c r="I566" s="328">
        <f t="shared" si="1411"/>
        <v>16962.5</v>
      </c>
      <c r="J566" s="103">
        <f t="shared" si="1412"/>
        <v>13772.5</v>
      </c>
      <c r="K566" s="328">
        <f t="shared" si="1413"/>
        <v>13772.5</v>
      </c>
      <c r="L566" s="103">
        <f t="shared" si="1414"/>
        <v>13462.5</v>
      </c>
      <c r="M566" s="328">
        <f t="shared" si="1415"/>
        <v>13462.5</v>
      </c>
      <c r="N566" s="103">
        <f t="shared" si="1416"/>
        <v>13392.5</v>
      </c>
      <c r="O566" s="328">
        <f t="shared" si="1417"/>
        <v>13392.5</v>
      </c>
      <c r="P566" s="103">
        <f t="shared" si="1418"/>
        <v>13352.5</v>
      </c>
      <c r="Q566" s="328">
        <f t="shared" si="1419"/>
        <v>13352.5</v>
      </c>
      <c r="R566" s="103">
        <f t="shared" si="1420"/>
        <v>13322.5</v>
      </c>
      <c r="S566" s="328">
        <f t="shared" si="1421"/>
        <v>13322.5</v>
      </c>
      <c r="T566" s="103">
        <f t="shared" si="1422"/>
        <v>13282.5</v>
      </c>
      <c r="U566" s="328">
        <f t="shared" si="1423"/>
        <v>13282.5</v>
      </c>
      <c r="V566" s="103">
        <f t="shared" si="1424"/>
        <v>13242.5</v>
      </c>
      <c r="W566" s="328">
        <f t="shared" si="1425"/>
        <v>13242.5</v>
      </c>
      <c r="X566" s="141"/>
      <c r="Y566" s="136"/>
      <c r="Z566" s="142"/>
      <c r="AA566" s="143"/>
      <c r="AB566" s="420">
        <v>716</v>
      </c>
    </row>
    <row r="567" spans="1:34" ht="12" customHeight="1" x14ac:dyDescent="0.2">
      <c r="A567" s="4"/>
      <c r="B567" s="733" t="s">
        <v>759</v>
      </c>
      <c r="C567" s="734"/>
      <c r="D567" s="734"/>
      <c r="E567" s="735"/>
      <c r="F567" s="392">
        <f>63*X2</f>
        <v>65331</v>
      </c>
      <c r="G567" s="293">
        <f t="shared" ref="G567" si="1427">+F567*$X$1</f>
        <v>65331</v>
      </c>
      <c r="H567" s="104">
        <f t="shared" si="1410"/>
        <v>69331</v>
      </c>
      <c r="I567" s="314">
        <f t="shared" si="1411"/>
        <v>69331</v>
      </c>
      <c r="J567" s="104">
        <f t="shared" si="1412"/>
        <v>66141</v>
      </c>
      <c r="K567" s="314">
        <f t="shared" si="1413"/>
        <v>66141</v>
      </c>
      <c r="L567" s="104">
        <f t="shared" si="1414"/>
        <v>65831</v>
      </c>
      <c r="M567" s="314">
        <f t="shared" si="1415"/>
        <v>65831</v>
      </c>
      <c r="N567" s="104">
        <f t="shared" si="1416"/>
        <v>65761</v>
      </c>
      <c r="O567" s="314">
        <f t="shared" si="1417"/>
        <v>65761</v>
      </c>
      <c r="P567" s="104">
        <f t="shared" si="1418"/>
        <v>65721</v>
      </c>
      <c r="Q567" s="314">
        <f t="shared" si="1419"/>
        <v>65721</v>
      </c>
      <c r="R567" s="104">
        <f t="shared" si="1420"/>
        <v>65691</v>
      </c>
      <c r="S567" s="314">
        <f t="shared" si="1421"/>
        <v>65691</v>
      </c>
      <c r="T567" s="104">
        <f t="shared" si="1422"/>
        <v>65651</v>
      </c>
      <c r="U567" s="314">
        <f t="shared" si="1423"/>
        <v>65651</v>
      </c>
      <c r="V567" s="104">
        <f t="shared" si="1424"/>
        <v>65611</v>
      </c>
      <c r="W567" s="314">
        <f t="shared" si="1425"/>
        <v>65611</v>
      </c>
      <c r="X567" s="141"/>
      <c r="Y567" s="136"/>
      <c r="Z567" s="142"/>
      <c r="AA567" s="143"/>
      <c r="AB567" s="420">
        <v>717</v>
      </c>
    </row>
    <row r="568" spans="1:34" ht="12" customHeight="1" x14ac:dyDescent="0.2">
      <c r="A568" s="4"/>
      <c r="B568" s="730" t="s">
        <v>758</v>
      </c>
      <c r="C568" s="731"/>
      <c r="D568" s="731"/>
      <c r="E568" s="732"/>
      <c r="F568" s="393">
        <f>101*X2</f>
        <v>104737</v>
      </c>
      <c r="G568" s="294">
        <f t="shared" ref="G568" si="1428">+F568*$X$1</f>
        <v>104737</v>
      </c>
      <c r="H568" s="103">
        <f t="shared" si="1410"/>
        <v>108737</v>
      </c>
      <c r="I568" s="328">
        <f t="shared" si="1411"/>
        <v>108737</v>
      </c>
      <c r="J568" s="103">
        <f t="shared" si="1412"/>
        <v>105547</v>
      </c>
      <c r="K568" s="328">
        <f t="shared" si="1413"/>
        <v>105547</v>
      </c>
      <c r="L568" s="103">
        <f t="shared" si="1414"/>
        <v>105237</v>
      </c>
      <c r="M568" s="328">
        <f t="shared" si="1415"/>
        <v>105237</v>
      </c>
      <c r="N568" s="103">
        <f t="shared" si="1416"/>
        <v>105167</v>
      </c>
      <c r="O568" s="328">
        <f t="shared" si="1417"/>
        <v>105167</v>
      </c>
      <c r="P568" s="103">
        <f t="shared" si="1418"/>
        <v>105127</v>
      </c>
      <c r="Q568" s="328">
        <f t="shared" si="1419"/>
        <v>105127</v>
      </c>
      <c r="R568" s="103">
        <f t="shared" si="1420"/>
        <v>105097</v>
      </c>
      <c r="S568" s="328">
        <f t="shared" si="1421"/>
        <v>105097</v>
      </c>
      <c r="T568" s="103">
        <f t="shared" si="1422"/>
        <v>105057</v>
      </c>
      <c r="U568" s="328">
        <f t="shared" si="1423"/>
        <v>105057</v>
      </c>
      <c r="V568" s="103">
        <f t="shared" si="1424"/>
        <v>105017</v>
      </c>
      <c r="W568" s="328">
        <f t="shared" si="1425"/>
        <v>105017</v>
      </c>
      <c r="X568" s="141"/>
      <c r="Y568" s="136"/>
      <c r="Z568" s="142"/>
      <c r="AA568" s="143"/>
      <c r="AB568" s="420">
        <v>718</v>
      </c>
    </row>
    <row r="569" spans="1:34" ht="12" customHeight="1" x14ac:dyDescent="0.2">
      <c r="A569" s="4"/>
      <c r="B569" s="730" t="s">
        <v>875</v>
      </c>
      <c r="C569" s="731"/>
      <c r="D569" s="731"/>
      <c r="E569" s="732"/>
      <c r="F569" s="392">
        <f>33.13*X2</f>
        <v>34355.810000000005</v>
      </c>
      <c r="G569" s="293">
        <f t="shared" ref="G569" si="1429">+F569*$X$1</f>
        <v>34355.810000000005</v>
      </c>
      <c r="H569" s="104">
        <f t="shared" si="1410"/>
        <v>38355.810000000005</v>
      </c>
      <c r="I569" s="314">
        <f t="shared" si="1411"/>
        <v>38355.810000000005</v>
      </c>
      <c r="J569" s="104">
        <f t="shared" si="1412"/>
        <v>35165.810000000005</v>
      </c>
      <c r="K569" s="314">
        <f t="shared" si="1413"/>
        <v>35165.810000000005</v>
      </c>
      <c r="L569" s="104">
        <f t="shared" si="1414"/>
        <v>34855.810000000005</v>
      </c>
      <c r="M569" s="314">
        <f t="shared" si="1415"/>
        <v>34855.810000000005</v>
      </c>
      <c r="N569" s="104">
        <f t="shared" si="1416"/>
        <v>34785.810000000005</v>
      </c>
      <c r="O569" s="314">
        <f t="shared" si="1417"/>
        <v>34785.810000000005</v>
      </c>
      <c r="P569" s="104">
        <f t="shared" si="1418"/>
        <v>34745.810000000005</v>
      </c>
      <c r="Q569" s="314">
        <f t="shared" si="1419"/>
        <v>34745.810000000005</v>
      </c>
      <c r="R569" s="104">
        <f t="shared" si="1420"/>
        <v>34715.810000000005</v>
      </c>
      <c r="S569" s="314">
        <f t="shared" si="1421"/>
        <v>34715.810000000005</v>
      </c>
      <c r="T569" s="104">
        <f t="shared" si="1422"/>
        <v>34675.810000000005</v>
      </c>
      <c r="U569" s="314">
        <f t="shared" si="1423"/>
        <v>34675.810000000005</v>
      </c>
      <c r="V569" s="104">
        <f t="shared" si="1424"/>
        <v>34635.810000000005</v>
      </c>
      <c r="W569" s="314">
        <f t="shared" si="1425"/>
        <v>34635.810000000005</v>
      </c>
      <c r="X569" s="141"/>
      <c r="Y569" s="136"/>
      <c r="Z569" s="142"/>
      <c r="AA569" s="143"/>
      <c r="AB569" s="420">
        <v>719</v>
      </c>
    </row>
    <row r="570" spans="1:34" ht="12" customHeight="1" x14ac:dyDescent="0.2">
      <c r="A570" s="4"/>
      <c r="B570" s="736" t="s">
        <v>756</v>
      </c>
      <c r="C570" s="737"/>
      <c r="D570" s="737"/>
      <c r="E570" s="738"/>
      <c r="F570" s="393">
        <f>14.4*X2</f>
        <v>14932.800000000001</v>
      </c>
      <c r="G570" s="294">
        <f t="shared" ref="G570" si="1430">+F570*$X$1</f>
        <v>14932.800000000001</v>
      </c>
      <c r="H570" s="103">
        <f t="shared" si="1410"/>
        <v>18932.800000000003</v>
      </c>
      <c r="I570" s="328">
        <f t="shared" si="1411"/>
        <v>18932.800000000003</v>
      </c>
      <c r="J570" s="103">
        <f t="shared" si="1412"/>
        <v>15742.800000000001</v>
      </c>
      <c r="K570" s="328">
        <f t="shared" si="1413"/>
        <v>15742.800000000001</v>
      </c>
      <c r="L570" s="103">
        <f t="shared" si="1414"/>
        <v>15432.800000000001</v>
      </c>
      <c r="M570" s="328">
        <f t="shared" si="1415"/>
        <v>15432.800000000001</v>
      </c>
      <c r="N570" s="103">
        <f t="shared" si="1416"/>
        <v>15362.800000000001</v>
      </c>
      <c r="O570" s="328">
        <f t="shared" si="1417"/>
        <v>15362.800000000001</v>
      </c>
      <c r="P570" s="103">
        <f t="shared" si="1418"/>
        <v>15322.800000000001</v>
      </c>
      <c r="Q570" s="328">
        <f t="shared" si="1419"/>
        <v>15322.800000000001</v>
      </c>
      <c r="R570" s="103">
        <f t="shared" si="1420"/>
        <v>15292.800000000001</v>
      </c>
      <c r="S570" s="328">
        <f t="shared" si="1421"/>
        <v>15292.800000000001</v>
      </c>
      <c r="T570" s="103">
        <f t="shared" si="1422"/>
        <v>15252.800000000001</v>
      </c>
      <c r="U570" s="328">
        <f t="shared" si="1423"/>
        <v>15252.800000000001</v>
      </c>
      <c r="V570" s="103">
        <f t="shared" si="1424"/>
        <v>15212.800000000001</v>
      </c>
      <c r="W570" s="328">
        <f t="shared" si="1425"/>
        <v>15212.800000000001</v>
      </c>
      <c r="X570" s="141"/>
      <c r="Y570" s="136"/>
      <c r="Z570" s="142"/>
      <c r="AA570" s="143"/>
      <c r="AB570" s="420">
        <v>720</v>
      </c>
    </row>
    <row r="571" spans="1:34" ht="12" customHeight="1" x14ac:dyDescent="0.2">
      <c r="A571" s="4"/>
      <c r="B571" s="733" t="s">
        <v>755</v>
      </c>
      <c r="C571" s="734"/>
      <c r="D571" s="734"/>
      <c r="E571" s="735"/>
      <c r="F571" s="392">
        <f>40.98*X2</f>
        <v>42496.259999999995</v>
      </c>
      <c r="G571" s="293">
        <f t="shared" ref="G571" si="1431">+F571*$X$1</f>
        <v>42496.259999999995</v>
      </c>
      <c r="H571" s="104">
        <f t="shared" si="1410"/>
        <v>46496.259999999995</v>
      </c>
      <c r="I571" s="314">
        <f t="shared" si="1411"/>
        <v>46496.259999999995</v>
      </c>
      <c r="J571" s="104">
        <f t="shared" si="1412"/>
        <v>43306.259999999995</v>
      </c>
      <c r="K571" s="314">
        <f t="shared" si="1413"/>
        <v>43306.259999999995</v>
      </c>
      <c r="L571" s="104">
        <f t="shared" si="1414"/>
        <v>42996.259999999995</v>
      </c>
      <c r="M571" s="314">
        <f t="shared" si="1415"/>
        <v>42996.259999999995</v>
      </c>
      <c r="N571" s="104">
        <f t="shared" si="1416"/>
        <v>42926.259999999995</v>
      </c>
      <c r="O571" s="314">
        <f t="shared" si="1417"/>
        <v>42926.259999999995</v>
      </c>
      <c r="P571" s="104">
        <f t="shared" si="1418"/>
        <v>42886.259999999995</v>
      </c>
      <c r="Q571" s="314">
        <f t="shared" si="1419"/>
        <v>42886.259999999995</v>
      </c>
      <c r="R571" s="104">
        <f t="shared" si="1420"/>
        <v>42856.259999999995</v>
      </c>
      <c r="S571" s="314">
        <f t="shared" si="1421"/>
        <v>42856.259999999995</v>
      </c>
      <c r="T571" s="104">
        <f t="shared" si="1422"/>
        <v>42816.259999999995</v>
      </c>
      <c r="U571" s="314">
        <f t="shared" si="1423"/>
        <v>42816.259999999995</v>
      </c>
      <c r="V571" s="104">
        <f t="shared" si="1424"/>
        <v>42776.259999999995</v>
      </c>
      <c r="W571" s="314">
        <f t="shared" si="1425"/>
        <v>42776.259999999995</v>
      </c>
      <c r="X571" s="141"/>
      <c r="Y571" s="136"/>
      <c r="Z571" s="142"/>
      <c r="AA571" s="143"/>
      <c r="AB571" s="420">
        <v>721</v>
      </c>
    </row>
    <row r="572" spans="1:34" ht="12.6" customHeight="1" x14ac:dyDescent="0.2">
      <c r="A572" s="4"/>
      <c r="B572" s="736" t="s">
        <v>891</v>
      </c>
      <c r="C572" s="737"/>
      <c r="D572" s="737"/>
      <c r="E572" s="738"/>
      <c r="F572" s="393">
        <f>5.4*X2</f>
        <v>5599.8</v>
      </c>
      <c r="G572" s="294">
        <f t="shared" ref="G572" si="1432">+F572*$X$1</f>
        <v>5599.8</v>
      </c>
      <c r="H572" s="103">
        <f t="shared" si="1410"/>
        <v>9599.7999999999993</v>
      </c>
      <c r="I572" s="328">
        <f t="shared" si="1411"/>
        <v>9599.7999999999993</v>
      </c>
      <c r="J572" s="103">
        <f t="shared" si="1412"/>
        <v>6409.8</v>
      </c>
      <c r="K572" s="328">
        <f t="shared" si="1413"/>
        <v>6409.8</v>
      </c>
      <c r="L572" s="103">
        <f t="shared" si="1414"/>
        <v>6099.8</v>
      </c>
      <c r="M572" s="328">
        <f t="shared" si="1415"/>
        <v>6099.8</v>
      </c>
      <c r="N572" s="103">
        <f t="shared" si="1416"/>
        <v>6029.8</v>
      </c>
      <c r="O572" s="328">
        <f t="shared" si="1417"/>
        <v>6029.8</v>
      </c>
      <c r="P572" s="103">
        <f t="shared" si="1418"/>
        <v>5989.8</v>
      </c>
      <c r="Q572" s="328">
        <f t="shared" si="1419"/>
        <v>5989.8</v>
      </c>
      <c r="R572" s="103">
        <f t="shared" si="1420"/>
        <v>5959.8</v>
      </c>
      <c r="S572" s="328">
        <f t="shared" si="1421"/>
        <v>5959.8</v>
      </c>
      <c r="T572" s="103">
        <f t="shared" si="1422"/>
        <v>5919.8</v>
      </c>
      <c r="U572" s="328">
        <f t="shared" si="1423"/>
        <v>5919.8</v>
      </c>
      <c r="V572" s="103">
        <f t="shared" si="1424"/>
        <v>5879.8</v>
      </c>
      <c r="W572" s="328">
        <f t="shared" si="1425"/>
        <v>5879.8</v>
      </c>
      <c r="X572" s="141"/>
      <c r="Y572" s="136"/>
      <c r="Z572" s="142"/>
      <c r="AA572" s="143"/>
      <c r="AB572" s="197">
        <v>741</v>
      </c>
    </row>
    <row r="573" spans="1:34" ht="12" customHeight="1" x14ac:dyDescent="0.2">
      <c r="A573" s="4"/>
      <c r="B573" s="733" t="s">
        <v>646</v>
      </c>
      <c r="C573" s="734"/>
      <c r="D573" s="734"/>
      <c r="E573" s="735"/>
      <c r="F573" s="392">
        <f>20.6*X2</f>
        <v>21362.2</v>
      </c>
      <c r="G573" s="293">
        <f>+F573*$X$1</f>
        <v>21362.2</v>
      </c>
      <c r="H573" s="104">
        <f t="shared" si="1410"/>
        <v>25362.2</v>
      </c>
      <c r="I573" s="314">
        <f t="shared" si="1411"/>
        <v>25362.2</v>
      </c>
      <c r="J573" s="104">
        <f t="shared" si="1412"/>
        <v>22172.2</v>
      </c>
      <c r="K573" s="314">
        <f t="shared" si="1413"/>
        <v>22172.2</v>
      </c>
      <c r="L573" s="104">
        <f t="shared" si="1414"/>
        <v>21862.2</v>
      </c>
      <c r="M573" s="314">
        <f t="shared" si="1415"/>
        <v>21862.2</v>
      </c>
      <c r="N573" s="104">
        <f t="shared" si="1416"/>
        <v>21792.2</v>
      </c>
      <c r="O573" s="314">
        <f t="shared" si="1417"/>
        <v>21792.2</v>
      </c>
      <c r="P573" s="104">
        <f t="shared" si="1418"/>
        <v>21752.2</v>
      </c>
      <c r="Q573" s="314">
        <f t="shared" si="1419"/>
        <v>21752.2</v>
      </c>
      <c r="R573" s="104">
        <f t="shared" si="1420"/>
        <v>21722.2</v>
      </c>
      <c r="S573" s="314">
        <f t="shared" si="1421"/>
        <v>21722.2</v>
      </c>
      <c r="T573" s="104">
        <f t="shared" si="1422"/>
        <v>21682.2</v>
      </c>
      <c r="U573" s="314">
        <f t="shared" si="1423"/>
        <v>21682.2</v>
      </c>
      <c r="V573" s="104">
        <f t="shared" si="1424"/>
        <v>21642.2</v>
      </c>
      <c r="W573" s="314">
        <f t="shared" si="1425"/>
        <v>21642.2</v>
      </c>
      <c r="X573" s="141"/>
      <c r="Y573" s="136"/>
      <c r="Z573" s="142"/>
      <c r="AA573" s="143"/>
      <c r="AB573" s="197">
        <v>742</v>
      </c>
    </row>
    <row r="574" spans="1:34" ht="12" customHeight="1" x14ac:dyDescent="0.2">
      <c r="A574" s="4"/>
      <c r="B574" s="736" t="s">
        <v>647</v>
      </c>
      <c r="C574" s="737"/>
      <c r="D574" s="737"/>
      <c r="E574" s="738"/>
      <c r="F574" s="393">
        <f>21*X2</f>
        <v>21777</v>
      </c>
      <c r="G574" s="294">
        <f>+F574*$X$1</f>
        <v>21777</v>
      </c>
      <c r="H574" s="103">
        <f t="shared" si="1410"/>
        <v>25777</v>
      </c>
      <c r="I574" s="328">
        <f t="shared" si="1411"/>
        <v>25777</v>
      </c>
      <c r="J574" s="103">
        <f t="shared" si="1412"/>
        <v>22587</v>
      </c>
      <c r="K574" s="328">
        <f t="shared" si="1413"/>
        <v>22587</v>
      </c>
      <c r="L574" s="103">
        <f t="shared" si="1414"/>
        <v>22277</v>
      </c>
      <c r="M574" s="328">
        <f t="shared" si="1415"/>
        <v>22277</v>
      </c>
      <c r="N574" s="103">
        <f t="shared" si="1416"/>
        <v>22207</v>
      </c>
      <c r="O574" s="328">
        <f t="shared" si="1417"/>
        <v>22207</v>
      </c>
      <c r="P574" s="103">
        <f t="shared" si="1418"/>
        <v>22167</v>
      </c>
      <c r="Q574" s="328">
        <f t="shared" si="1419"/>
        <v>22167</v>
      </c>
      <c r="R574" s="103">
        <f t="shared" si="1420"/>
        <v>22137</v>
      </c>
      <c r="S574" s="328">
        <f t="shared" si="1421"/>
        <v>22137</v>
      </c>
      <c r="T574" s="103">
        <f t="shared" si="1422"/>
        <v>22097</v>
      </c>
      <c r="U574" s="328">
        <f t="shared" si="1423"/>
        <v>22097</v>
      </c>
      <c r="V574" s="103">
        <f t="shared" si="1424"/>
        <v>22057</v>
      </c>
      <c r="W574" s="328">
        <f t="shared" si="1425"/>
        <v>22057</v>
      </c>
      <c r="X574" s="141"/>
      <c r="Y574" s="136"/>
      <c r="Z574" s="142"/>
      <c r="AA574" s="143"/>
      <c r="AB574" s="197">
        <v>743</v>
      </c>
    </row>
    <row r="575" spans="1:34" ht="12" customHeight="1" x14ac:dyDescent="0.2">
      <c r="A575" s="4"/>
      <c r="B575" s="733" t="s">
        <v>730</v>
      </c>
      <c r="C575" s="734"/>
      <c r="D575" s="734"/>
      <c r="E575" s="735"/>
      <c r="F575" s="392">
        <f>18*X2</f>
        <v>18666</v>
      </c>
      <c r="G575" s="293">
        <f t="shared" ref="G575" si="1433">+F575*$X$1</f>
        <v>18666</v>
      </c>
      <c r="H575" s="104">
        <f t="shared" si="1410"/>
        <v>22666</v>
      </c>
      <c r="I575" s="314">
        <f t="shared" si="1411"/>
        <v>22666</v>
      </c>
      <c r="J575" s="104">
        <f t="shared" si="1412"/>
        <v>19476</v>
      </c>
      <c r="K575" s="314">
        <f t="shared" si="1413"/>
        <v>19476</v>
      </c>
      <c r="L575" s="104">
        <f t="shared" si="1414"/>
        <v>19166</v>
      </c>
      <c r="M575" s="314">
        <f t="shared" si="1415"/>
        <v>19166</v>
      </c>
      <c r="N575" s="104">
        <f t="shared" si="1416"/>
        <v>19096</v>
      </c>
      <c r="O575" s="314">
        <f t="shared" si="1417"/>
        <v>19096</v>
      </c>
      <c r="P575" s="104">
        <f t="shared" si="1418"/>
        <v>19056</v>
      </c>
      <c r="Q575" s="314">
        <f t="shared" si="1419"/>
        <v>19056</v>
      </c>
      <c r="R575" s="104">
        <f t="shared" si="1420"/>
        <v>19026</v>
      </c>
      <c r="S575" s="314">
        <f t="shared" si="1421"/>
        <v>19026</v>
      </c>
      <c r="T575" s="104">
        <f t="shared" si="1422"/>
        <v>18986</v>
      </c>
      <c r="U575" s="314">
        <f t="shared" si="1423"/>
        <v>18986</v>
      </c>
      <c r="V575" s="104">
        <f t="shared" si="1424"/>
        <v>18946</v>
      </c>
      <c r="W575" s="314">
        <f t="shared" si="1425"/>
        <v>18946</v>
      </c>
      <c r="X575" s="141"/>
      <c r="Y575" s="136"/>
      <c r="Z575" s="142"/>
      <c r="AA575" s="143"/>
      <c r="AB575" s="197">
        <v>744</v>
      </c>
    </row>
    <row r="576" spans="1:34" ht="12" customHeight="1" x14ac:dyDescent="0.2">
      <c r="A576" s="4"/>
      <c r="B576" s="1160" t="s">
        <v>621</v>
      </c>
      <c r="C576" s="1161"/>
      <c r="D576" s="1161"/>
      <c r="E576" s="1161"/>
      <c r="F576" s="406"/>
      <c r="G576" s="406"/>
      <c r="H576" s="492">
        <v>1700</v>
      </c>
      <c r="I576" s="294">
        <f t="shared" ref="I576:K576" si="1434">+H576*$X$1</f>
        <v>1700</v>
      </c>
      <c r="J576" s="492">
        <v>810</v>
      </c>
      <c r="K576" s="294">
        <f t="shared" si="1434"/>
        <v>810</v>
      </c>
      <c r="L576" s="492">
        <v>600</v>
      </c>
      <c r="M576" s="294">
        <f t="shared" ref="M576" si="1435">+L576*$X$1</f>
        <v>600</v>
      </c>
      <c r="N576" s="492">
        <v>520</v>
      </c>
      <c r="O576" s="294">
        <f t="shared" ref="O576" si="1436">+N576*$X$1</f>
        <v>520</v>
      </c>
      <c r="P576" s="492">
        <v>480</v>
      </c>
      <c r="Q576" s="294">
        <f t="shared" ref="Q576" si="1437">+P576*$X$1</f>
        <v>480</v>
      </c>
      <c r="R576" s="492">
        <v>430</v>
      </c>
      <c r="S576" s="294">
        <f t="shared" ref="S576" si="1438">+R576*$X$1</f>
        <v>430</v>
      </c>
      <c r="T576" s="492">
        <v>390</v>
      </c>
      <c r="U576" s="294">
        <f t="shared" ref="U576" si="1439">+T576*$X$1</f>
        <v>390</v>
      </c>
      <c r="V576" s="492">
        <v>360</v>
      </c>
      <c r="W576" s="294">
        <f t="shared" ref="W576" si="1440">+V576*$X$1</f>
        <v>360</v>
      </c>
      <c r="X576" s="141"/>
      <c r="Y576" s="136"/>
      <c r="Z576" s="142"/>
      <c r="AA576" s="142"/>
      <c r="AB576" s="40"/>
    </row>
    <row r="577" spans="1:34" ht="12" customHeight="1" x14ac:dyDescent="0.2">
      <c r="A577" s="76"/>
      <c r="B577" s="109"/>
      <c r="C577" s="499"/>
      <c r="D577" s="499"/>
      <c r="E577" s="499"/>
      <c r="F577" s="345"/>
      <c r="G577" s="345"/>
      <c r="H577" s="118"/>
      <c r="I577" s="345"/>
      <c r="J577" s="118"/>
      <c r="K577" s="345"/>
      <c r="L577" s="118"/>
      <c r="M577" s="345"/>
      <c r="N577" s="118"/>
      <c r="O577" s="345"/>
      <c r="P577" s="118"/>
      <c r="Q577" s="345"/>
      <c r="R577" s="118"/>
      <c r="S577" s="345"/>
      <c r="T577" s="118"/>
      <c r="U577" s="345"/>
      <c r="V577" s="118"/>
      <c r="W577" s="345"/>
      <c r="X577" s="205"/>
      <c r="Y577" s="76"/>
      <c r="Z577" s="206"/>
      <c r="AA577" s="206"/>
      <c r="AB577" s="207"/>
    </row>
    <row r="578" spans="1:34" ht="14.25" customHeight="1" x14ac:dyDescent="0.2">
      <c r="B578" s="665" t="s">
        <v>845</v>
      </c>
      <c r="C578" s="666"/>
      <c r="D578" s="666"/>
      <c r="E578" s="666"/>
      <c r="F578" s="666"/>
      <c r="G578" s="666"/>
      <c r="H578" s="666"/>
      <c r="I578" s="666"/>
      <c r="J578" s="666"/>
      <c r="K578" s="666"/>
      <c r="L578" s="666"/>
      <c r="M578" s="666"/>
      <c r="N578" s="666"/>
      <c r="O578" s="666"/>
      <c r="P578" s="666"/>
      <c r="Q578" s="666"/>
      <c r="R578" s="666"/>
      <c r="S578" s="666"/>
      <c r="T578" s="666"/>
      <c r="U578" s="666"/>
      <c r="V578" s="666"/>
      <c r="W578" s="666"/>
      <c r="AB578" s="4"/>
      <c r="AF578" s="645"/>
      <c r="AG578" s="646"/>
      <c r="AH578" s="646"/>
    </row>
    <row r="579" spans="1:34" ht="12" customHeight="1" x14ac:dyDescent="0.2">
      <c r="B579" s="669" t="s">
        <v>11</v>
      </c>
      <c r="C579" s="669" t="s">
        <v>12</v>
      </c>
      <c r="D579" s="670"/>
      <c r="E579" s="670"/>
      <c r="F579" s="671" t="s">
        <v>291</v>
      </c>
      <c r="G579" s="671" t="s">
        <v>13</v>
      </c>
      <c r="H579" s="673" t="s">
        <v>837</v>
      </c>
      <c r="I579" s="673"/>
      <c r="J579" s="674"/>
      <c r="K579" s="674"/>
      <c r="L579" s="674"/>
      <c r="M579" s="674"/>
      <c r="N579" s="674"/>
      <c r="O579" s="674"/>
      <c r="P579" s="674"/>
      <c r="Q579" s="674"/>
      <c r="R579" s="674"/>
      <c r="S579" s="674"/>
      <c r="T579" s="674"/>
      <c r="U579" s="674"/>
      <c r="V579" s="674"/>
      <c r="W579" s="674"/>
      <c r="X579" s="657" t="s">
        <v>14</v>
      </c>
      <c r="Y579" s="658"/>
      <c r="Z579" s="658"/>
      <c r="AA579" s="658"/>
      <c r="AB579" s="663" t="s">
        <v>15</v>
      </c>
      <c r="AF579" s="645"/>
      <c r="AG579" s="646"/>
      <c r="AH579" s="646"/>
    </row>
    <row r="580" spans="1:34" ht="11.25" customHeight="1" x14ac:dyDescent="0.2">
      <c r="B580" s="670"/>
      <c r="C580" s="670"/>
      <c r="D580" s="670"/>
      <c r="E580" s="670"/>
      <c r="F580" s="672"/>
      <c r="G580" s="672"/>
      <c r="H580" s="510"/>
      <c r="I580" s="509" t="s">
        <v>292</v>
      </c>
      <c r="J580" s="510"/>
      <c r="K580" s="509" t="s">
        <v>293</v>
      </c>
      <c r="L580" s="510"/>
      <c r="M580" s="509" t="s">
        <v>581</v>
      </c>
      <c r="N580" s="510"/>
      <c r="O580" s="509" t="s">
        <v>17</v>
      </c>
      <c r="P580" s="510"/>
      <c r="Q580" s="509" t="s">
        <v>18</v>
      </c>
      <c r="R580" s="510"/>
      <c r="S580" s="509" t="s">
        <v>19</v>
      </c>
      <c r="T580" s="510"/>
      <c r="U580" s="509" t="s">
        <v>295</v>
      </c>
      <c r="V580" s="510"/>
      <c r="W580" s="509" t="s">
        <v>20</v>
      </c>
      <c r="X580" s="660"/>
      <c r="Y580" s="661"/>
      <c r="Z580" s="661"/>
      <c r="AA580" s="661"/>
      <c r="AB580" s="664"/>
    </row>
    <row r="581" spans="1:34" ht="12.6" customHeight="1" x14ac:dyDescent="0.2">
      <c r="A581" s="18"/>
      <c r="B581" s="727" t="s">
        <v>560</v>
      </c>
      <c r="C581" s="728"/>
      <c r="D581" s="728"/>
      <c r="E581" s="729"/>
      <c r="F581" s="328">
        <v>3200</v>
      </c>
      <c r="G581" s="313"/>
      <c r="H581" s="103"/>
      <c r="I581" s="328"/>
      <c r="J581" s="492">
        <f>F581+500</f>
        <v>3700</v>
      </c>
      <c r="K581" s="294">
        <f t="shared" ref="K581" si="1441">+J581*$X$1</f>
        <v>3700</v>
      </c>
      <c r="L581" s="492">
        <f t="shared" ref="L581:L592" si="1442">F581+450</f>
        <v>3650</v>
      </c>
      <c r="M581" s="294">
        <f t="shared" ref="M581" si="1443">+L581*$X$1</f>
        <v>3650</v>
      </c>
      <c r="N581" s="492">
        <f t="shared" ref="N581:N592" si="1444">F581+400</f>
        <v>3600</v>
      </c>
      <c r="O581" s="294">
        <f t="shared" ref="O581" si="1445">+N581*$X$1</f>
        <v>3600</v>
      </c>
      <c r="P581" s="492">
        <f t="shared" ref="P581:P592" si="1446">F581+350</f>
        <v>3550</v>
      </c>
      <c r="Q581" s="294">
        <f t="shared" ref="Q581" si="1447">+P581*$X$1</f>
        <v>3550</v>
      </c>
      <c r="R581" s="492">
        <f t="shared" ref="R581:R592" si="1448">F581+310</f>
        <v>3510</v>
      </c>
      <c r="S581" s="294">
        <f t="shared" ref="S581" si="1449">+R581*$X$1</f>
        <v>3510</v>
      </c>
      <c r="T581" s="492">
        <f t="shared" ref="T581:T592" si="1450">F581+280</f>
        <v>3480</v>
      </c>
      <c r="U581" s="294">
        <f t="shared" ref="U581" si="1451">+T581*$X$1</f>
        <v>3480</v>
      </c>
      <c r="V581" s="492">
        <f t="shared" ref="V581:V592" si="1452">F581+250</f>
        <v>3450</v>
      </c>
      <c r="W581" s="294">
        <f t="shared" ref="W581" si="1453">+V581*$X$1</f>
        <v>3450</v>
      </c>
      <c r="X581" s="147"/>
      <c r="Y581" s="148"/>
      <c r="Z581" s="148"/>
      <c r="AA581" s="148"/>
      <c r="AB581" s="434" t="s">
        <v>811</v>
      </c>
    </row>
    <row r="582" spans="1:34" ht="12.6" customHeight="1" x14ac:dyDescent="0.2">
      <c r="A582" s="18"/>
      <c r="B582" s="693" t="s">
        <v>407</v>
      </c>
      <c r="C582" s="714"/>
      <c r="D582" s="714"/>
      <c r="E582" s="715"/>
      <c r="F582" s="293">
        <v>1325</v>
      </c>
      <c r="G582" s="260"/>
      <c r="H582" s="596"/>
      <c r="I582" s="293"/>
      <c r="J582" s="621"/>
      <c r="K582" s="293"/>
      <c r="L582" s="621">
        <f t="shared" si="1442"/>
        <v>1775</v>
      </c>
      <c r="M582" s="293">
        <f t="shared" ref="M582" si="1454">+L582*$X$1</f>
        <v>1775</v>
      </c>
      <c r="N582" s="621">
        <f t="shared" si="1444"/>
        <v>1725</v>
      </c>
      <c r="O582" s="293">
        <f t="shared" ref="O582" si="1455">+N582*$X$1</f>
        <v>1725</v>
      </c>
      <c r="P582" s="621">
        <f t="shared" si="1446"/>
        <v>1675</v>
      </c>
      <c r="Q582" s="293">
        <f t="shared" ref="Q582" si="1456">+P582*$X$1</f>
        <v>1675</v>
      </c>
      <c r="R582" s="621">
        <f t="shared" si="1448"/>
        <v>1635</v>
      </c>
      <c r="S582" s="293">
        <f t="shared" ref="S582" si="1457">+R582*$X$1</f>
        <v>1635</v>
      </c>
      <c r="T582" s="621">
        <f t="shared" si="1450"/>
        <v>1605</v>
      </c>
      <c r="U582" s="293">
        <f t="shared" ref="U582" si="1458">+T582*$X$1</f>
        <v>1605</v>
      </c>
      <c r="V582" s="621">
        <f t="shared" si="1452"/>
        <v>1575</v>
      </c>
      <c r="W582" s="293">
        <f t="shared" ref="W582" si="1459">+V582*$X$1</f>
        <v>1575</v>
      </c>
      <c r="X582" s="147"/>
      <c r="Y582" s="148"/>
      <c r="Z582" s="148"/>
      <c r="AA582" s="148"/>
      <c r="AB582" s="32"/>
    </row>
    <row r="583" spans="1:34" ht="12.6" customHeight="1" x14ac:dyDescent="0.2">
      <c r="A583" s="18"/>
      <c r="B583" s="690" t="s">
        <v>458</v>
      </c>
      <c r="C583" s="698"/>
      <c r="D583" s="698"/>
      <c r="E583" s="699"/>
      <c r="F583" s="328">
        <v>3160</v>
      </c>
      <c r="G583" s="313"/>
      <c r="H583" s="492">
        <f>F583+1000</f>
        <v>4160</v>
      </c>
      <c r="I583" s="294">
        <f t="shared" ref="I583" si="1460">+H583*$X$1</f>
        <v>4160</v>
      </c>
      <c r="J583" s="492">
        <f t="shared" ref="J583:J592" si="1461">F583+500</f>
        <v>3660</v>
      </c>
      <c r="K583" s="294">
        <f t="shared" ref="K583:K592" si="1462">+J583*$X$1</f>
        <v>3660</v>
      </c>
      <c r="L583" s="492">
        <f t="shared" si="1442"/>
        <v>3610</v>
      </c>
      <c r="M583" s="294">
        <f t="shared" ref="M583:M592" si="1463">+L583*$X$1</f>
        <v>3610</v>
      </c>
      <c r="N583" s="492">
        <f t="shared" si="1444"/>
        <v>3560</v>
      </c>
      <c r="O583" s="294">
        <f t="shared" ref="O583:O592" si="1464">+N583*$X$1</f>
        <v>3560</v>
      </c>
      <c r="P583" s="492">
        <f t="shared" si="1446"/>
        <v>3510</v>
      </c>
      <c r="Q583" s="294">
        <f t="shared" ref="Q583:Q592" si="1465">+P583*$X$1</f>
        <v>3510</v>
      </c>
      <c r="R583" s="492">
        <f t="shared" si="1448"/>
        <v>3470</v>
      </c>
      <c r="S583" s="294">
        <f t="shared" ref="S583:S592" si="1466">+R583*$X$1</f>
        <v>3470</v>
      </c>
      <c r="T583" s="492">
        <f t="shared" si="1450"/>
        <v>3440</v>
      </c>
      <c r="U583" s="294">
        <f t="shared" ref="U583:U592" si="1467">+T583*$X$1</f>
        <v>3440</v>
      </c>
      <c r="V583" s="492">
        <f t="shared" si="1452"/>
        <v>3410</v>
      </c>
      <c r="W583" s="294">
        <f t="shared" ref="W583:W592" si="1468">+V583*$X$1</f>
        <v>3410</v>
      </c>
      <c r="X583" s="147"/>
      <c r="Y583" s="148"/>
      <c r="Z583" s="148"/>
      <c r="AA583" s="148"/>
      <c r="AB583" s="420" t="s">
        <v>812</v>
      </c>
    </row>
    <row r="584" spans="1:34" ht="12.6" customHeight="1" x14ac:dyDescent="0.2">
      <c r="A584" s="18"/>
      <c r="B584" s="693" t="s">
        <v>296</v>
      </c>
      <c r="C584" s="696"/>
      <c r="D584" s="696"/>
      <c r="E584" s="697"/>
      <c r="F584" s="314">
        <v>6050</v>
      </c>
      <c r="G584" s="260"/>
      <c r="H584" s="621">
        <f t="shared" ref="H584:H589" si="1469">F584+1000</f>
        <v>7050</v>
      </c>
      <c r="I584" s="293">
        <f t="shared" ref="I584:I589" si="1470">+H584*$X$1</f>
        <v>7050</v>
      </c>
      <c r="J584" s="621">
        <f t="shared" si="1461"/>
        <v>6550</v>
      </c>
      <c r="K584" s="293">
        <f t="shared" si="1462"/>
        <v>6550</v>
      </c>
      <c r="L584" s="621">
        <f t="shared" si="1442"/>
        <v>6500</v>
      </c>
      <c r="M584" s="293">
        <f t="shared" si="1463"/>
        <v>6500</v>
      </c>
      <c r="N584" s="621">
        <f t="shared" si="1444"/>
        <v>6450</v>
      </c>
      <c r="O584" s="293">
        <f t="shared" si="1464"/>
        <v>6450</v>
      </c>
      <c r="P584" s="621">
        <f t="shared" si="1446"/>
        <v>6400</v>
      </c>
      <c r="Q584" s="293">
        <f t="shared" si="1465"/>
        <v>6400</v>
      </c>
      <c r="R584" s="621">
        <f t="shared" si="1448"/>
        <v>6360</v>
      </c>
      <c r="S584" s="293">
        <f t="shared" si="1466"/>
        <v>6360</v>
      </c>
      <c r="T584" s="621">
        <f t="shared" si="1450"/>
        <v>6330</v>
      </c>
      <c r="U584" s="293">
        <f t="shared" si="1467"/>
        <v>6330</v>
      </c>
      <c r="V584" s="621">
        <f t="shared" si="1452"/>
        <v>6300</v>
      </c>
      <c r="W584" s="293">
        <f t="shared" si="1468"/>
        <v>6300</v>
      </c>
      <c r="X584" s="147"/>
      <c r="Y584" s="148"/>
      <c r="Z584" s="148"/>
      <c r="AA584" s="148"/>
      <c r="AB584" s="420" t="s">
        <v>813</v>
      </c>
    </row>
    <row r="585" spans="1:34" ht="12.6" customHeight="1" x14ac:dyDescent="0.2">
      <c r="A585" s="18"/>
      <c r="B585" s="984" t="s">
        <v>297</v>
      </c>
      <c r="C585" s="985"/>
      <c r="D585" s="985"/>
      <c r="E585" s="986"/>
      <c r="F585" s="419">
        <v>2835</v>
      </c>
      <c r="G585" s="313"/>
      <c r="H585" s="492">
        <f t="shared" si="1469"/>
        <v>3835</v>
      </c>
      <c r="I585" s="294">
        <f t="shared" si="1470"/>
        <v>3835</v>
      </c>
      <c r="J585" s="492">
        <f t="shared" si="1461"/>
        <v>3335</v>
      </c>
      <c r="K585" s="294">
        <f t="shared" si="1462"/>
        <v>3335</v>
      </c>
      <c r="L585" s="492">
        <f t="shared" si="1442"/>
        <v>3285</v>
      </c>
      <c r="M585" s="294">
        <f t="shared" si="1463"/>
        <v>3285</v>
      </c>
      <c r="N585" s="492">
        <f t="shared" si="1444"/>
        <v>3235</v>
      </c>
      <c r="O585" s="294">
        <f t="shared" si="1464"/>
        <v>3235</v>
      </c>
      <c r="P585" s="492">
        <f t="shared" si="1446"/>
        <v>3185</v>
      </c>
      <c r="Q585" s="294">
        <f t="shared" si="1465"/>
        <v>3185</v>
      </c>
      <c r="R585" s="492">
        <f t="shared" si="1448"/>
        <v>3145</v>
      </c>
      <c r="S585" s="294">
        <f t="shared" si="1466"/>
        <v>3145</v>
      </c>
      <c r="T585" s="492">
        <f t="shared" si="1450"/>
        <v>3115</v>
      </c>
      <c r="U585" s="294">
        <f t="shared" si="1467"/>
        <v>3115</v>
      </c>
      <c r="V585" s="492">
        <f t="shared" si="1452"/>
        <v>3085</v>
      </c>
      <c r="W585" s="294">
        <f t="shared" si="1468"/>
        <v>3085</v>
      </c>
      <c r="X585" s="147"/>
      <c r="Y585" s="148"/>
      <c r="Z585" s="148"/>
      <c r="AA585" s="148"/>
      <c r="AB585" s="420" t="s">
        <v>907</v>
      </c>
    </row>
    <row r="586" spans="1:34" ht="12.6" customHeight="1" x14ac:dyDescent="0.2">
      <c r="A586" s="18"/>
      <c r="B586" s="979" t="s">
        <v>298</v>
      </c>
      <c r="C586" s="981"/>
      <c r="D586" s="981"/>
      <c r="E586" s="981"/>
      <c r="F586" s="293">
        <v>2580</v>
      </c>
      <c r="G586" s="260"/>
      <c r="H586" s="621">
        <f t="shared" si="1469"/>
        <v>3580</v>
      </c>
      <c r="I586" s="293">
        <f t="shared" si="1470"/>
        <v>3580</v>
      </c>
      <c r="J586" s="621">
        <f t="shared" si="1461"/>
        <v>3080</v>
      </c>
      <c r="K586" s="293">
        <f t="shared" si="1462"/>
        <v>3080</v>
      </c>
      <c r="L586" s="621">
        <f t="shared" si="1442"/>
        <v>3030</v>
      </c>
      <c r="M586" s="293">
        <f t="shared" si="1463"/>
        <v>3030</v>
      </c>
      <c r="N586" s="621">
        <f t="shared" si="1444"/>
        <v>2980</v>
      </c>
      <c r="O586" s="293">
        <f t="shared" si="1464"/>
        <v>2980</v>
      </c>
      <c r="P586" s="621">
        <f t="shared" si="1446"/>
        <v>2930</v>
      </c>
      <c r="Q586" s="293">
        <f t="shared" si="1465"/>
        <v>2930</v>
      </c>
      <c r="R586" s="621">
        <f t="shared" si="1448"/>
        <v>2890</v>
      </c>
      <c r="S586" s="293">
        <f t="shared" si="1466"/>
        <v>2890</v>
      </c>
      <c r="T586" s="621">
        <f t="shared" si="1450"/>
        <v>2860</v>
      </c>
      <c r="U586" s="293">
        <f t="shared" si="1467"/>
        <v>2860</v>
      </c>
      <c r="V586" s="621">
        <f t="shared" si="1452"/>
        <v>2830</v>
      </c>
      <c r="W586" s="293">
        <f t="shared" si="1468"/>
        <v>2830</v>
      </c>
      <c r="X586" s="147"/>
      <c r="Y586" s="148"/>
      <c r="Z586" s="148"/>
      <c r="AA586" s="148"/>
      <c r="AB586" s="420" t="s">
        <v>815</v>
      </c>
    </row>
    <row r="587" spans="1:34" ht="12.6" customHeight="1" x14ac:dyDescent="0.2">
      <c r="A587" s="18"/>
      <c r="B587" s="1111" t="s">
        <v>530</v>
      </c>
      <c r="C587" s="1112"/>
      <c r="D587" s="1112"/>
      <c r="E587" s="1113"/>
      <c r="F587" s="328">
        <v>4570</v>
      </c>
      <c r="G587" s="313"/>
      <c r="H587" s="492">
        <f t="shared" si="1469"/>
        <v>5570</v>
      </c>
      <c r="I587" s="294">
        <f t="shared" si="1470"/>
        <v>5570</v>
      </c>
      <c r="J587" s="492">
        <f t="shared" si="1461"/>
        <v>5070</v>
      </c>
      <c r="K587" s="294">
        <f t="shared" si="1462"/>
        <v>5070</v>
      </c>
      <c r="L587" s="492">
        <f t="shared" si="1442"/>
        <v>5020</v>
      </c>
      <c r="M587" s="294">
        <f t="shared" si="1463"/>
        <v>5020</v>
      </c>
      <c r="N587" s="492">
        <f t="shared" si="1444"/>
        <v>4970</v>
      </c>
      <c r="O587" s="294">
        <f t="shared" si="1464"/>
        <v>4970</v>
      </c>
      <c r="P587" s="492">
        <f t="shared" si="1446"/>
        <v>4920</v>
      </c>
      <c r="Q587" s="294">
        <f t="shared" si="1465"/>
        <v>4920</v>
      </c>
      <c r="R587" s="492">
        <f t="shared" si="1448"/>
        <v>4880</v>
      </c>
      <c r="S587" s="294">
        <f t="shared" si="1466"/>
        <v>4880</v>
      </c>
      <c r="T587" s="492">
        <f t="shared" si="1450"/>
        <v>4850</v>
      </c>
      <c r="U587" s="294">
        <f t="shared" si="1467"/>
        <v>4850</v>
      </c>
      <c r="V587" s="492">
        <f t="shared" si="1452"/>
        <v>4820</v>
      </c>
      <c r="W587" s="294">
        <f t="shared" si="1468"/>
        <v>4820</v>
      </c>
      <c r="X587" s="147"/>
      <c r="Y587" s="148"/>
      <c r="Z587" s="148"/>
      <c r="AA587" s="148"/>
      <c r="AB587" s="420" t="s">
        <v>814</v>
      </c>
    </row>
    <row r="588" spans="1:34" ht="12.6" customHeight="1" x14ac:dyDescent="0.2">
      <c r="A588" s="18"/>
      <c r="B588" s="719" t="s">
        <v>796</v>
      </c>
      <c r="C588" s="720"/>
      <c r="D588" s="720"/>
      <c r="E588" s="721"/>
      <c r="F588" s="314">
        <v>7460</v>
      </c>
      <c r="G588" s="260"/>
      <c r="H588" s="621">
        <f t="shared" si="1469"/>
        <v>8460</v>
      </c>
      <c r="I588" s="293">
        <f t="shared" si="1470"/>
        <v>8460</v>
      </c>
      <c r="J588" s="621">
        <f t="shared" si="1461"/>
        <v>7960</v>
      </c>
      <c r="K588" s="293">
        <f t="shared" si="1462"/>
        <v>7960</v>
      </c>
      <c r="L588" s="621">
        <f t="shared" si="1442"/>
        <v>7910</v>
      </c>
      <c r="M588" s="293">
        <f t="shared" si="1463"/>
        <v>7910</v>
      </c>
      <c r="N588" s="621">
        <f t="shared" si="1444"/>
        <v>7860</v>
      </c>
      <c r="O588" s="293">
        <f t="shared" si="1464"/>
        <v>7860</v>
      </c>
      <c r="P588" s="621">
        <f t="shared" si="1446"/>
        <v>7810</v>
      </c>
      <c r="Q588" s="293">
        <f t="shared" si="1465"/>
        <v>7810</v>
      </c>
      <c r="R588" s="621">
        <f t="shared" si="1448"/>
        <v>7770</v>
      </c>
      <c r="S588" s="293">
        <f t="shared" si="1466"/>
        <v>7770</v>
      </c>
      <c r="T588" s="621">
        <f t="shared" si="1450"/>
        <v>7740</v>
      </c>
      <c r="U588" s="293">
        <f t="shared" si="1467"/>
        <v>7740</v>
      </c>
      <c r="V588" s="621">
        <f t="shared" si="1452"/>
        <v>7710</v>
      </c>
      <c r="W588" s="293">
        <f t="shared" si="1468"/>
        <v>7710</v>
      </c>
      <c r="X588" s="147"/>
      <c r="Y588" s="148"/>
      <c r="Z588" s="148"/>
      <c r="AA588" s="148"/>
      <c r="AB588" s="32"/>
    </row>
    <row r="589" spans="1:34" ht="12.6" customHeight="1" x14ac:dyDescent="0.2">
      <c r="A589" s="18"/>
      <c r="B589" s="690" t="s">
        <v>517</v>
      </c>
      <c r="C589" s="698"/>
      <c r="D589" s="698"/>
      <c r="E589" s="699"/>
      <c r="F589" s="328">
        <v>7102</v>
      </c>
      <c r="G589" s="313"/>
      <c r="H589" s="492">
        <f t="shared" si="1469"/>
        <v>8102</v>
      </c>
      <c r="I589" s="294">
        <f t="shared" si="1470"/>
        <v>8102</v>
      </c>
      <c r="J589" s="492">
        <f t="shared" si="1461"/>
        <v>7602</v>
      </c>
      <c r="K589" s="294">
        <f t="shared" si="1462"/>
        <v>7602</v>
      </c>
      <c r="L589" s="492">
        <f t="shared" si="1442"/>
        <v>7552</v>
      </c>
      <c r="M589" s="294">
        <f t="shared" si="1463"/>
        <v>7552</v>
      </c>
      <c r="N589" s="492">
        <f t="shared" si="1444"/>
        <v>7502</v>
      </c>
      <c r="O589" s="294">
        <f t="shared" si="1464"/>
        <v>7502</v>
      </c>
      <c r="P589" s="492">
        <f t="shared" si="1446"/>
        <v>7452</v>
      </c>
      <c r="Q589" s="294">
        <f t="shared" si="1465"/>
        <v>7452</v>
      </c>
      <c r="R589" s="492">
        <f t="shared" si="1448"/>
        <v>7412</v>
      </c>
      <c r="S589" s="294">
        <f t="shared" si="1466"/>
        <v>7412</v>
      </c>
      <c r="T589" s="492">
        <f t="shared" si="1450"/>
        <v>7382</v>
      </c>
      <c r="U589" s="294">
        <f t="shared" si="1467"/>
        <v>7382</v>
      </c>
      <c r="V589" s="492">
        <f t="shared" si="1452"/>
        <v>7352</v>
      </c>
      <c r="W589" s="294">
        <f t="shared" si="1468"/>
        <v>7352</v>
      </c>
      <c r="X589" s="147"/>
      <c r="Y589" s="148"/>
      <c r="Z589" s="148"/>
      <c r="AA589" s="148"/>
      <c r="AB589" s="32"/>
    </row>
    <row r="590" spans="1:34" ht="12.6" customHeight="1" x14ac:dyDescent="0.2">
      <c r="A590" s="4"/>
      <c r="B590" s="733" t="s">
        <v>464</v>
      </c>
      <c r="C590" s="696"/>
      <c r="D590" s="696"/>
      <c r="E590" s="697"/>
      <c r="F590" s="293">
        <v>1800</v>
      </c>
      <c r="G590" s="260"/>
      <c r="H590" s="596"/>
      <c r="I590" s="293"/>
      <c r="J590" s="621">
        <f t="shared" si="1461"/>
        <v>2300</v>
      </c>
      <c r="K590" s="293">
        <f t="shared" si="1462"/>
        <v>2300</v>
      </c>
      <c r="L590" s="621">
        <f t="shared" si="1442"/>
        <v>2250</v>
      </c>
      <c r="M590" s="293">
        <f t="shared" si="1463"/>
        <v>2250</v>
      </c>
      <c r="N590" s="621">
        <f t="shared" si="1444"/>
        <v>2200</v>
      </c>
      <c r="O590" s="293">
        <f t="shared" si="1464"/>
        <v>2200</v>
      </c>
      <c r="P590" s="621">
        <f t="shared" si="1446"/>
        <v>2150</v>
      </c>
      <c r="Q590" s="293">
        <f t="shared" si="1465"/>
        <v>2150</v>
      </c>
      <c r="R590" s="621">
        <f t="shared" si="1448"/>
        <v>2110</v>
      </c>
      <c r="S590" s="293">
        <f t="shared" si="1466"/>
        <v>2110</v>
      </c>
      <c r="T590" s="621">
        <f t="shared" si="1450"/>
        <v>2080</v>
      </c>
      <c r="U590" s="293">
        <f t="shared" si="1467"/>
        <v>2080</v>
      </c>
      <c r="V590" s="621">
        <f t="shared" si="1452"/>
        <v>2050</v>
      </c>
      <c r="W590" s="293">
        <f t="shared" si="1468"/>
        <v>2050</v>
      </c>
      <c r="X590" s="147"/>
      <c r="Y590" s="132"/>
      <c r="Z590" s="149"/>
      <c r="AA590" s="149"/>
      <c r="AB590" s="420" t="s">
        <v>463</v>
      </c>
    </row>
    <row r="591" spans="1:34" ht="12.6" customHeight="1" x14ac:dyDescent="0.2">
      <c r="A591" s="4"/>
      <c r="B591" s="736" t="s">
        <v>462</v>
      </c>
      <c r="C591" s="698"/>
      <c r="D591" s="698"/>
      <c r="E591" s="699"/>
      <c r="F591" s="294">
        <v>1800</v>
      </c>
      <c r="G591" s="313"/>
      <c r="H591" s="492"/>
      <c r="I591" s="294"/>
      <c r="J591" s="492">
        <f t="shared" si="1461"/>
        <v>2300</v>
      </c>
      <c r="K591" s="294">
        <f t="shared" si="1462"/>
        <v>2300</v>
      </c>
      <c r="L591" s="492">
        <f t="shared" si="1442"/>
        <v>2250</v>
      </c>
      <c r="M591" s="294">
        <f t="shared" si="1463"/>
        <v>2250</v>
      </c>
      <c r="N591" s="492">
        <f t="shared" si="1444"/>
        <v>2200</v>
      </c>
      <c r="O591" s="294">
        <f t="shared" si="1464"/>
        <v>2200</v>
      </c>
      <c r="P591" s="492">
        <f t="shared" si="1446"/>
        <v>2150</v>
      </c>
      <c r="Q591" s="294">
        <f t="shared" si="1465"/>
        <v>2150</v>
      </c>
      <c r="R591" s="492">
        <f t="shared" si="1448"/>
        <v>2110</v>
      </c>
      <c r="S591" s="294">
        <f t="shared" si="1466"/>
        <v>2110</v>
      </c>
      <c r="T591" s="492">
        <f t="shared" si="1450"/>
        <v>2080</v>
      </c>
      <c r="U591" s="294">
        <f t="shared" si="1467"/>
        <v>2080</v>
      </c>
      <c r="V591" s="492">
        <f t="shared" si="1452"/>
        <v>2050</v>
      </c>
      <c r="W591" s="294">
        <f t="shared" si="1468"/>
        <v>2050</v>
      </c>
      <c r="X591" s="147"/>
      <c r="Y591" s="132"/>
      <c r="Z591" s="149"/>
      <c r="AA591" s="149"/>
      <c r="AB591" s="420" t="s">
        <v>459</v>
      </c>
    </row>
    <row r="592" spans="1:34" ht="12.6" customHeight="1" x14ac:dyDescent="0.2">
      <c r="A592" s="4"/>
      <c r="B592" s="733" t="s">
        <v>460</v>
      </c>
      <c r="C592" s="696"/>
      <c r="D592" s="696"/>
      <c r="E592" s="697"/>
      <c r="F592" s="293">
        <v>2700</v>
      </c>
      <c r="G592" s="260"/>
      <c r="H592" s="596"/>
      <c r="I592" s="293"/>
      <c r="J592" s="621">
        <f t="shared" si="1461"/>
        <v>3200</v>
      </c>
      <c r="K592" s="293">
        <f t="shared" si="1462"/>
        <v>3200</v>
      </c>
      <c r="L592" s="621">
        <f t="shared" si="1442"/>
        <v>3150</v>
      </c>
      <c r="M592" s="293">
        <f t="shared" si="1463"/>
        <v>3150</v>
      </c>
      <c r="N592" s="621">
        <f t="shared" si="1444"/>
        <v>3100</v>
      </c>
      <c r="O592" s="293">
        <f t="shared" si="1464"/>
        <v>3100</v>
      </c>
      <c r="P592" s="621">
        <f t="shared" si="1446"/>
        <v>3050</v>
      </c>
      <c r="Q592" s="293">
        <f t="shared" si="1465"/>
        <v>3050</v>
      </c>
      <c r="R592" s="621">
        <f t="shared" si="1448"/>
        <v>3010</v>
      </c>
      <c r="S592" s="293">
        <f t="shared" si="1466"/>
        <v>3010</v>
      </c>
      <c r="T592" s="621">
        <f t="shared" si="1450"/>
        <v>2980</v>
      </c>
      <c r="U592" s="293">
        <f t="shared" si="1467"/>
        <v>2980</v>
      </c>
      <c r="V592" s="621">
        <f t="shared" si="1452"/>
        <v>2950</v>
      </c>
      <c r="W592" s="293">
        <f t="shared" si="1468"/>
        <v>2950</v>
      </c>
      <c r="X592" s="147"/>
      <c r="Y592" s="132"/>
      <c r="Z592" s="149"/>
      <c r="AA592" s="149"/>
      <c r="AB592" s="420" t="s">
        <v>461</v>
      </c>
    </row>
    <row r="593" spans="1:34" ht="12.6" customHeight="1" x14ac:dyDescent="0.2">
      <c r="A593" s="4"/>
      <c r="B593" s="736" t="s">
        <v>299</v>
      </c>
      <c r="C593" s="698"/>
      <c r="D593" s="698"/>
      <c r="E593" s="699"/>
      <c r="F593" s="329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147"/>
      <c r="Y593" s="132"/>
      <c r="Z593" s="149"/>
      <c r="AA593" s="149"/>
      <c r="AB593" s="420" t="s">
        <v>300</v>
      </c>
    </row>
    <row r="594" spans="1:34" ht="12.6" customHeight="1" x14ac:dyDescent="0.2">
      <c r="A594" s="4"/>
      <c r="B594" s="733" t="s">
        <v>301</v>
      </c>
      <c r="C594" s="696"/>
      <c r="D594" s="696"/>
      <c r="E594" s="697"/>
      <c r="F594" s="239"/>
      <c r="G594" s="97"/>
      <c r="H594" s="239"/>
      <c r="I594" s="239"/>
      <c r="J594" s="239"/>
      <c r="K594" s="239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147"/>
      <c r="Y594" s="132"/>
      <c r="Z594" s="149"/>
      <c r="AA594" s="149"/>
      <c r="AB594" s="420"/>
    </row>
    <row r="595" spans="1:34" ht="12.6" customHeight="1" x14ac:dyDescent="0.2">
      <c r="A595" s="4"/>
      <c r="B595" s="774" t="s">
        <v>302</v>
      </c>
      <c r="C595" s="705"/>
      <c r="D595" s="705"/>
      <c r="E595" s="705"/>
      <c r="F595" s="94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147"/>
      <c r="Y595" s="132"/>
      <c r="Z595" s="149"/>
      <c r="AA595" s="149"/>
      <c r="AB595" s="420">
        <v>730</v>
      </c>
    </row>
    <row r="596" spans="1:34" ht="12.6" customHeight="1" x14ac:dyDescent="0.2">
      <c r="A596" s="4"/>
      <c r="B596" s="689" t="s">
        <v>303</v>
      </c>
      <c r="C596" s="712"/>
      <c r="D596" s="712"/>
      <c r="E596" s="712"/>
      <c r="F596" s="239"/>
      <c r="G596" s="97"/>
      <c r="H596" s="239"/>
      <c r="I596" s="239"/>
      <c r="J596" s="239"/>
      <c r="K596" s="239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147"/>
      <c r="Y596" s="132"/>
      <c r="Z596" s="149"/>
      <c r="AA596" s="149"/>
      <c r="AB596" s="420">
        <v>731</v>
      </c>
    </row>
    <row r="597" spans="1:34" ht="12.6" customHeight="1" x14ac:dyDescent="0.2">
      <c r="A597" s="4"/>
      <c r="B597" s="774" t="s">
        <v>409</v>
      </c>
      <c r="C597" s="705"/>
      <c r="D597" s="705"/>
      <c r="E597" s="705"/>
      <c r="F597" s="94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141"/>
      <c r="Y597" s="136"/>
      <c r="Z597" s="142"/>
      <c r="AA597" s="143"/>
      <c r="AB597" s="420">
        <v>735</v>
      </c>
    </row>
    <row r="598" spans="1:34" ht="12.6" customHeight="1" x14ac:dyDescent="0.2">
      <c r="A598" s="4"/>
      <c r="B598" s="689" t="s">
        <v>408</v>
      </c>
      <c r="C598" s="712"/>
      <c r="D598" s="712"/>
      <c r="E598" s="712"/>
      <c r="F598" s="239"/>
      <c r="G598" s="97"/>
      <c r="H598" s="239"/>
      <c r="I598" s="239"/>
      <c r="J598" s="239"/>
      <c r="K598" s="239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141"/>
      <c r="Y598" s="136"/>
      <c r="Z598" s="142"/>
      <c r="AA598" s="143"/>
      <c r="AB598" s="420">
        <v>736</v>
      </c>
    </row>
    <row r="599" spans="1:34" ht="12.6" customHeight="1" x14ac:dyDescent="0.2">
      <c r="A599" s="4"/>
      <c r="B599" s="774" t="s">
        <v>304</v>
      </c>
      <c r="C599" s="751"/>
      <c r="D599" s="751"/>
      <c r="E599" s="751"/>
      <c r="F599" s="101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141"/>
      <c r="Y599" s="136"/>
      <c r="Z599" s="142"/>
      <c r="AA599" s="143"/>
      <c r="AB599" s="420">
        <v>986</v>
      </c>
    </row>
    <row r="600" spans="1:34" ht="12.6" customHeight="1" x14ac:dyDescent="0.2">
      <c r="A600" s="4"/>
      <c r="B600" s="689" t="s">
        <v>425</v>
      </c>
      <c r="C600" s="684"/>
      <c r="D600" s="684"/>
      <c r="E600" s="684"/>
      <c r="F600" s="239"/>
      <c r="G600" s="97"/>
      <c r="H600" s="239"/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141"/>
      <c r="Y600" s="136"/>
      <c r="Z600" s="142"/>
      <c r="AA600" s="143"/>
      <c r="AB600" s="420"/>
    </row>
    <row r="601" spans="1:34" ht="12.6" customHeight="1" x14ac:dyDescent="0.2">
      <c r="A601" s="4"/>
      <c r="B601" s="774" t="s">
        <v>372</v>
      </c>
      <c r="C601" s="751"/>
      <c r="D601" s="751"/>
      <c r="E601" s="751"/>
      <c r="F601" s="101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141"/>
      <c r="Y601" s="136"/>
      <c r="Z601" s="142"/>
      <c r="AA601" s="143"/>
      <c r="AB601" s="420">
        <v>987</v>
      </c>
    </row>
    <row r="602" spans="1:34" ht="12.6" customHeight="1" x14ac:dyDescent="0.2">
      <c r="A602" s="4"/>
      <c r="B602" s="689" t="s">
        <v>426</v>
      </c>
      <c r="C602" s="684"/>
      <c r="D602" s="684"/>
      <c r="E602" s="684"/>
      <c r="F602" s="239"/>
      <c r="G602" s="97"/>
      <c r="H602" s="239"/>
      <c r="I602" s="239"/>
      <c r="J602" s="239"/>
      <c r="K602" s="239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141"/>
      <c r="Y602" s="136"/>
      <c r="Z602" s="142"/>
      <c r="AA602" s="143"/>
      <c r="AB602" s="420"/>
    </row>
    <row r="603" spans="1:34" ht="12.6" customHeight="1" x14ac:dyDescent="0.2">
      <c r="A603" s="4"/>
      <c r="B603" s="774" t="s">
        <v>305</v>
      </c>
      <c r="C603" s="705"/>
      <c r="D603" s="705"/>
      <c r="E603" s="705"/>
      <c r="F603" s="94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141"/>
      <c r="Y603" s="136"/>
      <c r="Z603" s="142"/>
      <c r="AA603" s="143"/>
      <c r="AB603" s="420">
        <v>989</v>
      </c>
    </row>
    <row r="604" spans="1:34" ht="12.6" customHeight="1" x14ac:dyDescent="0.2">
      <c r="A604" s="4"/>
      <c r="B604" s="689" t="s">
        <v>306</v>
      </c>
      <c r="C604" s="712"/>
      <c r="D604" s="712"/>
      <c r="E604" s="712"/>
      <c r="F604" s="239"/>
      <c r="G604" s="97"/>
      <c r="H604" s="239"/>
      <c r="I604" s="239"/>
      <c r="J604" s="239"/>
      <c r="K604" s="239"/>
      <c r="L604" s="239"/>
      <c r="M604" s="239"/>
      <c r="N604" s="239"/>
      <c r="O604" s="239"/>
      <c r="P604" s="239"/>
      <c r="Q604" s="239"/>
      <c r="R604" s="239"/>
      <c r="S604" s="239"/>
      <c r="T604" s="239"/>
      <c r="U604" s="239"/>
      <c r="V604" s="239"/>
      <c r="W604" s="239"/>
      <c r="X604" s="141"/>
      <c r="Y604" s="136"/>
      <c r="Z604" s="142"/>
      <c r="AA604" s="143"/>
      <c r="AB604" s="439" t="s">
        <v>307</v>
      </c>
    </row>
    <row r="605" spans="1:34" ht="12.6" customHeight="1" x14ac:dyDescent="0.2">
      <c r="A605" s="4"/>
      <c r="B605" s="774" t="s">
        <v>308</v>
      </c>
      <c r="C605" s="751"/>
      <c r="D605" s="751"/>
      <c r="E605" s="751"/>
      <c r="F605" s="94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144"/>
      <c r="Y605" s="134"/>
      <c r="Z605" s="145"/>
      <c r="AA605" s="146"/>
      <c r="AB605" s="32"/>
    </row>
    <row r="606" spans="1:34" ht="12.75" customHeight="1" x14ac:dyDescent="0.2">
      <c r="A606" s="76"/>
      <c r="B606" s="109"/>
      <c r="C606" s="204"/>
      <c r="D606" s="204"/>
      <c r="E606" s="204"/>
      <c r="F606" s="130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205"/>
      <c r="Y606" s="76"/>
      <c r="Z606" s="206"/>
      <c r="AA606" s="206"/>
      <c r="AB606" s="207"/>
    </row>
    <row r="607" spans="1:34" ht="13.5" customHeight="1" x14ac:dyDescent="0.2">
      <c r="B607" s="665" t="s">
        <v>309</v>
      </c>
      <c r="C607" s="666"/>
      <c r="D607" s="666"/>
      <c r="E607" s="666"/>
      <c r="F607" s="666"/>
      <c r="G607" s="666"/>
      <c r="H607" s="666"/>
      <c r="I607" s="666"/>
      <c r="J607" s="666"/>
      <c r="K607" s="666"/>
      <c r="L607" s="666"/>
      <c r="M607" s="666"/>
      <c r="N607" s="666"/>
      <c r="O607" s="666"/>
      <c r="P607" s="666"/>
      <c r="Q607" s="666"/>
      <c r="R607" s="666"/>
      <c r="S607" s="666"/>
      <c r="T607" s="667"/>
      <c r="U607" s="667"/>
      <c r="V607" s="668"/>
      <c r="W607" s="668"/>
      <c r="AB607" s="4"/>
    </row>
    <row r="608" spans="1:34" ht="12" customHeight="1" x14ac:dyDescent="0.2">
      <c r="B608" s="669" t="s">
        <v>11</v>
      </c>
      <c r="C608" s="669" t="s">
        <v>12</v>
      </c>
      <c r="D608" s="670"/>
      <c r="E608" s="670"/>
      <c r="F608" s="671" t="s">
        <v>291</v>
      </c>
      <c r="G608" s="671" t="s">
        <v>13</v>
      </c>
      <c r="H608" s="673" t="s">
        <v>836</v>
      </c>
      <c r="I608" s="673"/>
      <c r="J608" s="674"/>
      <c r="K608" s="674"/>
      <c r="L608" s="674"/>
      <c r="M608" s="674"/>
      <c r="N608" s="674"/>
      <c r="O608" s="674"/>
      <c r="P608" s="674"/>
      <c r="Q608" s="674"/>
      <c r="R608" s="674"/>
      <c r="S608" s="674"/>
      <c r="T608" s="674"/>
      <c r="U608" s="674"/>
      <c r="V608" s="674"/>
      <c r="W608" s="674"/>
      <c r="X608" s="657" t="s">
        <v>14</v>
      </c>
      <c r="Y608" s="675"/>
      <c r="Z608" s="675"/>
      <c r="AA608" s="676"/>
      <c r="AB608" s="663" t="s">
        <v>15</v>
      </c>
      <c r="AF608" s="645" t="s">
        <v>3</v>
      </c>
      <c r="AG608" s="646"/>
      <c r="AH608" s="646"/>
    </row>
    <row r="609" spans="1:38" ht="12" customHeight="1" x14ac:dyDescent="0.2">
      <c r="B609" s="670"/>
      <c r="C609" s="670"/>
      <c r="D609" s="670"/>
      <c r="E609" s="670"/>
      <c r="F609" s="672"/>
      <c r="G609" s="672"/>
      <c r="H609" s="508"/>
      <c r="I609" s="509" t="s">
        <v>579</v>
      </c>
      <c r="J609" s="508"/>
      <c r="K609" s="509" t="s">
        <v>292</v>
      </c>
      <c r="L609" s="509"/>
      <c r="M609" s="509" t="s">
        <v>293</v>
      </c>
      <c r="N609" s="509"/>
      <c r="O609" s="509" t="s">
        <v>294</v>
      </c>
      <c r="P609" s="509"/>
      <c r="Q609" s="509" t="s">
        <v>18</v>
      </c>
      <c r="R609" s="509"/>
      <c r="S609" s="509" t="s">
        <v>19</v>
      </c>
      <c r="T609" s="509"/>
      <c r="U609" s="509" t="s">
        <v>295</v>
      </c>
      <c r="V609" s="509"/>
      <c r="W609" s="509" t="s">
        <v>20</v>
      </c>
      <c r="X609" s="677"/>
      <c r="Y609" s="678"/>
      <c r="Z609" s="678"/>
      <c r="AA609" s="679"/>
      <c r="AB609" s="664"/>
    </row>
    <row r="610" spans="1:38" ht="12.6" customHeight="1" x14ac:dyDescent="0.2">
      <c r="B610" s="813" t="s">
        <v>780</v>
      </c>
      <c r="C610" s="813"/>
      <c r="D610" s="813"/>
      <c r="E610" s="813"/>
      <c r="F610" s="575">
        <f>21.73*X2</f>
        <v>22534.010000000002</v>
      </c>
      <c r="G610" s="314">
        <f>+F610*$X$1</f>
        <v>22534.010000000002</v>
      </c>
      <c r="H610" s="104">
        <f>F610+3000</f>
        <v>25534.010000000002</v>
      </c>
      <c r="I610" s="314">
        <f t="shared" ref="I610" si="1471">+H610*$X$1</f>
        <v>25534.010000000002</v>
      </c>
      <c r="J610" s="104">
        <f>F610+700</f>
        <v>23234.010000000002</v>
      </c>
      <c r="K610" s="314">
        <f t="shared" ref="K610" si="1472">+J610*$X$1</f>
        <v>23234.010000000002</v>
      </c>
      <c r="L610" s="104">
        <f>F610+400</f>
        <v>22934.010000000002</v>
      </c>
      <c r="M610" s="314">
        <f t="shared" ref="M610" si="1473">+L610*$X$1</f>
        <v>22934.010000000002</v>
      </c>
      <c r="N610" s="104">
        <f>F610+200</f>
        <v>22734.010000000002</v>
      </c>
      <c r="O610" s="314">
        <f t="shared" ref="O610" si="1474">+N610*$X$1</f>
        <v>22734.010000000002</v>
      </c>
      <c r="P610" s="104">
        <f>F610+160</f>
        <v>22694.010000000002</v>
      </c>
      <c r="Q610" s="314">
        <f t="shared" ref="Q610" si="1475">+P610*$X$1</f>
        <v>22694.010000000002</v>
      </c>
      <c r="R610" s="104">
        <f>F610+120</f>
        <v>22654.010000000002</v>
      </c>
      <c r="S610" s="314">
        <f t="shared" ref="S610" si="1476">+R610*$X$1</f>
        <v>22654.010000000002</v>
      </c>
      <c r="T610" s="104">
        <f>F610+80</f>
        <v>22614.010000000002</v>
      </c>
      <c r="U610" s="314">
        <f t="shared" ref="U610" si="1477">+T610*$X$1</f>
        <v>22614.010000000002</v>
      </c>
      <c r="V610" s="104">
        <f>F610+70</f>
        <v>22604.010000000002</v>
      </c>
      <c r="W610" s="314">
        <f t="shared" ref="W610" si="1478">+V610*$X$1</f>
        <v>22604.010000000002</v>
      </c>
      <c r="X610" s="488"/>
      <c r="Y610" s="138"/>
      <c r="Z610" s="136"/>
      <c r="AA610" s="139"/>
      <c r="AB610" s="440" t="s">
        <v>781</v>
      </c>
    </row>
    <row r="611" spans="1:38" ht="12.6" customHeight="1" x14ac:dyDescent="0.2">
      <c r="B611" s="774" t="s">
        <v>310</v>
      </c>
      <c r="C611" s="774"/>
      <c r="D611" s="774"/>
      <c r="E611" s="774"/>
      <c r="F611" s="479"/>
      <c r="G611" s="492"/>
      <c r="H611" s="106"/>
      <c r="I611" s="106"/>
      <c r="J611" s="492"/>
      <c r="K611" s="492"/>
      <c r="L611" s="492"/>
      <c r="M611" s="492"/>
      <c r="N611" s="116"/>
      <c r="O611" s="492"/>
      <c r="P611" s="492"/>
      <c r="Q611" s="492"/>
      <c r="R611" s="492"/>
      <c r="S611" s="492"/>
      <c r="T611" s="492"/>
      <c r="U611" s="492"/>
      <c r="V611" s="265"/>
      <c r="W611" s="486"/>
      <c r="X611" s="136"/>
      <c r="Y611" s="136"/>
      <c r="Z611" s="136"/>
      <c r="AA611" s="139"/>
      <c r="AB611" s="439" t="s">
        <v>311</v>
      </c>
    </row>
    <row r="612" spans="1:38" ht="12.6" customHeight="1" x14ac:dyDescent="0.2">
      <c r="B612" s="689" t="s">
        <v>312</v>
      </c>
      <c r="C612" s="689"/>
      <c r="D612" s="689"/>
      <c r="E612" s="689"/>
      <c r="F612" s="117"/>
      <c r="G612" s="573"/>
      <c r="H612" s="102"/>
      <c r="I612" s="102"/>
      <c r="J612" s="573"/>
      <c r="K612" s="573"/>
      <c r="L612" s="573"/>
      <c r="M612" s="573"/>
      <c r="N612" s="115"/>
      <c r="O612" s="573"/>
      <c r="P612" s="573"/>
      <c r="Q612" s="573"/>
      <c r="R612" s="573"/>
      <c r="S612" s="573"/>
      <c r="T612" s="573"/>
      <c r="U612" s="573"/>
      <c r="V612" s="576"/>
      <c r="W612" s="483"/>
      <c r="X612" s="136"/>
      <c r="Y612" s="136"/>
      <c r="Z612" s="136"/>
      <c r="AA612" s="139"/>
      <c r="AB612" s="439" t="s">
        <v>313</v>
      </c>
    </row>
    <row r="613" spans="1:38" ht="12.6" customHeight="1" x14ac:dyDescent="0.2">
      <c r="B613" s="688" t="s">
        <v>745</v>
      </c>
      <c r="C613" s="688"/>
      <c r="D613" s="688"/>
      <c r="E613" s="688"/>
      <c r="F613" s="481">
        <f>20.59*X2</f>
        <v>21351.829999999998</v>
      </c>
      <c r="G613" s="294">
        <f>+F613*$X$1</f>
        <v>21351.829999999998</v>
      </c>
      <c r="H613" s="492">
        <f>F613+2400</f>
        <v>23751.829999999998</v>
      </c>
      <c r="I613" s="294">
        <f t="shared" ref="I613:I614" si="1479">+H613*$X$1</f>
        <v>23751.829999999998</v>
      </c>
      <c r="J613" s="492">
        <f>F613+600</f>
        <v>21951.829999999998</v>
      </c>
      <c r="K613" s="294">
        <f t="shared" ref="K613:K614" si="1480">+J613*$X$1</f>
        <v>21951.829999999998</v>
      </c>
      <c r="L613" s="492">
        <f>F613+350</f>
        <v>21701.829999999998</v>
      </c>
      <c r="M613" s="294">
        <f t="shared" ref="M613:M614" si="1481">+L613*$X$1</f>
        <v>21701.829999999998</v>
      </c>
      <c r="N613" s="492">
        <f>F613+170</f>
        <v>21521.829999999998</v>
      </c>
      <c r="O613" s="294">
        <f t="shared" ref="O613:O614" si="1482">+N613*$X$1</f>
        <v>21521.829999999998</v>
      </c>
      <c r="P613" s="492">
        <f>F613+130</f>
        <v>21481.829999999998</v>
      </c>
      <c r="Q613" s="294">
        <f t="shared" ref="Q613:Q614" si="1483">+P613*$X$1</f>
        <v>21481.829999999998</v>
      </c>
      <c r="R613" s="492">
        <f>F613+90</f>
        <v>21441.829999999998</v>
      </c>
      <c r="S613" s="294">
        <f t="shared" ref="S613:S614" si="1484">+R613*$X$1</f>
        <v>21441.829999999998</v>
      </c>
      <c r="T613" s="492">
        <f>F613+75</f>
        <v>21426.829999999998</v>
      </c>
      <c r="U613" s="294">
        <f t="shared" ref="U613:U614" si="1485">+T613*$X$1</f>
        <v>21426.829999999998</v>
      </c>
      <c r="V613" s="492">
        <f>F613+64</f>
        <v>21415.829999999998</v>
      </c>
      <c r="W613" s="294">
        <f t="shared" ref="W613:W614" si="1486">+V613*$X$1</f>
        <v>21415.829999999998</v>
      </c>
      <c r="X613" s="475"/>
      <c r="Y613" s="138"/>
      <c r="Z613" s="136"/>
      <c r="AA613" s="139"/>
      <c r="AB613" s="439" t="s">
        <v>746</v>
      </c>
    </row>
    <row r="614" spans="1:38" ht="12.6" customHeight="1" x14ac:dyDescent="0.2">
      <c r="B614" s="689" t="s">
        <v>899</v>
      </c>
      <c r="C614" s="689"/>
      <c r="D614" s="689"/>
      <c r="E614" s="689"/>
      <c r="F614" s="480">
        <f>22.35*X2</f>
        <v>23176.95</v>
      </c>
      <c r="G614" s="293">
        <f>+F614*$X$1</f>
        <v>23176.95</v>
      </c>
      <c r="H614" s="104">
        <f>F614+3300</f>
        <v>26476.95</v>
      </c>
      <c r="I614" s="314">
        <f t="shared" si="1479"/>
        <v>26476.95</v>
      </c>
      <c r="J614" s="104">
        <f>F614+750</f>
        <v>23926.95</v>
      </c>
      <c r="K614" s="314">
        <f t="shared" si="1480"/>
        <v>23926.95</v>
      </c>
      <c r="L614" s="104">
        <f>F614+600</f>
        <v>23776.95</v>
      </c>
      <c r="M614" s="314">
        <f t="shared" si="1481"/>
        <v>23776.95</v>
      </c>
      <c r="N614" s="104">
        <f>F614+580</f>
        <v>23756.95</v>
      </c>
      <c r="O614" s="314">
        <f t="shared" si="1482"/>
        <v>23756.95</v>
      </c>
      <c r="P614" s="104">
        <f>F614+530</f>
        <v>23706.95</v>
      </c>
      <c r="Q614" s="314">
        <f t="shared" si="1483"/>
        <v>23706.95</v>
      </c>
      <c r="R614" s="104">
        <f>F614+490</f>
        <v>23666.95</v>
      </c>
      <c r="S614" s="314">
        <f t="shared" si="1484"/>
        <v>23666.95</v>
      </c>
      <c r="T614" s="104">
        <f>F614+450</f>
        <v>23626.95</v>
      </c>
      <c r="U614" s="314">
        <f t="shared" si="1485"/>
        <v>23626.95</v>
      </c>
      <c r="V614" s="104">
        <f>F614+400</f>
        <v>23576.95</v>
      </c>
      <c r="W614" s="314">
        <f t="shared" si="1486"/>
        <v>23576.95</v>
      </c>
      <c r="X614" s="570"/>
      <c r="Y614" s="138"/>
      <c r="Z614" s="136"/>
      <c r="AA614" s="139"/>
      <c r="AB614" s="439" t="s">
        <v>898</v>
      </c>
    </row>
    <row r="615" spans="1:38" ht="12.6" customHeight="1" x14ac:dyDescent="0.2">
      <c r="B615" s="688" t="s">
        <v>747</v>
      </c>
      <c r="C615" s="688"/>
      <c r="D615" s="688"/>
      <c r="E615" s="688"/>
      <c r="F615" s="481">
        <f>38.5*X2</f>
        <v>39924.5</v>
      </c>
      <c r="G615" s="294">
        <f>+F615*$X$1</f>
        <v>39924.5</v>
      </c>
      <c r="H615" s="492">
        <f>F615+2400</f>
        <v>42324.5</v>
      </c>
      <c r="I615" s="294">
        <f t="shared" ref="I615:I616" si="1487">+H615*$X$1</f>
        <v>42324.5</v>
      </c>
      <c r="J615" s="492">
        <f>F615+600</f>
        <v>40524.5</v>
      </c>
      <c r="K615" s="294">
        <f t="shared" ref="K615:K616" si="1488">+J615*$X$1</f>
        <v>40524.5</v>
      </c>
      <c r="L615" s="492">
        <f>F615+350</f>
        <v>40274.5</v>
      </c>
      <c r="M615" s="294">
        <f t="shared" ref="M615:M616" si="1489">+L615*$X$1</f>
        <v>40274.5</v>
      </c>
      <c r="N615" s="492">
        <f>F615+170</f>
        <v>40094.5</v>
      </c>
      <c r="O615" s="294">
        <f t="shared" ref="O615:O616" si="1490">+N615*$X$1</f>
        <v>40094.5</v>
      </c>
      <c r="P615" s="492">
        <f>F615+130</f>
        <v>40054.5</v>
      </c>
      <c r="Q615" s="294">
        <f t="shared" ref="Q615:Q616" si="1491">+P615*$X$1</f>
        <v>40054.5</v>
      </c>
      <c r="R615" s="492">
        <f>F615+90</f>
        <v>40014.5</v>
      </c>
      <c r="S615" s="294">
        <f t="shared" ref="S615:S616" si="1492">+R615*$X$1</f>
        <v>40014.5</v>
      </c>
      <c r="T615" s="492">
        <f>F615+75</f>
        <v>39999.5</v>
      </c>
      <c r="U615" s="294">
        <f t="shared" ref="U615:U616" si="1493">+T615*$X$1</f>
        <v>39999.5</v>
      </c>
      <c r="V615" s="492">
        <f>F615+64</f>
        <v>39988.5</v>
      </c>
      <c r="W615" s="294">
        <f t="shared" ref="W615:W616" si="1494">+V615*$X$1</f>
        <v>39988.5</v>
      </c>
      <c r="X615" s="475"/>
      <c r="Y615" s="138"/>
      <c r="Z615" s="136"/>
      <c r="AA615" s="139"/>
      <c r="AB615" s="439" t="s">
        <v>748</v>
      </c>
    </row>
    <row r="616" spans="1:38" ht="12.6" customHeight="1" x14ac:dyDescent="0.2">
      <c r="B616" s="688" t="s">
        <v>892</v>
      </c>
      <c r="C616" s="688"/>
      <c r="D616" s="688"/>
      <c r="E616" s="688"/>
      <c r="F616" s="480">
        <f>30.6*X2</f>
        <v>31732.2</v>
      </c>
      <c r="G616" s="293">
        <f>+F616*$X$1</f>
        <v>31732.2</v>
      </c>
      <c r="H616" s="104">
        <f>F616+4000</f>
        <v>35732.199999999997</v>
      </c>
      <c r="I616" s="314">
        <f t="shared" si="1487"/>
        <v>35732.199999999997</v>
      </c>
      <c r="J616" s="104">
        <f>F616+2000</f>
        <v>33732.199999999997</v>
      </c>
      <c r="K616" s="314">
        <f t="shared" si="1488"/>
        <v>33732.199999999997</v>
      </c>
      <c r="L616" s="104">
        <f>F616+1300</f>
        <v>33032.199999999997</v>
      </c>
      <c r="M616" s="314">
        <f t="shared" si="1489"/>
        <v>33032.199999999997</v>
      </c>
      <c r="N616" s="104">
        <f>F616+1150</f>
        <v>32882.199999999997</v>
      </c>
      <c r="O616" s="314">
        <f t="shared" si="1490"/>
        <v>32882.199999999997</v>
      </c>
      <c r="P616" s="104">
        <f>F616+990</f>
        <v>32722.2</v>
      </c>
      <c r="Q616" s="314">
        <f t="shared" si="1491"/>
        <v>32722.2</v>
      </c>
      <c r="R616" s="104">
        <f>F616+900</f>
        <v>32632.2</v>
      </c>
      <c r="S616" s="314">
        <f t="shared" si="1492"/>
        <v>32632.2</v>
      </c>
      <c r="T616" s="104">
        <f>F616+800</f>
        <v>32532.2</v>
      </c>
      <c r="U616" s="314">
        <f t="shared" si="1493"/>
        <v>32532.2</v>
      </c>
      <c r="V616" s="104">
        <f>F616+700</f>
        <v>32432.2</v>
      </c>
      <c r="W616" s="314">
        <f t="shared" si="1494"/>
        <v>32432.2</v>
      </c>
      <c r="X616" s="569"/>
      <c r="Y616" s="138"/>
      <c r="Z616" s="136"/>
      <c r="AA616" s="139"/>
      <c r="AB616" s="439" t="s">
        <v>915</v>
      </c>
    </row>
    <row r="617" spans="1:38" ht="12.6" customHeight="1" x14ac:dyDescent="0.2">
      <c r="B617" s="774" t="s">
        <v>314</v>
      </c>
      <c r="C617" s="774"/>
      <c r="D617" s="774"/>
      <c r="E617" s="774"/>
      <c r="F617" s="479"/>
      <c r="G617" s="478"/>
      <c r="H617" s="106"/>
      <c r="I617" s="106"/>
      <c r="J617" s="478"/>
      <c r="K617" s="478"/>
      <c r="L617" s="478"/>
      <c r="M617" s="478"/>
      <c r="N617" s="478"/>
      <c r="O617" s="478"/>
      <c r="P617" s="116"/>
      <c r="Q617" s="478"/>
      <c r="R617" s="116"/>
      <c r="S617" s="478"/>
      <c r="T617" s="116"/>
      <c r="U617" s="478"/>
      <c r="V617" s="265"/>
      <c r="W617" s="485"/>
      <c r="X617" s="167"/>
      <c r="Y617" s="167"/>
      <c r="Z617" s="167"/>
      <c r="AA617" s="168"/>
      <c r="AB617" s="439" t="s">
        <v>315</v>
      </c>
    </row>
    <row r="618" spans="1:38" ht="12.6" customHeight="1" x14ac:dyDescent="0.2">
      <c r="B618" s="689" t="s">
        <v>316</v>
      </c>
      <c r="C618" s="689"/>
      <c r="D618" s="689"/>
      <c r="E618" s="689"/>
      <c r="F618" s="117"/>
      <c r="G618" s="325"/>
      <c r="H618" s="102"/>
      <c r="I618" s="102"/>
      <c r="J618" s="325"/>
      <c r="K618" s="325"/>
      <c r="L618" s="325"/>
      <c r="M618" s="325"/>
      <c r="N618" s="325"/>
      <c r="O618" s="325"/>
      <c r="P618" s="115"/>
      <c r="Q618" s="325"/>
      <c r="R618" s="115"/>
      <c r="S618" s="325"/>
      <c r="T618" s="115"/>
      <c r="U618" s="325"/>
      <c r="V618" s="482"/>
      <c r="W618" s="484"/>
      <c r="X618" s="167"/>
      <c r="Y618" s="167"/>
      <c r="Z618" s="167"/>
      <c r="AA618" s="168"/>
      <c r="AB618" s="439" t="s">
        <v>317</v>
      </c>
    </row>
    <row r="619" spans="1:38" ht="12.6" customHeight="1" x14ac:dyDescent="0.2">
      <c r="B619" s="774" t="s">
        <v>318</v>
      </c>
      <c r="C619" s="774"/>
      <c r="D619" s="774"/>
      <c r="E619" s="774"/>
      <c r="F619" s="479"/>
      <c r="G619" s="478"/>
      <c r="H619" s="106"/>
      <c r="I619" s="106"/>
      <c r="J619" s="478"/>
      <c r="K619" s="478"/>
      <c r="L619" s="478"/>
      <c r="M619" s="478"/>
      <c r="N619" s="478"/>
      <c r="O619" s="478"/>
      <c r="P619" s="116"/>
      <c r="Q619" s="478"/>
      <c r="R619" s="116"/>
      <c r="S619" s="478"/>
      <c r="T619" s="116"/>
      <c r="U619" s="478"/>
      <c r="V619" s="265"/>
      <c r="W619" s="485"/>
      <c r="X619" s="138"/>
      <c r="Y619" s="138"/>
      <c r="Z619" s="138"/>
      <c r="AA619" s="138"/>
      <c r="AB619" s="439" t="s">
        <v>443</v>
      </c>
    </row>
    <row r="620" spans="1:38" ht="12.6" customHeight="1" x14ac:dyDescent="0.2">
      <c r="B620" s="689" t="s">
        <v>753</v>
      </c>
      <c r="C620" s="689"/>
      <c r="D620" s="689"/>
      <c r="E620" s="689"/>
      <c r="F620" s="480">
        <f>36*X2</f>
        <v>37332</v>
      </c>
      <c r="G620" s="293">
        <f t="shared" ref="G620:G637" si="1495">+F620*$X$1</f>
        <v>37332</v>
      </c>
      <c r="H620" s="325">
        <f>F620+2200</f>
        <v>39532</v>
      </c>
      <c r="I620" s="293">
        <f t="shared" ref="I620" si="1496">+H620*$X$1</f>
        <v>39532</v>
      </c>
      <c r="J620" s="325">
        <f>F620+500</f>
        <v>37832</v>
      </c>
      <c r="K620" s="293">
        <f t="shared" ref="K620" si="1497">+J620*$X$1</f>
        <v>37832</v>
      </c>
      <c r="L620" s="104">
        <f>F620+410</f>
        <v>37742</v>
      </c>
      <c r="M620" s="314">
        <f>+L620*$X$1</f>
        <v>37742</v>
      </c>
      <c r="N620" s="104">
        <f>F620+370</f>
        <v>37702</v>
      </c>
      <c r="O620" s="314">
        <f>+N620*$X$1</f>
        <v>37702</v>
      </c>
      <c r="P620" s="104">
        <f>F620+330</f>
        <v>37662</v>
      </c>
      <c r="Q620" s="314">
        <f>+P620*$X$1</f>
        <v>37662</v>
      </c>
      <c r="R620" s="104">
        <f>F620+290</f>
        <v>37622</v>
      </c>
      <c r="S620" s="314">
        <f>+R620*$X$1</f>
        <v>37622</v>
      </c>
      <c r="T620" s="325">
        <f>F620+240</f>
        <v>37572</v>
      </c>
      <c r="U620" s="293">
        <f t="shared" ref="U620" si="1498">+T620*$X$1</f>
        <v>37572</v>
      </c>
      <c r="V620" s="325">
        <f>F620+220</f>
        <v>37552</v>
      </c>
      <c r="W620" s="293">
        <f t="shared" ref="W620" si="1499">+V620*$X$1</f>
        <v>37552</v>
      </c>
      <c r="X620" s="477"/>
      <c r="Y620" s="138"/>
      <c r="Z620" s="136"/>
      <c r="AA620" s="139"/>
      <c r="AB620" s="439" t="s">
        <v>754</v>
      </c>
    </row>
    <row r="621" spans="1:38" s="1" customFormat="1" ht="12.6" customHeight="1" x14ac:dyDescent="0.2">
      <c r="A621" s="19"/>
      <c r="B621" s="704" t="s">
        <v>207</v>
      </c>
      <c r="C621" s="705"/>
      <c r="D621" s="705"/>
      <c r="E621" s="705"/>
      <c r="F621" s="294"/>
      <c r="G621" s="294"/>
      <c r="H621" s="492"/>
      <c r="I621" s="294"/>
      <c r="J621" s="90"/>
      <c r="K621" s="294"/>
      <c r="L621" s="492"/>
      <c r="M621" s="294"/>
      <c r="N621" s="492"/>
      <c r="O621" s="294"/>
      <c r="P621" s="492"/>
      <c r="Q621" s="294"/>
      <c r="R621" s="492"/>
      <c r="S621" s="294"/>
      <c r="T621" s="492"/>
      <c r="U621" s="294"/>
      <c r="V621" s="492"/>
      <c r="W621" s="294"/>
      <c r="X621" s="685"/>
      <c r="Y621" s="686"/>
      <c r="Z621" s="686"/>
      <c r="AA621" s="687"/>
      <c r="AB621" s="197">
        <v>965</v>
      </c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s="1" customFormat="1" ht="12.6" customHeight="1" x14ac:dyDescent="0.2">
      <c r="A622" s="19"/>
      <c r="B622" s="693" t="s">
        <v>208</v>
      </c>
      <c r="C622" s="696"/>
      <c r="D622" s="696"/>
      <c r="E622" s="697"/>
      <c r="F622" s="293"/>
      <c r="G622" s="293"/>
      <c r="H622" s="291"/>
      <c r="I622" s="353"/>
      <c r="J622" s="72"/>
      <c r="K622" s="293"/>
      <c r="L622" s="325"/>
      <c r="M622" s="293"/>
      <c r="N622" s="325"/>
      <c r="O622" s="293"/>
      <c r="P622" s="325"/>
      <c r="Q622" s="293"/>
      <c r="R622" s="325"/>
      <c r="S622" s="293"/>
      <c r="T622" s="325"/>
      <c r="U622" s="293"/>
      <c r="V622" s="325"/>
      <c r="W622" s="293"/>
      <c r="X622" s="158"/>
      <c r="Y622" s="159"/>
      <c r="Z622" s="159"/>
      <c r="AA622" s="160"/>
      <c r="AB622" s="432">
        <v>967</v>
      </c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s="1" customFormat="1" ht="12.6" customHeight="1" x14ac:dyDescent="0.2">
      <c r="A623" s="19"/>
      <c r="B623" s="690" t="s">
        <v>366</v>
      </c>
      <c r="C623" s="698"/>
      <c r="D623" s="698"/>
      <c r="E623" s="699"/>
      <c r="F623" s="294"/>
      <c r="G623" s="294"/>
      <c r="H623" s="462"/>
      <c r="I623" s="294"/>
      <c r="J623" s="90"/>
      <c r="K623" s="294"/>
      <c r="L623" s="462"/>
      <c r="M623" s="294"/>
      <c r="N623" s="462"/>
      <c r="O623" s="294"/>
      <c r="P623" s="462"/>
      <c r="Q623" s="294"/>
      <c r="R623" s="462"/>
      <c r="S623" s="294"/>
      <c r="T623" s="462"/>
      <c r="U623" s="294"/>
      <c r="V623" s="462"/>
      <c r="W623" s="294"/>
      <c r="X623" s="685"/>
      <c r="Y623" s="686"/>
      <c r="Z623" s="686"/>
      <c r="AA623" s="687"/>
      <c r="AB623" s="432">
        <v>968</v>
      </c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s="1" customFormat="1" ht="12.6" customHeight="1" x14ac:dyDescent="0.2">
      <c r="A624" s="19"/>
      <c r="B624" s="683" t="s">
        <v>209</v>
      </c>
      <c r="C624" s="712"/>
      <c r="D624" s="712"/>
      <c r="E624" s="712"/>
      <c r="F624" s="293"/>
      <c r="G624" s="293"/>
      <c r="H624" s="325"/>
      <c r="I624" s="293"/>
      <c r="J624" s="72"/>
      <c r="K624" s="293"/>
      <c r="L624" s="325"/>
      <c r="M624" s="293"/>
      <c r="N624" s="325"/>
      <c r="O624" s="293"/>
      <c r="P624" s="325"/>
      <c r="Q624" s="293"/>
      <c r="R624" s="325"/>
      <c r="S624" s="293"/>
      <c r="T624" s="325"/>
      <c r="U624" s="293"/>
      <c r="V624" s="325"/>
      <c r="W624" s="293"/>
      <c r="X624" s="685"/>
      <c r="Y624" s="686"/>
      <c r="Z624" s="686"/>
      <c r="AA624" s="687"/>
      <c r="AB624" s="432">
        <v>969</v>
      </c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s="1" customFormat="1" ht="12.6" customHeight="1" x14ac:dyDescent="0.2">
      <c r="A625" s="19"/>
      <c r="B625" s="690" t="s">
        <v>383</v>
      </c>
      <c r="C625" s="698"/>
      <c r="D625" s="698"/>
      <c r="E625" s="699"/>
      <c r="F625" s="294"/>
      <c r="G625" s="294"/>
      <c r="H625" s="101"/>
      <c r="I625" s="294"/>
      <c r="J625" s="90"/>
      <c r="K625" s="294"/>
      <c r="L625" s="462"/>
      <c r="M625" s="294"/>
      <c r="N625" s="462"/>
      <c r="O625" s="294"/>
      <c r="P625" s="462"/>
      <c r="Q625" s="294"/>
      <c r="R625" s="462"/>
      <c r="S625" s="294"/>
      <c r="T625" s="462"/>
      <c r="U625" s="294"/>
      <c r="V625" s="462"/>
      <c r="W625" s="294"/>
      <c r="X625" s="221"/>
      <c r="Y625" s="223"/>
      <c r="Z625" s="223"/>
      <c r="AA625" s="222"/>
      <c r="AB625" s="432" t="s">
        <v>470</v>
      </c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s="1" customFormat="1" ht="12.6" customHeight="1" x14ac:dyDescent="0.2">
      <c r="A626" s="19"/>
      <c r="B626" s="683" t="s">
        <v>210</v>
      </c>
      <c r="C626" s="712"/>
      <c r="D626" s="712"/>
      <c r="E626" s="712"/>
      <c r="F626" s="293"/>
      <c r="G626" s="293"/>
      <c r="H626" s="407"/>
      <c r="I626" s="293"/>
      <c r="J626" s="72"/>
      <c r="K626" s="293"/>
      <c r="L626" s="325"/>
      <c r="M626" s="293"/>
      <c r="N626" s="325"/>
      <c r="O626" s="293"/>
      <c r="P626" s="325"/>
      <c r="Q626" s="293"/>
      <c r="R626" s="325"/>
      <c r="S626" s="293"/>
      <c r="T626" s="325"/>
      <c r="U626" s="293"/>
      <c r="V626" s="325"/>
      <c r="W626" s="293"/>
      <c r="X626" s="685"/>
      <c r="Y626" s="686"/>
      <c r="Z626" s="686"/>
      <c r="AA626" s="687"/>
      <c r="AB626" s="432">
        <v>970</v>
      </c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s="1" customFormat="1" ht="12.6" customHeight="1" x14ac:dyDescent="0.2">
      <c r="A627" s="19"/>
      <c r="B627" s="704" t="s">
        <v>211</v>
      </c>
      <c r="C627" s="705"/>
      <c r="D627" s="705"/>
      <c r="E627" s="705"/>
      <c r="F627" s="294"/>
      <c r="G627" s="294"/>
      <c r="H627" s="101"/>
      <c r="I627" s="294"/>
      <c r="J627" s="90"/>
      <c r="K627" s="294"/>
      <c r="L627" s="462"/>
      <c r="M627" s="294"/>
      <c r="N627" s="462"/>
      <c r="O627" s="294"/>
      <c r="P627" s="462"/>
      <c r="Q627" s="294"/>
      <c r="R627" s="462"/>
      <c r="S627" s="294"/>
      <c r="T627" s="462"/>
      <c r="U627" s="294"/>
      <c r="V627" s="462"/>
      <c r="W627" s="294"/>
      <c r="X627" s="685"/>
      <c r="Y627" s="686"/>
      <c r="Z627" s="686"/>
      <c r="AA627" s="687"/>
      <c r="AB627" s="432">
        <v>971</v>
      </c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s="1" customFormat="1" ht="12.6" customHeight="1" x14ac:dyDescent="0.2">
      <c r="A628" s="19"/>
      <c r="B628" s="693" t="s">
        <v>384</v>
      </c>
      <c r="C628" s="696"/>
      <c r="D628" s="696"/>
      <c r="E628" s="697"/>
      <c r="F628" s="293"/>
      <c r="G628" s="293"/>
      <c r="H628" s="407"/>
      <c r="I628" s="293"/>
      <c r="J628" s="72"/>
      <c r="K628" s="293"/>
      <c r="L628" s="325"/>
      <c r="M628" s="293"/>
      <c r="N628" s="325"/>
      <c r="O628" s="293"/>
      <c r="P628" s="325"/>
      <c r="Q628" s="293"/>
      <c r="R628" s="325"/>
      <c r="S628" s="293"/>
      <c r="T628" s="325"/>
      <c r="U628" s="293"/>
      <c r="V628" s="325"/>
      <c r="W628" s="293"/>
      <c r="X628" s="158"/>
      <c r="Y628" s="159"/>
      <c r="Z628" s="159"/>
      <c r="AA628" s="160"/>
      <c r="AB628" s="432">
        <v>972</v>
      </c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s="1" customFormat="1" ht="12.6" customHeight="1" x14ac:dyDescent="0.2">
      <c r="A629" s="19"/>
      <c r="B629" s="704" t="s">
        <v>212</v>
      </c>
      <c r="C629" s="705"/>
      <c r="D629" s="705"/>
      <c r="E629" s="705"/>
      <c r="F629" s="94"/>
      <c r="G629" s="452"/>
      <c r="H629" s="285"/>
      <c r="I629" s="285"/>
      <c r="J629" s="90"/>
      <c r="K629" s="94"/>
      <c r="L629" s="94"/>
      <c r="M629" s="94"/>
      <c r="N629" s="94"/>
      <c r="O629" s="462"/>
      <c r="P629" s="462"/>
      <c r="Q629" s="462"/>
      <c r="R629" s="462"/>
      <c r="S629" s="462"/>
      <c r="T629" s="462"/>
      <c r="U629" s="462"/>
      <c r="V629" s="462"/>
      <c r="W629" s="462"/>
      <c r="X629" s="680"/>
      <c r="Y629" s="681"/>
      <c r="Z629" s="681"/>
      <c r="AA629" s="682"/>
      <c r="AB629" s="197">
        <v>980</v>
      </c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s="1" customFormat="1" ht="12.6" customHeight="1" x14ac:dyDescent="0.2">
      <c r="A630" s="19"/>
      <c r="B630" s="683" t="s">
        <v>213</v>
      </c>
      <c r="C630" s="684"/>
      <c r="D630" s="684"/>
      <c r="E630" s="684"/>
      <c r="F630" s="104"/>
      <c r="G630" s="325"/>
      <c r="H630" s="286"/>
      <c r="I630" s="286"/>
      <c r="J630" s="72"/>
      <c r="K630" s="289"/>
      <c r="L630" s="289"/>
      <c r="M630" s="289"/>
      <c r="N630" s="289"/>
      <c r="O630" s="325"/>
      <c r="P630" s="325"/>
      <c r="Q630" s="325"/>
      <c r="R630" s="325"/>
      <c r="S630" s="325"/>
      <c r="T630" s="325"/>
      <c r="U630" s="325"/>
      <c r="V630" s="325"/>
      <c r="W630" s="325"/>
      <c r="X630" s="680"/>
      <c r="Y630" s="681"/>
      <c r="Z630" s="681"/>
      <c r="AA630" s="682"/>
      <c r="AB630" s="197">
        <v>981</v>
      </c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s="1" customFormat="1" ht="12.6" customHeight="1" x14ac:dyDescent="0.2">
      <c r="A631" s="19"/>
      <c r="B631" s="690" t="s">
        <v>486</v>
      </c>
      <c r="C631" s="691"/>
      <c r="D631" s="691"/>
      <c r="E631" s="692"/>
      <c r="F631" s="103"/>
      <c r="G631" s="452"/>
      <c r="H631" s="285"/>
      <c r="I631" s="285"/>
      <c r="J631" s="90"/>
      <c r="K631" s="94"/>
      <c r="L631" s="94"/>
      <c r="M631" s="94"/>
      <c r="N631" s="94"/>
      <c r="O631" s="462"/>
      <c r="P631" s="462"/>
      <c r="Q631" s="462"/>
      <c r="R631" s="462"/>
      <c r="S631" s="462"/>
      <c r="T631" s="462"/>
      <c r="U631" s="462"/>
      <c r="V631" s="462"/>
      <c r="W631" s="462"/>
      <c r="X631" s="680"/>
      <c r="Y631" s="681"/>
      <c r="Z631" s="681"/>
      <c r="AA631" s="682"/>
      <c r="AB631" s="197">
        <v>982</v>
      </c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s="1" customFormat="1" ht="12.6" customHeight="1" x14ac:dyDescent="0.2">
      <c r="A632" s="19"/>
      <c r="B632" s="693" t="s">
        <v>519</v>
      </c>
      <c r="C632" s="694"/>
      <c r="D632" s="694"/>
      <c r="E632" s="695"/>
      <c r="F632" s="104"/>
      <c r="G632" s="325"/>
      <c r="H632" s="291"/>
      <c r="I632" s="286"/>
      <c r="J632" s="72"/>
      <c r="K632" s="289"/>
      <c r="L632" s="289"/>
      <c r="M632" s="289"/>
      <c r="N632" s="289"/>
      <c r="O632" s="325"/>
      <c r="P632" s="325"/>
      <c r="Q632" s="325"/>
      <c r="R632" s="325"/>
      <c r="S632" s="325"/>
      <c r="T632" s="325"/>
      <c r="U632" s="325"/>
      <c r="V632" s="325"/>
      <c r="W632" s="325"/>
      <c r="X632" s="680"/>
      <c r="Y632" s="681"/>
      <c r="Z632" s="681"/>
      <c r="AA632" s="682"/>
      <c r="AB632" s="197">
        <v>983</v>
      </c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s="1" customFormat="1" ht="12.6" customHeight="1" x14ac:dyDescent="0.2">
      <c r="A633" s="19"/>
      <c r="B633" s="690" t="s">
        <v>214</v>
      </c>
      <c r="C633" s="691"/>
      <c r="D633" s="691"/>
      <c r="E633" s="692"/>
      <c r="F633" s="94"/>
      <c r="G633" s="452"/>
      <c r="H633" s="285"/>
      <c r="I633" s="285"/>
      <c r="J633" s="90"/>
      <c r="K633" s="94"/>
      <c r="L633" s="94"/>
      <c r="M633" s="94"/>
      <c r="N633" s="94"/>
      <c r="O633" s="462"/>
      <c r="P633" s="462"/>
      <c r="Q633" s="462"/>
      <c r="R633" s="462"/>
      <c r="S633" s="462"/>
      <c r="T633" s="462"/>
      <c r="U633" s="462"/>
      <c r="V633" s="462"/>
      <c r="W633" s="462"/>
      <c r="X633" s="680"/>
      <c r="Y633" s="681"/>
      <c r="Z633" s="681"/>
      <c r="AA633" s="682"/>
      <c r="AB633" s="197">
        <v>984</v>
      </c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:38" s="1" customFormat="1" ht="12.6" customHeight="1" x14ac:dyDescent="0.2">
      <c r="A634" s="19"/>
      <c r="B634" s="693" t="s">
        <v>215</v>
      </c>
      <c r="C634" s="694"/>
      <c r="D634" s="694"/>
      <c r="E634" s="695"/>
      <c r="F634" s="317"/>
      <c r="G634" s="325"/>
      <c r="H634" s="291"/>
      <c r="I634" s="286"/>
      <c r="J634" s="72"/>
      <c r="K634" s="289"/>
      <c r="L634" s="289"/>
      <c r="M634" s="289"/>
      <c r="N634" s="289"/>
      <c r="O634" s="325"/>
      <c r="P634" s="325"/>
      <c r="Q634" s="325"/>
      <c r="R634" s="325"/>
      <c r="S634" s="325"/>
      <c r="T634" s="325"/>
      <c r="U634" s="325"/>
      <c r="V634" s="325"/>
      <c r="W634" s="325"/>
      <c r="X634" s="680"/>
      <c r="Y634" s="681"/>
      <c r="Z634" s="681"/>
      <c r="AA634" s="682"/>
      <c r="AB634" s="197">
        <v>985</v>
      </c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spans="1:38" ht="12.6" customHeight="1" x14ac:dyDescent="0.2">
      <c r="B635" s="774" t="s">
        <v>750</v>
      </c>
      <c r="C635" s="774"/>
      <c r="D635" s="774"/>
      <c r="E635" s="774"/>
      <c r="F635" s="481">
        <f>23*X2</f>
        <v>23851</v>
      </c>
      <c r="G635" s="294">
        <f t="shared" si="1495"/>
        <v>23851</v>
      </c>
      <c r="H635" s="265"/>
      <c r="I635" s="265"/>
      <c r="J635" s="478">
        <f>F635+700</f>
        <v>24551</v>
      </c>
      <c r="K635" s="294">
        <f t="shared" ref="K635" si="1500">+J635*$X$1</f>
        <v>24551</v>
      </c>
      <c r="L635" s="478">
        <f>F635+400</f>
        <v>24251</v>
      </c>
      <c r="M635" s="294">
        <f t="shared" ref="M635" si="1501">+L635*$X$1</f>
        <v>24251</v>
      </c>
      <c r="N635" s="478">
        <f>F635+250</f>
        <v>24101</v>
      </c>
      <c r="O635" s="294">
        <f t="shared" ref="O635" si="1502">+N635*$X$1</f>
        <v>24101</v>
      </c>
      <c r="P635" s="478">
        <f>F635+210</f>
        <v>24061</v>
      </c>
      <c r="Q635" s="294">
        <f t="shared" ref="Q635" si="1503">+P635*$X$1</f>
        <v>24061</v>
      </c>
      <c r="R635" s="478">
        <f>F635+170</f>
        <v>24021</v>
      </c>
      <c r="S635" s="294">
        <f t="shared" ref="S635" si="1504">+R635*$X$1</f>
        <v>24021</v>
      </c>
      <c r="T635" s="478">
        <f>F635+140</f>
        <v>23991</v>
      </c>
      <c r="U635" s="294">
        <f t="shared" ref="U635" si="1505">+T635*$X$1</f>
        <v>23991</v>
      </c>
      <c r="V635" s="478">
        <f>F635+110</f>
        <v>23961</v>
      </c>
      <c r="W635" s="294">
        <f t="shared" ref="W635" si="1506">+V635*$X$1</f>
        <v>23961</v>
      </c>
      <c r="X635" s="477"/>
      <c r="Y635" s="138"/>
      <c r="Z635" s="136"/>
      <c r="AA635" s="139"/>
      <c r="AB635" s="439" t="s">
        <v>749</v>
      </c>
    </row>
    <row r="636" spans="1:38" ht="12.6" customHeight="1" x14ac:dyDescent="0.2">
      <c r="B636" s="689" t="s">
        <v>900</v>
      </c>
      <c r="C636" s="689"/>
      <c r="D636" s="689"/>
      <c r="E636" s="689"/>
      <c r="F636" s="480">
        <f>23.6*X2</f>
        <v>24473.200000000001</v>
      </c>
      <c r="G636" s="293">
        <f t="shared" ref="G636" si="1507">+F636*$X$1</f>
        <v>24473.200000000001</v>
      </c>
      <c r="H636" s="267"/>
      <c r="I636" s="267"/>
      <c r="J636" s="633">
        <f>F636+700</f>
        <v>25173.200000000001</v>
      </c>
      <c r="K636" s="293">
        <f t="shared" ref="K636:K637" si="1508">+J636*$X$1</f>
        <v>25173.200000000001</v>
      </c>
      <c r="L636" s="633">
        <f>F636+400</f>
        <v>24873.200000000001</v>
      </c>
      <c r="M636" s="293">
        <f t="shared" ref="M636:M637" si="1509">+L636*$X$1</f>
        <v>24873.200000000001</v>
      </c>
      <c r="N636" s="633">
        <f>F636+250</f>
        <v>24723.200000000001</v>
      </c>
      <c r="O636" s="293">
        <f t="shared" ref="O636:O637" si="1510">+N636*$X$1</f>
        <v>24723.200000000001</v>
      </c>
      <c r="P636" s="633">
        <f>F636+210</f>
        <v>24683.200000000001</v>
      </c>
      <c r="Q636" s="293">
        <f t="shared" ref="Q636:Q637" si="1511">+P636*$X$1</f>
        <v>24683.200000000001</v>
      </c>
      <c r="R636" s="633">
        <f>F636+170</f>
        <v>24643.200000000001</v>
      </c>
      <c r="S636" s="293">
        <f t="shared" ref="S636:S637" si="1512">+R636*$X$1</f>
        <v>24643.200000000001</v>
      </c>
      <c r="T636" s="633">
        <f>F636+140</f>
        <v>24613.200000000001</v>
      </c>
      <c r="U636" s="293">
        <f t="shared" ref="U636:U637" si="1513">+T636*$X$1</f>
        <v>24613.200000000001</v>
      </c>
      <c r="V636" s="633">
        <f>F636+110</f>
        <v>24583.200000000001</v>
      </c>
      <c r="W636" s="293">
        <f t="shared" ref="W636:W637" si="1514">+V636*$X$1</f>
        <v>24583.200000000001</v>
      </c>
      <c r="X636" s="570"/>
      <c r="Y636" s="138"/>
      <c r="Z636" s="136"/>
      <c r="AA636" s="139"/>
      <c r="AB636" s="439" t="s">
        <v>901</v>
      </c>
    </row>
    <row r="637" spans="1:38" ht="12.6" customHeight="1" x14ac:dyDescent="0.2">
      <c r="B637" s="774" t="s">
        <v>751</v>
      </c>
      <c r="C637" s="774"/>
      <c r="D637" s="774"/>
      <c r="E637" s="774"/>
      <c r="F637" s="481">
        <f>36.297*X2</f>
        <v>37639.988999999994</v>
      </c>
      <c r="G637" s="294">
        <f t="shared" si="1495"/>
        <v>37639.988999999994</v>
      </c>
      <c r="H637" s="265"/>
      <c r="I637" s="265"/>
      <c r="J637" s="492">
        <f>F637+700</f>
        <v>38339.988999999994</v>
      </c>
      <c r="K637" s="294">
        <f t="shared" si="1508"/>
        <v>38339.988999999994</v>
      </c>
      <c r="L637" s="492">
        <f>F637+400</f>
        <v>38039.988999999994</v>
      </c>
      <c r="M637" s="294">
        <f t="shared" si="1509"/>
        <v>38039.988999999994</v>
      </c>
      <c r="N637" s="492">
        <f>F637+250</f>
        <v>37889.988999999994</v>
      </c>
      <c r="O637" s="294">
        <f t="shared" si="1510"/>
        <v>37889.988999999994</v>
      </c>
      <c r="P637" s="492">
        <f>F637+210</f>
        <v>37849.988999999994</v>
      </c>
      <c r="Q637" s="294">
        <f t="shared" si="1511"/>
        <v>37849.988999999994</v>
      </c>
      <c r="R637" s="492">
        <f>F637+170</f>
        <v>37809.988999999994</v>
      </c>
      <c r="S637" s="294">
        <f t="shared" si="1512"/>
        <v>37809.988999999994</v>
      </c>
      <c r="T637" s="492">
        <f>F637+140</f>
        <v>37779.988999999994</v>
      </c>
      <c r="U637" s="294">
        <f t="shared" si="1513"/>
        <v>37779.988999999994</v>
      </c>
      <c r="V637" s="492">
        <f>F637+110</f>
        <v>37749.988999999994</v>
      </c>
      <c r="W637" s="294">
        <f t="shared" si="1514"/>
        <v>37749.988999999994</v>
      </c>
      <c r="X637" s="477"/>
      <c r="Y637" s="138"/>
      <c r="Z637" s="136"/>
      <c r="AA637" s="139"/>
      <c r="AB637" s="439" t="s">
        <v>752</v>
      </c>
    </row>
    <row r="638" spans="1:38" ht="12.6" customHeight="1" x14ac:dyDescent="0.2">
      <c r="A638" s="208"/>
      <c r="B638" s="109"/>
      <c r="C638" s="443"/>
      <c r="D638" s="443"/>
      <c r="E638" s="443"/>
      <c r="F638" s="447"/>
      <c r="G638" s="345"/>
      <c r="H638" s="118"/>
      <c r="I638" s="345"/>
      <c r="J638" s="118"/>
      <c r="K638" s="345"/>
      <c r="L638" s="118"/>
      <c r="M638" s="345"/>
      <c r="N638" s="118"/>
      <c r="O638" s="345"/>
      <c r="P638" s="118"/>
      <c r="Q638" s="345"/>
      <c r="R638" s="118"/>
      <c r="S638" s="345"/>
      <c r="T638" s="118"/>
      <c r="U638" s="345"/>
      <c r="V638" s="76"/>
      <c r="W638" s="446"/>
      <c r="X638" s="444"/>
      <c r="Y638" s="444"/>
      <c r="Z638" s="444"/>
      <c r="AA638" s="444"/>
      <c r="AB638" s="448"/>
    </row>
    <row r="639" spans="1:38" ht="12.6" customHeight="1" x14ac:dyDescent="0.2">
      <c r="A639" s="208"/>
      <c r="B639" s="109"/>
      <c r="C639" s="590"/>
      <c r="D639" s="590"/>
      <c r="E639" s="590"/>
      <c r="F639" s="447"/>
      <c r="G639" s="345"/>
      <c r="H639" s="118"/>
      <c r="I639" s="345"/>
      <c r="J639" s="118"/>
      <c r="K639" s="345"/>
      <c r="L639" s="118"/>
      <c r="M639" s="345"/>
      <c r="N639" s="118"/>
      <c r="O639" s="345"/>
      <c r="P639" s="118"/>
      <c r="Q639" s="345"/>
      <c r="R639" s="118"/>
      <c r="S639" s="345"/>
      <c r="T639" s="118"/>
      <c r="U639" s="345"/>
      <c r="V639" s="76"/>
      <c r="W639" s="503"/>
      <c r="X639" s="594"/>
      <c r="Y639" s="594"/>
      <c r="Z639" s="594"/>
      <c r="AA639" s="594"/>
      <c r="AB639" s="448"/>
    </row>
    <row r="640" spans="1:38" ht="12.6" customHeight="1" x14ac:dyDescent="0.2">
      <c r="A640" s="208"/>
      <c r="B640" s="109"/>
      <c r="C640" s="590"/>
      <c r="D640" s="590"/>
      <c r="E640" s="590"/>
      <c r="F640" s="447"/>
      <c r="G640" s="345"/>
      <c r="H640" s="118"/>
      <c r="I640" s="345"/>
      <c r="J640" s="118"/>
      <c r="K640" s="345"/>
      <c r="L640" s="118"/>
      <c r="M640" s="345"/>
      <c r="N640" s="118"/>
      <c r="O640" s="345"/>
      <c r="P640" s="118"/>
      <c r="Q640" s="345"/>
      <c r="R640" s="118"/>
      <c r="S640" s="345"/>
      <c r="T640" s="118"/>
      <c r="U640" s="345"/>
      <c r="V640" s="76"/>
      <c r="W640" s="503"/>
      <c r="X640" s="594"/>
      <c r="Y640" s="594"/>
      <c r="Z640" s="594"/>
      <c r="AA640" s="594"/>
      <c r="AB640" s="448"/>
    </row>
    <row r="641" spans="1:38" ht="13.5" customHeight="1" x14ac:dyDescent="0.2">
      <c r="B641" s="665" t="s">
        <v>309</v>
      </c>
      <c r="C641" s="666"/>
      <c r="D641" s="666"/>
      <c r="E641" s="666"/>
      <c r="F641" s="666"/>
      <c r="G641" s="666"/>
      <c r="H641" s="666"/>
      <c r="I641" s="666"/>
      <c r="J641" s="666"/>
      <c r="K641" s="666"/>
      <c r="L641" s="666"/>
      <c r="M641" s="666"/>
      <c r="N641" s="666"/>
      <c r="O641" s="666"/>
      <c r="P641" s="666"/>
      <c r="Q641" s="666"/>
      <c r="R641" s="666"/>
      <c r="S641" s="666"/>
      <c r="T641" s="667"/>
      <c r="U641" s="667"/>
      <c r="V641" s="668"/>
      <c r="W641" s="668"/>
      <c r="AB641" s="4"/>
    </row>
    <row r="642" spans="1:38" ht="12" customHeight="1" x14ac:dyDescent="0.2">
      <c r="B642" s="669" t="s">
        <v>11</v>
      </c>
      <c r="C642" s="669" t="s">
        <v>12</v>
      </c>
      <c r="D642" s="670"/>
      <c r="E642" s="670"/>
      <c r="F642" s="671" t="s">
        <v>291</v>
      </c>
      <c r="G642" s="671" t="s">
        <v>13</v>
      </c>
      <c r="H642" s="673" t="s">
        <v>836</v>
      </c>
      <c r="I642" s="673"/>
      <c r="J642" s="674"/>
      <c r="K642" s="674"/>
      <c r="L642" s="674"/>
      <c r="M642" s="674"/>
      <c r="N642" s="674"/>
      <c r="O642" s="674"/>
      <c r="P642" s="674"/>
      <c r="Q642" s="674"/>
      <c r="R642" s="674"/>
      <c r="S642" s="674"/>
      <c r="T642" s="674"/>
      <c r="U642" s="674"/>
      <c r="V642" s="674"/>
      <c r="W642" s="674"/>
      <c r="X642" s="657" t="s">
        <v>14</v>
      </c>
      <c r="Y642" s="675"/>
      <c r="Z642" s="675"/>
      <c r="AA642" s="676"/>
      <c r="AB642" s="663" t="s">
        <v>15</v>
      </c>
      <c r="AF642" s="645" t="s">
        <v>3</v>
      </c>
      <c r="AG642" s="646"/>
      <c r="AH642" s="646"/>
    </row>
    <row r="643" spans="1:38" ht="12" customHeight="1" x14ac:dyDescent="0.2">
      <c r="B643" s="670"/>
      <c r="C643" s="670"/>
      <c r="D643" s="670"/>
      <c r="E643" s="670"/>
      <c r="F643" s="672"/>
      <c r="G643" s="672"/>
      <c r="H643" s="508"/>
      <c r="I643" s="509" t="s">
        <v>579</v>
      </c>
      <c r="J643" s="508"/>
      <c r="K643" s="509" t="s">
        <v>292</v>
      </c>
      <c r="L643" s="509"/>
      <c r="M643" s="509" t="s">
        <v>293</v>
      </c>
      <c r="N643" s="509"/>
      <c r="O643" s="509" t="s">
        <v>294</v>
      </c>
      <c r="P643" s="509"/>
      <c r="Q643" s="509" t="s">
        <v>18</v>
      </c>
      <c r="R643" s="509"/>
      <c r="S643" s="509" t="s">
        <v>19</v>
      </c>
      <c r="T643" s="509"/>
      <c r="U643" s="509" t="s">
        <v>295</v>
      </c>
      <c r="V643" s="509"/>
      <c r="W643" s="509" t="s">
        <v>20</v>
      </c>
      <c r="X643" s="677"/>
      <c r="Y643" s="678"/>
      <c r="Z643" s="678"/>
      <c r="AA643" s="679"/>
      <c r="AB643" s="664"/>
    </row>
    <row r="644" spans="1:38" s="1" customFormat="1" ht="12.6" customHeight="1" x14ac:dyDescent="0.2">
      <c r="A644" s="19"/>
      <c r="B644" s="693" t="s">
        <v>572</v>
      </c>
      <c r="C644" s="696"/>
      <c r="D644" s="696"/>
      <c r="E644" s="697"/>
      <c r="F644" s="487">
        <v>9116</v>
      </c>
      <c r="G644" s="295">
        <f>+F644*$X$1</f>
        <v>9116</v>
      </c>
      <c r="H644" s="573">
        <f>F644+2200</f>
        <v>11316</v>
      </c>
      <c r="I644" s="293">
        <f t="shared" ref="I644" si="1515">+H644*$X$1</f>
        <v>11316</v>
      </c>
      <c r="J644" s="72">
        <f>F644+500</f>
        <v>9616</v>
      </c>
      <c r="K644" s="293">
        <f>+J644*$X$1</f>
        <v>9616</v>
      </c>
      <c r="L644" s="573">
        <f>F644+250</f>
        <v>9366</v>
      </c>
      <c r="M644" s="293">
        <f>+L644*$X$1</f>
        <v>9366</v>
      </c>
      <c r="N644" s="573">
        <f t="shared" ref="N644:N649" si="1516">F644+100</f>
        <v>9216</v>
      </c>
      <c r="O644" s="293">
        <f>+N644*$X$1</f>
        <v>9216</v>
      </c>
      <c r="P644" s="573">
        <f t="shared" ref="P644:P649" si="1517">F644+80</f>
        <v>9196</v>
      </c>
      <c r="Q644" s="293">
        <f>+P644*$X$1</f>
        <v>9196</v>
      </c>
      <c r="R644" s="573">
        <f t="shared" ref="R644:R649" si="1518">F644+60</f>
        <v>9176</v>
      </c>
      <c r="S644" s="293">
        <f>+R644*$X$1</f>
        <v>9176</v>
      </c>
      <c r="T644" s="573">
        <f t="shared" ref="T644:T649" si="1519">F644+50</f>
        <v>9166</v>
      </c>
      <c r="U644" s="293">
        <f>+T644*$X$1</f>
        <v>9166</v>
      </c>
      <c r="V644" s="573">
        <f>F644+44</f>
        <v>9160</v>
      </c>
      <c r="W644" s="293">
        <f>+V644*$X$1</f>
        <v>9160</v>
      </c>
      <c r="X644" s="685"/>
      <c r="Y644" s="700"/>
      <c r="Z644" s="700"/>
      <c r="AA644" s="687"/>
      <c r="AB644" s="197">
        <v>1010</v>
      </c>
      <c r="AC644" s="4"/>
      <c r="AD644" s="4"/>
      <c r="AE644" s="4"/>
      <c r="AF644" s="4"/>
      <c r="AG644" s="4"/>
      <c r="AH644" s="129"/>
      <c r="AI644" s="4"/>
      <c r="AJ644" s="4"/>
      <c r="AK644" s="4"/>
      <c r="AL644" s="4"/>
    </row>
    <row r="645" spans="1:38" s="1" customFormat="1" ht="12.6" customHeight="1" x14ac:dyDescent="0.2">
      <c r="A645" s="19"/>
      <c r="B645" s="690" t="s">
        <v>573</v>
      </c>
      <c r="C645" s="698"/>
      <c r="D645" s="698"/>
      <c r="E645" s="699"/>
      <c r="F645" s="339">
        <v>20824</v>
      </c>
      <c r="G645" s="294">
        <f>+F645*$X$1</f>
        <v>20824</v>
      </c>
      <c r="H645" s="492">
        <f>F645+2200</f>
        <v>23024</v>
      </c>
      <c r="I645" s="294">
        <f t="shared" ref="I645" si="1520">+H645*$X$1</f>
        <v>23024</v>
      </c>
      <c r="J645" s="90">
        <f>F645+500</f>
        <v>21324</v>
      </c>
      <c r="K645" s="294">
        <f>+J645*$X$1</f>
        <v>21324</v>
      </c>
      <c r="L645" s="492">
        <f>F645+250</f>
        <v>21074</v>
      </c>
      <c r="M645" s="294">
        <f t="shared" ref="M645" si="1521">+L645*$X$1</f>
        <v>21074</v>
      </c>
      <c r="N645" s="492">
        <f t="shared" si="1516"/>
        <v>20924</v>
      </c>
      <c r="O645" s="294">
        <f t="shared" ref="O645" si="1522">+N645*$X$1</f>
        <v>20924</v>
      </c>
      <c r="P645" s="492">
        <f t="shared" si="1517"/>
        <v>20904</v>
      </c>
      <c r="Q645" s="294">
        <f t="shared" ref="Q645" si="1523">+P645*$X$1</f>
        <v>20904</v>
      </c>
      <c r="R645" s="492">
        <f t="shared" si="1518"/>
        <v>20884</v>
      </c>
      <c r="S645" s="294">
        <f t="shared" ref="S645" si="1524">+R645*$X$1</f>
        <v>20884</v>
      </c>
      <c r="T645" s="492">
        <f t="shared" si="1519"/>
        <v>20874</v>
      </c>
      <c r="U645" s="294">
        <f t="shared" ref="U645" si="1525">+T645*$X$1</f>
        <v>20874</v>
      </c>
      <c r="V645" s="492">
        <f>F645+44</f>
        <v>20868</v>
      </c>
      <c r="W645" s="294">
        <f t="shared" ref="W645" si="1526">+V645*$X$1</f>
        <v>20868</v>
      </c>
      <c r="X645" s="685"/>
      <c r="Y645" s="700"/>
      <c r="Z645" s="700"/>
      <c r="AA645" s="687"/>
      <c r="AB645" s="197">
        <v>1011</v>
      </c>
      <c r="AC645" s="4"/>
      <c r="AD645" s="4"/>
      <c r="AE645" s="4"/>
      <c r="AF645" s="4"/>
      <c r="AG645" s="4"/>
      <c r="AH645" s="129"/>
      <c r="AI645" s="4"/>
      <c r="AJ645" s="4"/>
      <c r="AK645" s="4"/>
      <c r="AL645" s="4"/>
    </row>
    <row r="646" spans="1:38" ht="12.6" customHeight="1" x14ac:dyDescent="0.2">
      <c r="B646" s="689" t="s">
        <v>678</v>
      </c>
      <c r="C646" s="689"/>
      <c r="D646" s="689"/>
      <c r="E646" s="689"/>
      <c r="F646" s="392">
        <f>3.04*X2</f>
        <v>3152.48</v>
      </c>
      <c r="G646" s="293">
        <f>+F646*$X$1</f>
        <v>3152.48</v>
      </c>
      <c r="H646" s="102"/>
      <c r="I646" s="102"/>
      <c r="J646" s="267"/>
      <c r="K646" s="267"/>
      <c r="L646" s="573">
        <f>F646+250</f>
        <v>3402.48</v>
      </c>
      <c r="M646" s="293">
        <f t="shared" ref="M646" si="1527">+L646*$X$1</f>
        <v>3402.48</v>
      </c>
      <c r="N646" s="573">
        <f t="shared" si="1516"/>
        <v>3252.48</v>
      </c>
      <c r="O646" s="293">
        <f t="shared" ref="O646" si="1528">+N646*$X$1</f>
        <v>3252.48</v>
      </c>
      <c r="P646" s="573">
        <f t="shared" si="1517"/>
        <v>3232.48</v>
      </c>
      <c r="Q646" s="293">
        <f t="shared" ref="Q646" si="1529">+P646*$X$1</f>
        <v>3232.48</v>
      </c>
      <c r="R646" s="573">
        <f t="shared" si="1518"/>
        <v>3212.48</v>
      </c>
      <c r="S646" s="293">
        <f t="shared" ref="S646" si="1530">+R646*$X$1</f>
        <v>3212.48</v>
      </c>
      <c r="T646" s="573">
        <f t="shared" si="1519"/>
        <v>3202.48</v>
      </c>
      <c r="U646" s="293">
        <f t="shared" ref="U646" si="1531">+T646*$X$1</f>
        <v>3202.48</v>
      </c>
      <c r="V646" s="573">
        <f>F646+44</f>
        <v>3196.48</v>
      </c>
      <c r="W646" s="293">
        <f t="shared" ref="W646" si="1532">+V646*$X$1</f>
        <v>3196.48</v>
      </c>
      <c r="X646" s="441"/>
      <c r="Y646" s="138"/>
      <c r="Z646" s="136"/>
      <c r="AA646" s="139"/>
      <c r="AB646" s="439" t="s">
        <v>679</v>
      </c>
    </row>
    <row r="647" spans="1:38" ht="12.6" customHeight="1" x14ac:dyDescent="0.2">
      <c r="B647" s="774" t="s">
        <v>684</v>
      </c>
      <c r="C647" s="774"/>
      <c r="D647" s="774"/>
      <c r="E647" s="774"/>
      <c r="F647" s="393">
        <f>11.3*X2</f>
        <v>11718.1</v>
      </c>
      <c r="G647" s="294">
        <f>+F647*$X$1</f>
        <v>11718.1</v>
      </c>
      <c r="H647" s="106"/>
      <c r="I647" s="106"/>
      <c r="J647" s="265"/>
      <c r="K647" s="265"/>
      <c r="L647" s="492">
        <f>F647+250</f>
        <v>11968.1</v>
      </c>
      <c r="M647" s="294">
        <f t="shared" ref="M647" si="1533">+L647*$X$1</f>
        <v>11968.1</v>
      </c>
      <c r="N647" s="492">
        <f t="shared" si="1516"/>
        <v>11818.1</v>
      </c>
      <c r="O647" s="294">
        <f t="shared" ref="O647" si="1534">+N647*$X$1</f>
        <v>11818.1</v>
      </c>
      <c r="P647" s="492">
        <f t="shared" si="1517"/>
        <v>11798.1</v>
      </c>
      <c r="Q647" s="294">
        <f t="shared" ref="Q647" si="1535">+P647*$X$1</f>
        <v>11798.1</v>
      </c>
      <c r="R647" s="492">
        <f t="shared" si="1518"/>
        <v>11778.1</v>
      </c>
      <c r="S647" s="294">
        <f t="shared" ref="S647" si="1536">+R647*$X$1</f>
        <v>11778.1</v>
      </c>
      <c r="T647" s="492">
        <f t="shared" si="1519"/>
        <v>11768.1</v>
      </c>
      <c r="U647" s="294">
        <f t="shared" ref="U647" si="1537">+T647*$X$1</f>
        <v>11768.1</v>
      </c>
      <c r="V647" s="492">
        <f>F647+44</f>
        <v>11762.1</v>
      </c>
      <c r="W647" s="294">
        <f t="shared" ref="W647" si="1538">+V647*$X$1</f>
        <v>11762.1</v>
      </c>
      <c r="X647" s="442"/>
      <c r="Y647" s="138"/>
      <c r="Z647" s="136"/>
      <c r="AA647" s="139"/>
      <c r="AB647" s="439" t="s">
        <v>685</v>
      </c>
    </row>
    <row r="648" spans="1:38" ht="12.6" customHeight="1" x14ac:dyDescent="0.2">
      <c r="B648" s="689" t="s">
        <v>507</v>
      </c>
      <c r="C648" s="689"/>
      <c r="D648" s="689"/>
      <c r="E648" s="689"/>
      <c r="F648" s="392">
        <f>4.7*X2</f>
        <v>4873.9000000000005</v>
      </c>
      <c r="G648" s="293">
        <f>+F648*$X$1</f>
        <v>4873.9000000000005</v>
      </c>
      <c r="H648" s="102"/>
      <c r="I648" s="102"/>
      <c r="J648" s="267"/>
      <c r="K648" s="267"/>
      <c r="L648" s="573">
        <f>F648+250</f>
        <v>5123.9000000000005</v>
      </c>
      <c r="M648" s="293">
        <f t="shared" ref="M648" si="1539">+L648*$X$1</f>
        <v>5123.9000000000005</v>
      </c>
      <c r="N648" s="573">
        <f t="shared" si="1516"/>
        <v>4973.9000000000005</v>
      </c>
      <c r="O648" s="293">
        <f t="shared" ref="O648" si="1540">+N648*$X$1</f>
        <v>4973.9000000000005</v>
      </c>
      <c r="P648" s="573">
        <f t="shared" si="1517"/>
        <v>4953.9000000000005</v>
      </c>
      <c r="Q648" s="293">
        <f t="shared" ref="Q648" si="1541">+P648*$X$1</f>
        <v>4953.9000000000005</v>
      </c>
      <c r="R648" s="573">
        <f t="shared" si="1518"/>
        <v>4933.9000000000005</v>
      </c>
      <c r="S648" s="293">
        <f t="shared" ref="S648" si="1542">+R648*$X$1</f>
        <v>4933.9000000000005</v>
      </c>
      <c r="T648" s="573">
        <f t="shared" si="1519"/>
        <v>4923.9000000000005</v>
      </c>
      <c r="U648" s="293">
        <f t="shared" ref="U648" si="1543">+T648*$X$1</f>
        <v>4923.9000000000005</v>
      </c>
      <c r="V648" s="573">
        <f>F648+44</f>
        <v>4917.9000000000005</v>
      </c>
      <c r="W648" s="293">
        <f t="shared" ref="W648" si="1544">+V648*$X$1</f>
        <v>4917.9000000000005</v>
      </c>
      <c r="X648" s="237"/>
      <c r="Y648" s="138"/>
      <c r="Z648" s="136"/>
      <c r="AA648" s="139"/>
      <c r="AB648" s="439" t="s">
        <v>437</v>
      </c>
    </row>
    <row r="649" spans="1:38" ht="12.6" customHeight="1" x14ac:dyDescent="0.2">
      <c r="A649" s="10"/>
      <c r="B649" s="1114" t="s">
        <v>319</v>
      </c>
      <c r="C649" s="1114"/>
      <c r="D649" s="1114"/>
      <c r="E649" s="1114"/>
      <c r="F649" s="393">
        <f>35.2*X2</f>
        <v>36502.400000000001</v>
      </c>
      <c r="G649" s="294">
        <f t="shared" ref="G649" si="1545">+F649*$X$1</f>
        <v>36502.400000000001</v>
      </c>
      <c r="H649" s="106"/>
      <c r="I649" s="106"/>
      <c r="J649" s="265"/>
      <c r="K649" s="265"/>
      <c r="L649" s="492">
        <f>F649+220</f>
        <v>36722.400000000001</v>
      </c>
      <c r="M649" s="294">
        <f t="shared" ref="M649" si="1546">+L649*$X$1</f>
        <v>36722.400000000001</v>
      </c>
      <c r="N649" s="492">
        <f t="shared" si="1516"/>
        <v>36602.400000000001</v>
      </c>
      <c r="O649" s="294">
        <f t="shared" ref="O649" si="1547">+N649*$X$1</f>
        <v>36602.400000000001</v>
      </c>
      <c r="P649" s="492">
        <f t="shared" si="1517"/>
        <v>36582.400000000001</v>
      </c>
      <c r="Q649" s="294">
        <f t="shared" ref="Q649" si="1548">+P649*$X$1</f>
        <v>36582.400000000001</v>
      </c>
      <c r="R649" s="492">
        <f t="shared" si="1518"/>
        <v>36562.400000000001</v>
      </c>
      <c r="S649" s="294">
        <f t="shared" ref="S649" si="1549">+R649*$X$1</f>
        <v>36562.400000000001</v>
      </c>
      <c r="T649" s="492">
        <f t="shared" si="1519"/>
        <v>36552.400000000001</v>
      </c>
      <c r="U649" s="294">
        <f t="shared" ref="U649" si="1550">+T649*$X$1</f>
        <v>36552.400000000001</v>
      </c>
      <c r="V649" s="492"/>
      <c r="W649" s="294"/>
      <c r="X649" s="136"/>
      <c r="Y649" s="140"/>
      <c r="Z649" s="136"/>
      <c r="AA649" s="139"/>
      <c r="AB649" s="439" t="s">
        <v>453</v>
      </c>
    </row>
    <row r="650" spans="1:38" ht="12.6" customHeight="1" x14ac:dyDescent="0.2">
      <c r="A650" s="10"/>
      <c r="B650" s="1004" t="s">
        <v>452</v>
      </c>
      <c r="C650" s="1004"/>
      <c r="D650" s="1004"/>
      <c r="E650" s="1004"/>
      <c r="F650" s="293"/>
      <c r="G650" s="293"/>
      <c r="H650" s="102"/>
      <c r="I650" s="102"/>
      <c r="J650" s="573"/>
      <c r="K650" s="293"/>
      <c r="L650" s="573"/>
      <c r="M650" s="293"/>
      <c r="N650" s="573"/>
      <c r="O650" s="293"/>
      <c r="P650" s="573"/>
      <c r="Q650" s="293"/>
      <c r="R650" s="573"/>
      <c r="S650" s="293"/>
      <c r="T650" s="573"/>
      <c r="U650" s="293"/>
      <c r="V650" s="564"/>
      <c r="W650" s="565"/>
      <c r="X650" s="136"/>
      <c r="Y650" s="140"/>
      <c r="Z650" s="136"/>
      <c r="AA650" s="139"/>
      <c r="AB650" s="439" t="s">
        <v>320</v>
      </c>
    </row>
    <row r="651" spans="1:38" s="1" customFormat="1" ht="12.6" customHeight="1" x14ac:dyDescent="0.2">
      <c r="A651" s="19"/>
      <c r="B651" s="708" t="s">
        <v>884</v>
      </c>
      <c r="C651" s="709"/>
      <c r="D651" s="709"/>
      <c r="E651" s="709"/>
      <c r="F651" s="339">
        <v>20176</v>
      </c>
      <c r="G651" s="294">
        <f t="shared" ref="G651" si="1551">+F651*$X$1</f>
        <v>20176</v>
      </c>
      <c r="H651" s="492"/>
      <c r="I651" s="294"/>
      <c r="J651" s="90">
        <f>F651+500</f>
        <v>20676</v>
      </c>
      <c r="K651" s="294">
        <f>+J651*$X$1</f>
        <v>20676</v>
      </c>
      <c r="L651" s="492">
        <f>F651+250</f>
        <v>20426</v>
      </c>
      <c r="M651" s="294">
        <f t="shared" ref="M651" si="1552">+L651*$X$1</f>
        <v>20426</v>
      </c>
      <c r="N651" s="492">
        <f>F651+100</f>
        <v>20276</v>
      </c>
      <c r="O651" s="294">
        <f t="shared" ref="O651" si="1553">+N651*$X$1</f>
        <v>20276</v>
      </c>
      <c r="P651" s="492">
        <f>F651+80</f>
        <v>20256</v>
      </c>
      <c r="Q651" s="294">
        <f t="shared" ref="Q651" si="1554">+P651*$X$1</f>
        <v>20256</v>
      </c>
      <c r="R651" s="492">
        <f>F651+60</f>
        <v>20236</v>
      </c>
      <c r="S651" s="294">
        <f t="shared" ref="S651" si="1555">+R651*$X$1</f>
        <v>20236</v>
      </c>
      <c r="T651" s="492">
        <f>F651+50</f>
        <v>20226</v>
      </c>
      <c r="U651" s="294">
        <f t="shared" ref="U651" si="1556">+T651*$X$1</f>
        <v>20226</v>
      </c>
      <c r="V651" s="492"/>
      <c r="W651" s="294"/>
      <c r="X651" s="685"/>
      <c r="Y651" s="700"/>
      <c r="Z651" s="700"/>
      <c r="AA651" s="687"/>
      <c r="AB651" s="197" t="s">
        <v>882</v>
      </c>
      <c r="AC651" s="4"/>
      <c r="AD651" s="4"/>
      <c r="AE651" s="4"/>
      <c r="AF651" s="4"/>
      <c r="AG651" s="4"/>
      <c r="AH651" s="129"/>
      <c r="AI651" s="4"/>
      <c r="AJ651" s="4"/>
      <c r="AK651" s="4"/>
      <c r="AL651" s="4"/>
    </row>
    <row r="652" spans="1:38" s="1" customFormat="1" ht="12.6" customHeight="1" x14ac:dyDescent="0.2">
      <c r="A652" s="19"/>
      <c r="B652" s="708" t="s">
        <v>885</v>
      </c>
      <c r="C652" s="709"/>
      <c r="D652" s="709"/>
      <c r="E652" s="709"/>
      <c r="F652" s="340">
        <v>11058</v>
      </c>
      <c r="G652" s="293">
        <f t="shared" ref="G652" si="1557">+F652*$X$1</f>
        <v>11058</v>
      </c>
      <c r="H652" s="573"/>
      <c r="I652" s="293"/>
      <c r="J652" s="72">
        <f>F652+500</f>
        <v>11558</v>
      </c>
      <c r="K652" s="293">
        <f>+J652*$X$1</f>
        <v>11558</v>
      </c>
      <c r="L652" s="573">
        <f>F652+250</f>
        <v>11308</v>
      </c>
      <c r="M652" s="293">
        <f t="shared" ref="M652" si="1558">+L652*$X$1</f>
        <v>11308</v>
      </c>
      <c r="N652" s="573">
        <f>F652+100</f>
        <v>11158</v>
      </c>
      <c r="O652" s="293">
        <f t="shared" ref="O652" si="1559">+N652*$X$1</f>
        <v>11158</v>
      </c>
      <c r="P652" s="573">
        <f>F652+80</f>
        <v>11138</v>
      </c>
      <c r="Q652" s="293">
        <f t="shared" ref="Q652" si="1560">+P652*$X$1</f>
        <v>11138</v>
      </c>
      <c r="R652" s="573">
        <f>F652+60</f>
        <v>11118</v>
      </c>
      <c r="S652" s="293">
        <f t="shared" ref="S652" si="1561">+R652*$X$1</f>
        <v>11118</v>
      </c>
      <c r="T652" s="573">
        <f>F652+50</f>
        <v>11108</v>
      </c>
      <c r="U652" s="293">
        <f t="shared" ref="U652" si="1562">+T652*$X$1</f>
        <v>11108</v>
      </c>
      <c r="V652" s="573"/>
      <c r="W652" s="293"/>
      <c r="X652" s="685"/>
      <c r="Y652" s="700"/>
      <c r="Z652" s="700"/>
      <c r="AA652" s="687"/>
      <c r="AB652" s="197" t="s">
        <v>883</v>
      </c>
      <c r="AC652" s="4"/>
      <c r="AD652" s="4"/>
      <c r="AE652" s="4"/>
      <c r="AF652" s="4"/>
      <c r="AG652" s="4"/>
      <c r="AH652" s="129"/>
      <c r="AI652" s="4"/>
      <c r="AJ652" s="4"/>
      <c r="AK652" s="4"/>
      <c r="AL652" s="4"/>
    </row>
    <row r="653" spans="1:38" ht="12.6" customHeight="1" x14ac:dyDescent="0.2">
      <c r="A653" s="208"/>
      <c r="B653" s="774" t="s">
        <v>552</v>
      </c>
      <c r="C653" s="705"/>
      <c r="D653" s="705"/>
      <c r="E653" s="705"/>
      <c r="F653" s="339">
        <v>18624</v>
      </c>
      <c r="G653" s="294">
        <f t="shared" ref="G653" si="1563">+F653*$X$1</f>
        <v>18624</v>
      </c>
      <c r="H653" s="265"/>
      <c r="I653" s="265"/>
      <c r="J653" s="492">
        <f t="shared" ref="J653:J661" si="1564">F653+500</f>
        <v>19124</v>
      </c>
      <c r="K653" s="294">
        <f t="shared" ref="K653:K655" si="1565">+J653*$X$1</f>
        <v>19124</v>
      </c>
      <c r="L653" s="492">
        <f>F653+410</f>
        <v>19034</v>
      </c>
      <c r="M653" s="294">
        <f>+L653*$X$1</f>
        <v>19034</v>
      </c>
      <c r="N653" s="492">
        <f>F653+370</f>
        <v>18994</v>
      </c>
      <c r="O653" s="294">
        <f>+N653*$X$1</f>
        <v>18994</v>
      </c>
      <c r="P653" s="492">
        <f>F653+330</f>
        <v>18954</v>
      </c>
      <c r="Q653" s="294">
        <f>+P653*$X$1</f>
        <v>18954</v>
      </c>
      <c r="R653" s="492">
        <f>F653+290</f>
        <v>18914</v>
      </c>
      <c r="S653" s="294">
        <f>+R653*$X$1</f>
        <v>18914</v>
      </c>
      <c r="T653" s="492">
        <f>F653+240</f>
        <v>18864</v>
      </c>
      <c r="U653" s="294">
        <f t="shared" ref="U653" si="1566">+T653*$X$1</f>
        <v>18864</v>
      </c>
      <c r="V653" s="566"/>
      <c r="W653" s="294"/>
      <c r="X653" s="316"/>
      <c r="Y653" s="316"/>
      <c r="Z653" s="316"/>
      <c r="AA653" s="316"/>
      <c r="AB653" s="439" t="s">
        <v>686</v>
      </c>
    </row>
    <row r="654" spans="1:38" ht="12.6" customHeight="1" x14ac:dyDescent="0.2">
      <c r="A654" s="208"/>
      <c r="B654" s="813" t="s">
        <v>433</v>
      </c>
      <c r="C654" s="814"/>
      <c r="D654" s="814"/>
      <c r="E654" s="814"/>
      <c r="F654" s="340">
        <v>20890</v>
      </c>
      <c r="G654" s="293">
        <f t="shared" ref="G654:G659" si="1567">+F654*$X$1</f>
        <v>20890</v>
      </c>
      <c r="H654" s="267"/>
      <c r="I654" s="267"/>
      <c r="J654" s="573"/>
      <c r="K654" s="293"/>
      <c r="L654" s="573">
        <f>F654+250</f>
        <v>21140</v>
      </c>
      <c r="M654" s="293">
        <f t="shared" ref="M654" si="1568">+L654*$X$1</f>
        <v>21140</v>
      </c>
      <c r="N654" s="573">
        <f>F654+100</f>
        <v>20990</v>
      </c>
      <c r="O654" s="293">
        <f t="shared" ref="O654" si="1569">+N654*$X$1</f>
        <v>20990</v>
      </c>
      <c r="P654" s="573">
        <f>F654+80</f>
        <v>20970</v>
      </c>
      <c r="Q654" s="293">
        <f t="shared" ref="Q654" si="1570">+P654*$X$1</f>
        <v>20970</v>
      </c>
      <c r="R654" s="573">
        <f>F654+60</f>
        <v>20950</v>
      </c>
      <c r="S654" s="293">
        <f t="shared" ref="S654" si="1571">+R654*$X$1</f>
        <v>20950</v>
      </c>
      <c r="T654" s="573">
        <f>F654+50</f>
        <v>20940</v>
      </c>
      <c r="U654" s="293">
        <f t="shared" ref="U654" si="1572">+T654*$X$1</f>
        <v>20940</v>
      </c>
      <c r="V654" s="573"/>
      <c r="W654" s="293"/>
      <c r="X654" s="156"/>
      <c r="Y654" s="156"/>
      <c r="Z654" s="156"/>
      <c r="AA654" s="156"/>
      <c r="AB654" s="439" t="s">
        <v>436</v>
      </c>
    </row>
    <row r="655" spans="1:38" ht="12.6" customHeight="1" x14ac:dyDescent="0.2">
      <c r="A655" s="208"/>
      <c r="B655" s="910" t="s">
        <v>551</v>
      </c>
      <c r="C655" s="713"/>
      <c r="D655" s="713"/>
      <c r="E655" s="713"/>
      <c r="F655" s="339">
        <v>21780</v>
      </c>
      <c r="G655" s="294">
        <f t="shared" ref="G655:G656" si="1573">+F655*$X$1</f>
        <v>21780</v>
      </c>
      <c r="H655" s="492">
        <f>F655+2400</f>
        <v>24180</v>
      </c>
      <c r="I655" s="294">
        <f t="shared" ref="I655" si="1574">+H655*$X$1</f>
        <v>24180</v>
      </c>
      <c r="J655" s="492">
        <f t="shared" si="1564"/>
        <v>22280</v>
      </c>
      <c r="K655" s="294">
        <f t="shared" si="1565"/>
        <v>22280</v>
      </c>
      <c r="L655" s="492">
        <f>F655+250</f>
        <v>22030</v>
      </c>
      <c r="M655" s="294">
        <f t="shared" ref="M655:M656" si="1575">+L655*$X$1</f>
        <v>22030</v>
      </c>
      <c r="N655" s="492">
        <f>F655+100</f>
        <v>21880</v>
      </c>
      <c r="O655" s="294">
        <f t="shared" ref="O655:O656" si="1576">+N655*$X$1</f>
        <v>21880</v>
      </c>
      <c r="P655" s="492">
        <f>F655+80</f>
        <v>21860</v>
      </c>
      <c r="Q655" s="294">
        <f t="shared" ref="Q655:Q656" si="1577">+P655*$X$1</f>
        <v>21860</v>
      </c>
      <c r="R655" s="492">
        <f>F655+60</f>
        <v>21840</v>
      </c>
      <c r="S655" s="294">
        <f t="shared" ref="S655:S656" si="1578">+R655*$X$1</f>
        <v>21840</v>
      </c>
      <c r="T655" s="492">
        <f>F655+50</f>
        <v>21830</v>
      </c>
      <c r="U655" s="294">
        <f t="shared" ref="U655:U661" si="1579">+T655*$X$1</f>
        <v>21830</v>
      </c>
      <c r="V655" s="492"/>
      <c r="W655" s="294"/>
      <c r="X655" s="316"/>
      <c r="Y655" s="316"/>
      <c r="Z655" s="316"/>
      <c r="AA655" s="316"/>
      <c r="AB655" s="439" t="s">
        <v>553</v>
      </c>
    </row>
    <row r="656" spans="1:38" ht="12.6" customHeight="1" x14ac:dyDescent="0.2">
      <c r="A656" s="208"/>
      <c r="B656" s="813" t="s">
        <v>783</v>
      </c>
      <c r="C656" s="814"/>
      <c r="D656" s="814"/>
      <c r="E656" s="814"/>
      <c r="F656" s="340">
        <v>21603</v>
      </c>
      <c r="G656" s="293">
        <f t="shared" si="1573"/>
        <v>21603</v>
      </c>
      <c r="H656" s="573">
        <f>F656+2400</f>
        <v>24003</v>
      </c>
      <c r="I656" s="293">
        <f t="shared" ref="I656" si="1580">+H656*$X$1</f>
        <v>24003</v>
      </c>
      <c r="J656" s="573">
        <f t="shared" ref="J656" si="1581">F656+500</f>
        <v>22103</v>
      </c>
      <c r="K656" s="293">
        <f t="shared" ref="K656" si="1582">+J656*$X$1</f>
        <v>22103</v>
      </c>
      <c r="L656" s="573">
        <f>F656+250</f>
        <v>21853</v>
      </c>
      <c r="M656" s="293">
        <f t="shared" si="1575"/>
        <v>21853</v>
      </c>
      <c r="N656" s="573">
        <f>F656+100</f>
        <v>21703</v>
      </c>
      <c r="O656" s="293">
        <f t="shared" si="1576"/>
        <v>21703</v>
      </c>
      <c r="P656" s="573">
        <f>F656+80</f>
        <v>21683</v>
      </c>
      <c r="Q656" s="293">
        <f t="shared" si="1577"/>
        <v>21683</v>
      </c>
      <c r="R656" s="573">
        <f>F656+60</f>
        <v>21663</v>
      </c>
      <c r="S656" s="293">
        <f t="shared" si="1578"/>
        <v>21663</v>
      </c>
      <c r="T656" s="573">
        <f>F656+50</f>
        <v>21653</v>
      </c>
      <c r="U656" s="293">
        <f t="shared" si="1579"/>
        <v>21653</v>
      </c>
      <c r="V656" s="573"/>
      <c r="W656" s="293"/>
      <c r="X656" s="489"/>
      <c r="Y656" s="489"/>
      <c r="Z656" s="489"/>
      <c r="AA656" s="489"/>
      <c r="AB656" s="439" t="s">
        <v>784</v>
      </c>
    </row>
    <row r="657" spans="1:35" ht="12.6" customHeight="1" x14ac:dyDescent="0.2">
      <c r="A657" s="208"/>
      <c r="B657" s="910" t="s">
        <v>432</v>
      </c>
      <c r="C657" s="713"/>
      <c r="D657" s="713"/>
      <c r="E657" s="713"/>
      <c r="F657" s="339">
        <v>23148</v>
      </c>
      <c r="G657" s="294">
        <f t="shared" si="1567"/>
        <v>23148</v>
      </c>
      <c r="H657" s="265"/>
      <c r="I657" s="265"/>
      <c r="J657" s="492">
        <f t="shared" si="1564"/>
        <v>23648</v>
      </c>
      <c r="K657" s="294">
        <f t="shared" ref="K657:K661" si="1583">+J657*$X$1</f>
        <v>23648</v>
      </c>
      <c r="L657" s="103">
        <f>F657+410</f>
        <v>23558</v>
      </c>
      <c r="M657" s="328">
        <f>+L657*$X$1</f>
        <v>23558</v>
      </c>
      <c r="N657" s="103">
        <f>F657+370</f>
        <v>23518</v>
      </c>
      <c r="O657" s="328">
        <f>+N657*$X$1</f>
        <v>23518</v>
      </c>
      <c r="P657" s="103">
        <f>F657+330</f>
        <v>23478</v>
      </c>
      <c r="Q657" s="328">
        <f>+P657*$X$1</f>
        <v>23478</v>
      </c>
      <c r="R657" s="103">
        <f>F657+290</f>
        <v>23438</v>
      </c>
      <c r="S657" s="328">
        <f>+R657*$X$1</f>
        <v>23438</v>
      </c>
      <c r="T657" s="492">
        <f>F657+240</f>
        <v>23388</v>
      </c>
      <c r="U657" s="294">
        <f t="shared" si="1579"/>
        <v>23388</v>
      </c>
      <c r="V657" s="540"/>
      <c r="W657" s="294"/>
      <c r="X657" s="156"/>
      <c r="Y657" s="156"/>
      <c r="Z657" s="156"/>
      <c r="AA657" s="156"/>
      <c r="AB657" s="439" t="s">
        <v>435</v>
      </c>
    </row>
    <row r="658" spans="1:35" ht="12.6" customHeight="1" x14ac:dyDescent="0.2">
      <c r="A658" s="208"/>
      <c r="B658" s="813" t="s">
        <v>554</v>
      </c>
      <c r="C658" s="814"/>
      <c r="D658" s="814"/>
      <c r="E658" s="814"/>
      <c r="F658" s="392">
        <f>15.3*X2</f>
        <v>15866.1</v>
      </c>
      <c r="G658" s="293">
        <f t="shared" ref="G658" si="1584">+F658*$X$1</f>
        <v>15866.1</v>
      </c>
      <c r="H658" s="267"/>
      <c r="I658" s="267"/>
      <c r="J658" s="573">
        <f t="shared" si="1564"/>
        <v>16366.1</v>
      </c>
      <c r="K658" s="293">
        <f t="shared" si="1583"/>
        <v>16366.1</v>
      </c>
      <c r="L658" s="104">
        <f>F658+410</f>
        <v>16276.1</v>
      </c>
      <c r="M658" s="314">
        <f>+L658*$X$1</f>
        <v>16276.1</v>
      </c>
      <c r="N658" s="104">
        <f>F658+370</f>
        <v>16236.1</v>
      </c>
      <c r="O658" s="314">
        <f>+N658*$X$1</f>
        <v>16236.1</v>
      </c>
      <c r="P658" s="104">
        <f>F658+330</f>
        <v>16196.1</v>
      </c>
      <c r="Q658" s="314">
        <f>+P658*$X$1</f>
        <v>16196.1</v>
      </c>
      <c r="R658" s="104">
        <f>F658+290</f>
        <v>16156.1</v>
      </c>
      <c r="S658" s="314">
        <f>+R658*$X$1</f>
        <v>16156.1</v>
      </c>
      <c r="T658" s="573">
        <f>F658+240</f>
        <v>16106.1</v>
      </c>
      <c r="U658" s="293">
        <f t="shared" si="1579"/>
        <v>16106.1</v>
      </c>
      <c r="V658" s="318"/>
      <c r="W658" s="293"/>
      <c r="X658" s="319"/>
      <c r="Y658" s="319"/>
      <c r="Z658" s="319"/>
      <c r="AA658" s="319"/>
      <c r="AB658" s="439" t="s">
        <v>687</v>
      </c>
    </row>
    <row r="659" spans="1:35" ht="12.6" customHeight="1" x14ac:dyDescent="0.2">
      <c r="A659" s="208"/>
      <c r="B659" s="910" t="s">
        <v>483</v>
      </c>
      <c r="C659" s="713"/>
      <c r="D659" s="713"/>
      <c r="E659" s="713"/>
      <c r="F659" s="393">
        <f>9.65*X2</f>
        <v>10007.050000000001</v>
      </c>
      <c r="G659" s="294">
        <f t="shared" si="1567"/>
        <v>10007.050000000001</v>
      </c>
      <c r="H659" s="265"/>
      <c r="I659" s="265"/>
      <c r="J659" s="492">
        <f t="shared" si="1564"/>
        <v>10507.050000000001</v>
      </c>
      <c r="K659" s="294">
        <f t="shared" si="1583"/>
        <v>10507.050000000001</v>
      </c>
      <c r="L659" s="103">
        <f>F659+410</f>
        <v>10417.050000000001</v>
      </c>
      <c r="M659" s="328">
        <f>+L659*$X$1</f>
        <v>10417.050000000001</v>
      </c>
      <c r="N659" s="103">
        <f>F659+370</f>
        <v>10377.050000000001</v>
      </c>
      <c r="O659" s="328">
        <f>+N659*$X$1</f>
        <v>10377.050000000001</v>
      </c>
      <c r="P659" s="103">
        <f>F659+330</f>
        <v>10337.050000000001</v>
      </c>
      <c r="Q659" s="328">
        <f>+P659*$X$1</f>
        <v>10337.050000000001</v>
      </c>
      <c r="R659" s="103">
        <f>F659+290</f>
        <v>10297.050000000001</v>
      </c>
      <c r="S659" s="328">
        <f>+R659*$X$1</f>
        <v>10297.050000000001</v>
      </c>
      <c r="T659" s="492">
        <f>F659+240</f>
        <v>10247.050000000001</v>
      </c>
      <c r="U659" s="294">
        <f t="shared" si="1579"/>
        <v>10247.050000000001</v>
      </c>
      <c r="V659" s="492"/>
      <c r="W659" s="294"/>
      <c r="X659" s="156"/>
      <c r="Y659" s="156"/>
      <c r="Z659" s="156"/>
      <c r="AA659" s="156"/>
      <c r="AB659" s="439" t="s">
        <v>666</v>
      </c>
    </row>
    <row r="660" spans="1:35" ht="12.6" customHeight="1" x14ac:dyDescent="0.2">
      <c r="A660" s="208"/>
      <c r="B660" s="813" t="s">
        <v>690</v>
      </c>
      <c r="C660" s="814"/>
      <c r="D660" s="814"/>
      <c r="E660" s="814"/>
      <c r="F660" s="392">
        <f>16.76*X2</f>
        <v>17380.120000000003</v>
      </c>
      <c r="G660" s="293">
        <f t="shared" ref="G660" si="1585">+F660*$X$1</f>
        <v>17380.120000000003</v>
      </c>
      <c r="H660" s="267"/>
      <c r="I660" s="267"/>
      <c r="J660" s="573">
        <f t="shared" si="1564"/>
        <v>17880.120000000003</v>
      </c>
      <c r="K660" s="293">
        <f t="shared" si="1583"/>
        <v>17880.120000000003</v>
      </c>
      <c r="L660" s="104">
        <f>F660+410</f>
        <v>17790.120000000003</v>
      </c>
      <c r="M660" s="314">
        <f>+L660*$X$1</f>
        <v>17790.120000000003</v>
      </c>
      <c r="N660" s="104">
        <f>F660+370</f>
        <v>17750.120000000003</v>
      </c>
      <c r="O660" s="314">
        <f>+N660*$X$1</f>
        <v>17750.120000000003</v>
      </c>
      <c r="P660" s="104">
        <f>F660+330</f>
        <v>17710.120000000003</v>
      </c>
      <c r="Q660" s="314">
        <f>+P660*$X$1</f>
        <v>17710.120000000003</v>
      </c>
      <c r="R660" s="104">
        <f>F660+290</f>
        <v>17670.120000000003</v>
      </c>
      <c r="S660" s="314">
        <f>+R660*$X$1</f>
        <v>17670.120000000003</v>
      </c>
      <c r="T660" s="573">
        <f>F660+240</f>
        <v>17620.120000000003</v>
      </c>
      <c r="U660" s="293">
        <f t="shared" si="1579"/>
        <v>17620.120000000003</v>
      </c>
      <c r="V660" s="573"/>
      <c r="W660" s="293"/>
      <c r="X660" s="408"/>
      <c r="Y660" s="408"/>
      <c r="Z660" s="408"/>
      <c r="AA660" s="408"/>
      <c r="AB660" s="439" t="s">
        <v>667</v>
      </c>
    </row>
    <row r="661" spans="1:35" ht="12.6" customHeight="1" x14ac:dyDescent="0.2">
      <c r="A661" s="208"/>
      <c r="B661" s="910" t="s">
        <v>482</v>
      </c>
      <c r="C661" s="713"/>
      <c r="D661" s="713"/>
      <c r="E661" s="713"/>
      <c r="F661" s="393">
        <f>12.57*X2</f>
        <v>13035.09</v>
      </c>
      <c r="G661" s="294">
        <f t="shared" ref="G661" si="1586">+F661*$X$1</f>
        <v>13035.09</v>
      </c>
      <c r="H661" s="265"/>
      <c r="I661" s="265"/>
      <c r="J661" s="492">
        <f t="shared" si="1564"/>
        <v>13535.09</v>
      </c>
      <c r="K661" s="294">
        <f t="shared" si="1583"/>
        <v>13535.09</v>
      </c>
      <c r="L661" s="103">
        <f>F661+410</f>
        <v>13445.09</v>
      </c>
      <c r="M661" s="328">
        <f>+L661*$X$1</f>
        <v>13445.09</v>
      </c>
      <c r="N661" s="103">
        <f>F661+370</f>
        <v>13405.09</v>
      </c>
      <c r="O661" s="328">
        <f>+N661*$X$1</f>
        <v>13405.09</v>
      </c>
      <c r="P661" s="103">
        <f>F661+330</f>
        <v>13365.09</v>
      </c>
      <c r="Q661" s="328">
        <f>+P661*$X$1</f>
        <v>13365.09</v>
      </c>
      <c r="R661" s="103">
        <f>F661+290</f>
        <v>13325.09</v>
      </c>
      <c r="S661" s="328">
        <f>+R661*$X$1</f>
        <v>13325.09</v>
      </c>
      <c r="T661" s="492">
        <f>F661+240</f>
        <v>13275.09</v>
      </c>
      <c r="U661" s="294">
        <f t="shared" si="1579"/>
        <v>13275.09</v>
      </c>
      <c r="V661" s="492"/>
      <c r="W661" s="294"/>
      <c r="X661" s="156"/>
      <c r="Y661" s="156"/>
      <c r="Z661" s="156"/>
      <c r="AA661" s="156"/>
      <c r="AB661" s="439" t="s">
        <v>668</v>
      </c>
    </row>
    <row r="662" spans="1:35" ht="14.25" customHeight="1" x14ac:dyDescent="0.2">
      <c r="A662" s="208"/>
      <c r="B662" s="109"/>
      <c r="C662" s="558"/>
      <c r="D662" s="558"/>
      <c r="E662" s="558"/>
      <c r="F662" s="447"/>
      <c r="G662" s="345"/>
      <c r="H662" s="118"/>
      <c r="I662" s="345"/>
      <c r="J662" s="118"/>
      <c r="K662" s="345"/>
      <c r="L662" s="118"/>
      <c r="M662" s="345"/>
      <c r="N662" s="118"/>
      <c r="O662" s="345"/>
      <c r="P662" s="118"/>
      <c r="Q662" s="345"/>
      <c r="R662" s="118"/>
      <c r="S662" s="345"/>
      <c r="T662" s="118"/>
      <c r="U662" s="345"/>
      <c r="V662" s="76"/>
      <c r="W662" s="503"/>
      <c r="X662" s="557"/>
      <c r="Y662" s="557"/>
      <c r="Z662" s="557"/>
      <c r="AA662" s="557"/>
      <c r="AB662" s="448"/>
    </row>
    <row r="663" spans="1:35" ht="20.25" customHeight="1" x14ac:dyDescent="0.2">
      <c r="A663" s="28"/>
      <c r="B663" s="1087" t="s">
        <v>321</v>
      </c>
      <c r="C663" s="1088"/>
      <c r="D663" s="1088"/>
      <c r="E663" s="1088"/>
      <c r="F663" s="1088"/>
      <c r="G663" s="1088"/>
      <c r="H663" s="1088"/>
      <c r="I663" s="1088"/>
      <c r="J663" s="1088"/>
      <c r="K663" s="1088"/>
      <c r="L663" s="1088"/>
      <c r="M663" s="1088"/>
      <c r="N663" s="1088"/>
      <c r="O663" s="1088"/>
      <c r="P663" s="1088"/>
      <c r="Q663" s="1088"/>
      <c r="R663" s="1088"/>
      <c r="S663" s="1088"/>
      <c r="T663" s="1088"/>
      <c r="U663" s="1088"/>
      <c r="V663" s="1088"/>
      <c r="W663" s="1089"/>
      <c r="AF663" s="645"/>
      <c r="AG663" s="646"/>
      <c r="AH663" s="646"/>
    </row>
    <row r="664" spans="1:35" ht="12.6" customHeight="1" x14ac:dyDescent="0.2">
      <c r="A664" s="18"/>
      <c r="B664" s="999"/>
      <c r="C664" s="1000"/>
      <c r="D664" s="1000"/>
      <c r="E664" s="1000"/>
      <c r="F664" s="1000"/>
      <c r="G664" s="1001"/>
      <c r="H664" s="524"/>
      <c r="I664" s="525" t="s">
        <v>293</v>
      </c>
      <c r="J664" s="525"/>
      <c r="K664" s="525" t="s">
        <v>17</v>
      </c>
      <c r="L664" s="525"/>
      <c r="M664" s="525" t="s">
        <v>18</v>
      </c>
      <c r="N664" s="525"/>
      <c r="O664" s="525" t="s">
        <v>19</v>
      </c>
      <c r="P664" s="525"/>
      <c r="Q664" s="525" t="s">
        <v>295</v>
      </c>
      <c r="R664" s="525"/>
      <c r="S664" s="525" t="s">
        <v>20</v>
      </c>
      <c r="T664" s="525"/>
      <c r="U664" s="525" t="s">
        <v>21</v>
      </c>
      <c r="V664" s="525"/>
      <c r="W664" s="525" t="s">
        <v>22</v>
      </c>
    </row>
    <row r="665" spans="1:35" ht="12.6" customHeight="1" x14ac:dyDescent="0.2">
      <c r="A665" s="992"/>
      <c r="B665" s="1005" t="s">
        <v>524</v>
      </c>
      <c r="C665" s="1006"/>
      <c r="D665" s="1006"/>
      <c r="E665" s="1006"/>
      <c r="F665" s="1006"/>
      <c r="G665" s="1007"/>
      <c r="H665" s="301"/>
      <c r="I665" s="409"/>
      <c r="J665" s="410"/>
      <c r="K665" s="376"/>
      <c r="L665" s="300">
        <v>90</v>
      </c>
      <c r="M665" s="376">
        <f>+L665*$X$1</f>
        <v>90</v>
      </c>
      <c r="N665" s="492">
        <v>50</v>
      </c>
      <c r="O665" s="376">
        <f>+N665*$X$1</f>
        <v>50</v>
      </c>
      <c r="P665" s="492">
        <v>40</v>
      </c>
      <c r="Q665" s="376">
        <f>+P665*$X$1</f>
        <v>40</v>
      </c>
      <c r="R665" s="492">
        <v>35</v>
      </c>
      <c r="S665" s="376">
        <f>+R665*$X$1</f>
        <v>35</v>
      </c>
      <c r="T665" s="492">
        <v>31</v>
      </c>
      <c r="U665" s="377">
        <f>+T665*$X$1</f>
        <v>31</v>
      </c>
      <c r="V665" s="492">
        <v>28</v>
      </c>
      <c r="W665" s="376">
        <f>+V665*$X$1</f>
        <v>28</v>
      </c>
    </row>
    <row r="666" spans="1:35" ht="12.6" customHeight="1" x14ac:dyDescent="0.2">
      <c r="A666" s="992"/>
      <c r="B666" s="1090" t="s">
        <v>322</v>
      </c>
      <c r="C666" s="1091"/>
      <c r="D666" s="1091"/>
      <c r="E666" s="1091"/>
      <c r="F666" s="1091"/>
      <c r="G666" s="1092"/>
      <c r="H666" s="76"/>
      <c r="I666" s="411"/>
      <c r="J666" s="412">
        <v>180</v>
      </c>
      <c r="K666" s="378">
        <f>+J666*$X$1</f>
        <v>180</v>
      </c>
      <c r="L666" s="413">
        <v>120</v>
      </c>
      <c r="M666" s="414">
        <f>+L666*$X$1</f>
        <v>120</v>
      </c>
      <c r="N666" s="113">
        <v>70</v>
      </c>
      <c r="O666" s="414">
        <f>+N666*$X$1</f>
        <v>70</v>
      </c>
      <c r="P666" s="113">
        <v>60</v>
      </c>
      <c r="Q666" s="414">
        <f>+P666*$X$1</f>
        <v>60</v>
      </c>
      <c r="R666" s="113">
        <v>50</v>
      </c>
      <c r="S666" s="414">
        <f>+R666*$X$1</f>
        <v>50</v>
      </c>
      <c r="T666" s="113">
        <v>45</v>
      </c>
      <c r="U666" s="414">
        <f>+T666*$X$1</f>
        <v>45</v>
      </c>
      <c r="V666" s="113">
        <v>40</v>
      </c>
      <c r="W666" s="414">
        <f>+V666*$X$1</f>
        <v>40</v>
      </c>
    </row>
    <row r="667" spans="1:35" ht="12.6" customHeight="1" x14ac:dyDescent="0.2">
      <c r="A667" s="992"/>
      <c r="B667" s="1005" t="s">
        <v>525</v>
      </c>
      <c r="C667" s="1006"/>
      <c r="D667" s="1006"/>
      <c r="E667" s="1006"/>
      <c r="F667" s="1006"/>
      <c r="G667" s="1007"/>
      <c r="H667" s="300"/>
      <c r="I667" s="376"/>
      <c r="J667" s="300"/>
      <c r="K667" s="376"/>
      <c r="L667" s="300">
        <v>90</v>
      </c>
      <c r="M667" s="376">
        <f>+L667*$X$1</f>
        <v>90</v>
      </c>
      <c r="N667" s="492">
        <v>70</v>
      </c>
      <c r="O667" s="376">
        <f>+N667*$X$1</f>
        <v>70</v>
      </c>
      <c r="P667" s="492">
        <v>65</v>
      </c>
      <c r="Q667" s="376">
        <f>+P667*$X$1</f>
        <v>65</v>
      </c>
      <c r="R667" s="492">
        <v>55</v>
      </c>
      <c r="S667" s="376">
        <f>+R667*$X$1</f>
        <v>55</v>
      </c>
      <c r="T667" s="492">
        <v>50</v>
      </c>
      <c r="U667" s="377">
        <f>+T667*$X$1</f>
        <v>50</v>
      </c>
      <c r="V667" s="492">
        <v>45</v>
      </c>
      <c r="W667" s="376">
        <f>+V667*$X$1</f>
        <v>45</v>
      </c>
    </row>
    <row r="668" spans="1:35" ht="12.6" customHeight="1" x14ac:dyDescent="0.2">
      <c r="A668" s="992"/>
      <c r="B668" s="1008" t="s">
        <v>523</v>
      </c>
      <c r="C668" s="1009"/>
      <c r="D668" s="1009"/>
      <c r="E668" s="1009"/>
      <c r="F668" s="1009"/>
      <c r="G668" s="1010"/>
      <c r="H668" s="415">
        <v>300</v>
      </c>
      <c r="I668" s="378">
        <f>+H668*$X$1</f>
        <v>300</v>
      </c>
      <c r="J668" s="415">
        <v>220</v>
      </c>
      <c r="K668" s="378">
        <f>+J668*$X$1</f>
        <v>220</v>
      </c>
      <c r="L668" s="415">
        <v>170</v>
      </c>
      <c r="M668" s="378">
        <f>+L668*$X$1</f>
        <v>170</v>
      </c>
      <c r="N668" s="507">
        <v>150</v>
      </c>
      <c r="O668" s="378">
        <f>+N668*$X$1</f>
        <v>150</v>
      </c>
      <c r="P668" s="507">
        <v>130</v>
      </c>
      <c r="Q668" s="378">
        <f>+P668*$X$1</f>
        <v>130</v>
      </c>
      <c r="R668" s="507">
        <v>110</v>
      </c>
      <c r="S668" s="378">
        <f>+R668*$X$1</f>
        <v>110</v>
      </c>
      <c r="T668" s="507">
        <v>95</v>
      </c>
      <c r="U668" s="414">
        <f>+T668*$X$1</f>
        <v>95</v>
      </c>
      <c r="V668" s="507">
        <v>80</v>
      </c>
      <c r="W668" s="378">
        <f>+V668*$X$1</f>
        <v>80</v>
      </c>
    </row>
    <row r="669" spans="1:35" ht="12.75" customHeight="1" x14ac:dyDescent="0.2">
      <c r="A669" s="992"/>
      <c r="B669" s="1121" t="s">
        <v>874</v>
      </c>
      <c r="C669" s="1122"/>
      <c r="D669" s="1122"/>
      <c r="E669" s="1122"/>
      <c r="F669" s="1122"/>
      <c r="G669" s="1122"/>
      <c r="H669" s="1122"/>
      <c r="I669" s="1122"/>
      <c r="J669" s="1122"/>
      <c r="K669" s="1122"/>
      <c r="L669" s="1122"/>
      <c r="M669" s="1122"/>
      <c r="N669" s="1122"/>
      <c r="O669" s="1122"/>
      <c r="P669" s="1122"/>
      <c r="Q669" s="1122"/>
      <c r="R669" s="1122"/>
      <c r="S669" s="1122"/>
      <c r="T669" s="1122"/>
      <c r="U669" s="1122"/>
      <c r="V669" s="1122"/>
      <c r="W669" s="1123"/>
    </row>
    <row r="670" spans="1:35" ht="13.5" customHeight="1" x14ac:dyDescent="0.2">
      <c r="A670" s="992"/>
      <c r="B670" s="1148" t="s">
        <v>595</v>
      </c>
      <c r="C670" s="1125"/>
      <c r="D670" s="1125"/>
      <c r="E670" s="1125"/>
      <c r="F670" s="1125"/>
      <c r="G670" s="1149"/>
      <c r="H670" s="1085"/>
      <c r="I670" s="1080" t="s">
        <v>293</v>
      </c>
      <c r="J670" s="1085"/>
      <c r="K670" s="1080" t="s">
        <v>17</v>
      </c>
      <c r="L670" s="1080"/>
      <c r="M670" s="1080" t="s">
        <v>18</v>
      </c>
      <c r="N670" s="1080"/>
      <c r="O670" s="1080" t="s">
        <v>19</v>
      </c>
      <c r="P670" s="1080"/>
      <c r="Q670" s="1080" t="s">
        <v>295</v>
      </c>
      <c r="R670" s="1080"/>
      <c r="S670" s="1080" t="s">
        <v>20</v>
      </c>
      <c r="T670" s="1080"/>
      <c r="U670" s="1080" t="s">
        <v>21</v>
      </c>
      <c r="V670" s="1080"/>
      <c r="W670" s="1080" t="s">
        <v>22</v>
      </c>
    </row>
    <row r="671" spans="1:35" ht="11.25" customHeight="1" x14ac:dyDescent="0.2">
      <c r="A671" s="992"/>
      <c r="B671" s="1128"/>
      <c r="C671" s="1129"/>
      <c r="D671" s="1129"/>
      <c r="E671" s="1129"/>
      <c r="F671" s="1129"/>
      <c r="G671" s="1150"/>
      <c r="H671" s="1086"/>
      <c r="I671" s="1093"/>
      <c r="J671" s="1086"/>
      <c r="K671" s="1093"/>
      <c r="L671" s="1081"/>
      <c r="M671" s="1081"/>
      <c r="N671" s="1081"/>
      <c r="O671" s="1081"/>
      <c r="P671" s="1081"/>
      <c r="Q671" s="1081"/>
      <c r="R671" s="1081"/>
      <c r="S671" s="1081"/>
      <c r="T671" s="1081"/>
      <c r="U671" s="1081"/>
      <c r="V671" s="1081"/>
      <c r="W671" s="1081"/>
      <c r="AB671" s="60"/>
      <c r="AC671" s="60"/>
      <c r="AD671" s="60"/>
      <c r="AE671" s="60"/>
      <c r="AF671" s="60"/>
      <c r="AG671" s="60"/>
      <c r="AH671" s="60"/>
      <c r="AI671" s="60"/>
    </row>
    <row r="672" spans="1:35" ht="12.6" customHeight="1" x14ac:dyDescent="0.2">
      <c r="A672" s="992"/>
      <c r="B672" s="996" t="s">
        <v>593</v>
      </c>
      <c r="C672" s="997"/>
      <c r="D672" s="997"/>
      <c r="E672" s="997"/>
      <c r="F672" s="997"/>
      <c r="G672" s="998"/>
      <c r="H672" s="302">
        <v>510</v>
      </c>
      <c r="I672" s="379">
        <f>+H672*$X$1</f>
        <v>510</v>
      </c>
      <c r="J672" s="90">
        <v>410</v>
      </c>
      <c r="K672" s="379">
        <f>+J672*$X$1</f>
        <v>410</v>
      </c>
      <c r="L672" s="492">
        <v>360</v>
      </c>
      <c r="M672" s="376">
        <f>+L672*$X$1</f>
        <v>360</v>
      </c>
      <c r="N672" s="492">
        <v>320</v>
      </c>
      <c r="O672" s="376">
        <f>+N672*$X$1</f>
        <v>320</v>
      </c>
      <c r="P672" s="492">
        <v>270</v>
      </c>
      <c r="Q672" s="376">
        <f>+P672*$X$1</f>
        <v>270</v>
      </c>
      <c r="R672" s="492">
        <v>250</v>
      </c>
      <c r="S672" s="376">
        <f>+R672*$X$1</f>
        <v>250</v>
      </c>
      <c r="T672" s="492">
        <v>230</v>
      </c>
      <c r="U672" s="376">
        <f>+T672*$X$1</f>
        <v>230</v>
      </c>
      <c r="V672" s="492">
        <v>220</v>
      </c>
      <c r="W672" s="376">
        <f>+V672*$X$1</f>
        <v>220</v>
      </c>
    </row>
    <row r="673" spans="1:28" ht="12.6" customHeight="1" x14ac:dyDescent="0.2">
      <c r="A673" s="992"/>
      <c r="B673" s="993" t="s">
        <v>590</v>
      </c>
      <c r="C673" s="994"/>
      <c r="D673" s="994"/>
      <c r="E673" s="994"/>
      <c r="F673" s="994"/>
      <c r="G673" s="995"/>
      <c r="H673" s="93">
        <v>570</v>
      </c>
      <c r="I673" s="416">
        <f>+H673*$X$1</f>
        <v>570</v>
      </c>
      <c r="J673" s="72">
        <v>480</v>
      </c>
      <c r="K673" s="416">
        <f>+J673*$X$1</f>
        <v>480</v>
      </c>
      <c r="L673" s="507">
        <v>450</v>
      </c>
      <c r="M673" s="378">
        <f>+L673*$X$1</f>
        <v>450</v>
      </c>
      <c r="N673" s="507">
        <v>410</v>
      </c>
      <c r="O673" s="378">
        <f>+N673*$X$1</f>
        <v>410</v>
      </c>
      <c r="P673" s="507">
        <v>380</v>
      </c>
      <c r="Q673" s="378">
        <f>+P673*$X$1</f>
        <v>380</v>
      </c>
      <c r="R673" s="507">
        <v>350</v>
      </c>
      <c r="S673" s="378">
        <f>+R673*$X$1</f>
        <v>350</v>
      </c>
      <c r="T673" s="507">
        <v>330</v>
      </c>
      <c r="U673" s="378">
        <f>+T673*$X$1</f>
        <v>330</v>
      </c>
      <c r="V673" s="507">
        <v>310</v>
      </c>
      <c r="W673" s="378">
        <f>+V673*$X$1</f>
        <v>310</v>
      </c>
    </row>
    <row r="674" spans="1:28" ht="12.6" customHeight="1" x14ac:dyDescent="0.2">
      <c r="A674" s="992"/>
      <c r="B674" s="996" t="s">
        <v>592</v>
      </c>
      <c r="C674" s="997"/>
      <c r="D674" s="997"/>
      <c r="E674" s="997"/>
      <c r="F674" s="997"/>
      <c r="G674" s="998"/>
      <c r="H674" s="302">
        <v>780</v>
      </c>
      <c r="I674" s="379">
        <f>+H674*$X$1</f>
        <v>780</v>
      </c>
      <c r="J674" s="90">
        <v>700</v>
      </c>
      <c r="K674" s="379">
        <f>+J674*$X$1</f>
        <v>700</v>
      </c>
      <c r="L674" s="492">
        <v>600</v>
      </c>
      <c r="M674" s="376">
        <f>+L674*$X$1</f>
        <v>600</v>
      </c>
      <c r="N674" s="492">
        <v>550</v>
      </c>
      <c r="O674" s="376">
        <f>+N674*$X$1</f>
        <v>550</v>
      </c>
      <c r="P674" s="492">
        <v>510</v>
      </c>
      <c r="Q674" s="376">
        <f>+P674*$X$1</f>
        <v>510</v>
      </c>
      <c r="R674" s="492">
        <v>490</v>
      </c>
      <c r="S674" s="376">
        <f>+R674*$X$1</f>
        <v>490</v>
      </c>
      <c r="T674" s="492">
        <v>480</v>
      </c>
      <c r="U674" s="376">
        <f>+T674*$X$1</f>
        <v>480</v>
      </c>
      <c r="V674" s="492">
        <v>460</v>
      </c>
      <c r="W674" s="376">
        <f>+V674*$X$1</f>
        <v>460</v>
      </c>
    </row>
    <row r="675" spans="1:28" ht="12.6" customHeight="1" x14ac:dyDescent="0.2">
      <c r="A675" s="992"/>
      <c r="B675" s="993" t="s">
        <v>591</v>
      </c>
      <c r="C675" s="994"/>
      <c r="D675" s="994"/>
      <c r="E675" s="994"/>
      <c r="F675" s="994"/>
      <c r="G675" s="995"/>
      <c r="H675" s="93">
        <v>1060</v>
      </c>
      <c r="I675" s="522">
        <f>+H675*$X$1</f>
        <v>1060</v>
      </c>
      <c r="J675" s="72">
        <v>920</v>
      </c>
      <c r="K675" s="523">
        <f>+J675*$X$1</f>
        <v>920</v>
      </c>
      <c r="L675" s="507">
        <v>800</v>
      </c>
      <c r="M675" s="378">
        <f>+L675*$X$1</f>
        <v>800</v>
      </c>
      <c r="N675" s="507">
        <v>740</v>
      </c>
      <c r="O675" s="378">
        <f>+N675*$X$1</f>
        <v>740</v>
      </c>
      <c r="P675" s="507">
        <v>710</v>
      </c>
      <c r="Q675" s="378">
        <f>+P675*$X$1</f>
        <v>710</v>
      </c>
      <c r="R675" s="507">
        <v>690</v>
      </c>
      <c r="S675" s="378">
        <f>+R675*$X$1</f>
        <v>690</v>
      </c>
      <c r="T675" s="507">
        <v>670</v>
      </c>
      <c r="U675" s="378">
        <f>+T675*$X$1</f>
        <v>670</v>
      </c>
      <c r="V675" s="507">
        <v>650</v>
      </c>
      <c r="W675" s="378">
        <f>+V675*$X$1</f>
        <v>650</v>
      </c>
    </row>
    <row r="676" spans="1:28" ht="8.25" customHeight="1" x14ac:dyDescent="0.2">
      <c r="A676" s="208"/>
      <c r="B676" s="209"/>
      <c r="C676" s="209"/>
      <c r="D676" s="209"/>
      <c r="E676" s="209"/>
      <c r="F676" s="210"/>
      <c r="G676" s="210"/>
      <c r="H676" s="76"/>
      <c r="I676" s="211"/>
      <c r="J676" s="211"/>
      <c r="K676" s="211"/>
      <c r="L676" s="211"/>
      <c r="M676" s="211"/>
      <c r="N676" s="211"/>
      <c r="O676" s="211"/>
      <c r="P676" s="211"/>
      <c r="Q676" s="211"/>
      <c r="R676" s="211"/>
      <c r="S676" s="211"/>
      <c r="T676" s="211"/>
      <c r="U676" s="211"/>
      <c r="V676" s="76"/>
      <c r="W676" s="203"/>
      <c r="X676" s="202"/>
      <c r="Y676" s="202"/>
      <c r="Z676" s="202"/>
      <c r="AA676" s="202"/>
      <c r="AB676" s="212"/>
    </row>
    <row r="677" spans="1:28" ht="13.5" customHeight="1" x14ac:dyDescent="0.2">
      <c r="B677" s="1146" t="s">
        <v>531</v>
      </c>
      <c r="C677" s="1147"/>
      <c r="D677" s="1147"/>
      <c r="E677" s="1147"/>
      <c r="F677" s="1147"/>
      <c r="G677" s="1147"/>
      <c r="H677" s="1147"/>
      <c r="I677" s="1147"/>
      <c r="J677" s="1147"/>
      <c r="K677" s="70" t="s">
        <v>526</v>
      </c>
      <c r="L677" s="71">
        <v>26</v>
      </c>
      <c r="M677" s="375">
        <f>+L677*$X$1</f>
        <v>26</v>
      </c>
      <c r="N677" s="69"/>
      <c r="O677" s="70" t="s">
        <v>527</v>
      </c>
      <c r="P677" s="71">
        <v>24</v>
      </c>
      <c r="Q677" s="375">
        <f>+P677*$X$1</f>
        <v>24</v>
      </c>
      <c r="R677" s="47"/>
      <c r="S677" s="47"/>
      <c r="T677" s="47"/>
      <c r="U677" s="47"/>
      <c r="V677" s="47"/>
      <c r="W677" s="47"/>
    </row>
    <row r="678" spans="1:28" ht="13.5" customHeight="1" x14ac:dyDescent="0.2">
      <c r="B678" s="50"/>
      <c r="C678" s="176"/>
      <c r="D678" s="176"/>
      <c r="E678" s="176"/>
      <c r="F678" s="176"/>
      <c r="G678" s="176"/>
      <c r="H678" s="176"/>
      <c r="I678" s="176"/>
      <c r="J678" s="176"/>
      <c r="K678" s="51"/>
      <c r="L678" s="52"/>
      <c r="M678" s="53"/>
      <c r="N678" s="47"/>
      <c r="O678" s="51"/>
      <c r="P678" s="52"/>
      <c r="Q678" s="53"/>
      <c r="R678" s="47"/>
      <c r="S678" s="47"/>
      <c r="T678" s="47"/>
      <c r="U678" s="47"/>
      <c r="V678" s="47"/>
      <c r="W678" s="47"/>
    </row>
    <row r="679" spans="1:28" x14ac:dyDescent="0.2">
      <c r="B679" s="3"/>
      <c r="C679" s="1144" t="s">
        <v>323</v>
      </c>
      <c r="D679" s="1145"/>
      <c r="E679" s="1145"/>
      <c r="F679" s="1145"/>
      <c r="G679" s="1145"/>
      <c r="H679" s="1145"/>
      <c r="I679" s="1145"/>
      <c r="J679" s="4"/>
      <c r="K679" s="4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7"/>
      <c r="W679" s="7"/>
    </row>
    <row r="680" spans="1:28" ht="12.6" customHeight="1" x14ac:dyDescent="0.2">
      <c r="B680" s="3"/>
      <c r="C680" s="1082" t="s">
        <v>324</v>
      </c>
      <c r="D680" s="1083"/>
      <c r="E680" s="1083"/>
      <c r="F680" s="1083"/>
      <c r="G680" s="1084"/>
      <c r="H680" s="449"/>
      <c r="I680" s="445"/>
      <c r="J680" s="4"/>
      <c r="K680" s="4"/>
      <c r="L680" s="37"/>
      <c r="M680" s="3"/>
      <c r="N680" s="3"/>
      <c r="O680" s="3"/>
      <c r="P680" s="3"/>
      <c r="Q680" s="3"/>
      <c r="R680" s="3"/>
      <c r="S680" s="3"/>
      <c r="T680" s="3"/>
      <c r="U680" s="3"/>
      <c r="V680" s="7"/>
      <c r="W680" s="7"/>
    </row>
    <row r="681" spans="1:28" ht="12.6" customHeight="1" x14ac:dyDescent="0.2">
      <c r="B681" s="3"/>
      <c r="C681" s="1141" t="s">
        <v>325</v>
      </c>
      <c r="D681" s="1142"/>
      <c r="E681" s="1142"/>
      <c r="F681" s="1142"/>
      <c r="G681" s="1143"/>
      <c r="H681" s="42"/>
      <c r="I681" s="450"/>
      <c r="J681" s="4"/>
      <c r="K681" s="4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7"/>
      <c r="W681" s="7"/>
    </row>
    <row r="682" spans="1:28" ht="12.6" customHeight="1" x14ac:dyDescent="0.2">
      <c r="B682" s="3"/>
      <c r="C682" s="1141" t="s">
        <v>326</v>
      </c>
      <c r="D682" s="1142"/>
      <c r="E682" s="1142"/>
      <c r="F682" s="1142"/>
      <c r="G682" s="1143"/>
      <c r="H682" s="44"/>
      <c r="I682" s="374"/>
      <c r="J682" s="4"/>
      <c r="K682" s="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7"/>
      <c r="W682" s="7"/>
    </row>
    <row r="683" spans="1:28" ht="15.95" customHeight="1" x14ac:dyDescent="0.2">
      <c r="B683" s="3"/>
      <c r="C683" s="1124" t="s">
        <v>588</v>
      </c>
      <c r="D683" s="1125"/>
      <c r="E683" s="1125"/>
      <c r="F683" s="1125"/>
      <c r="G683" s="1125"/>
      <c r="H683" s="1126"/>
      <c r="I683" s="1127"/>
      <c r="J683" s="4"/>
      <c r="K683" s="4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7"/>
      <c r="W683" s="7"/>
    </row>
    <row r="684" spans="1:28" ht="15.75" customHeight="1" x14ac:dyDescent="0.2">
      <c r="B684" s="3"/>
      <c r="C684" s="1128"/>
      <c r="D684" s="1129"/>
      <c r="E684" s="1129"/>
      <c r="F684" s="1129"/>
      <c r="G684" s="1129"/>
      <c r="H684" s="1130"/>
      <c r="I684" s="1131"/>
      <c r="J684" s="4"/>
      <c r="K684" s="4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7"/>
      <c r="W684" s="7"/>
    </row>
    <row r="685" spans="1:28" ht="14.25" customHeight="1" thickBot="1" x14ac:dyDescent="0.25">
      <c r="B685" s="4"/>
      <c r="C685" s="49"/>
      <c r="D685" s="49"/>
      <c r="E685" s="49"/>
      <c r="F685" s="49"/>
      <c r="G685" s="49"/>
      <c r="H685" s="43"/>
      <c r="I685" s="351"/>
      <c r="J685" s="4"/>
      <c r="K685" s="4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7"/>
      <c r="W685" s="7"/>
    </row>
    <row r="686" spans="1:28" ht="13.5" customHeight="1" x14ac:dyDescent="0.2">
      <c r="B686" s="1151" t="s">
        <v>857</v>
      </c>
      <c r="C686" s="1152"/>
      <c r="D686" s="1152"/>
      <c r="E686" s="1152"/>
      <c r="F686" s="1152"/>
      <c r="G686" s="1152"/>
      <c r="H686" s="1152"/>
      <c r="I686" s="1152"/>
      <c r="J686" s="1152"/>
      <c r="K686" s="1152"/>
      <c r="L686" s="1152"/>
      <c r="M686" s="1152"/>
      <c r="N686" s="1152"/>
      <c r="O686" s="1152"/>
      <c r="P686" s="1152"/>
      <c r="Q686" s="1152"/>
      <c r="R686" s="1152"/>
      <c r="S686" s="1152"/>
      <c r="T686" s="1152"/>
      <c r="U686" s="1152"/>
      <c r="V686" s="1152"/>
      <c r="W686" s="1153"/>
    </row>
    <row r="687" spans="1:28" ht="13.5" customHeight="1" x14ac:dyDescent="0.2">
      <c r="B687" s="1154"/>
      <c r="C687" s="1155"/>
      <c r="D687" s="1155"/>
      <c r="E687" s="1155"/>
      <c r="F687" s="1155"/>
      <c r="G687" s="1155"/>
      <c r="H687" s="1155"/>
      <c r="I687" s="1155"/>
      <c r="J687" s="1155"/>
      <c r="K687" s="1155"/>
      <c r="L687" s="1155"/>
      <c r="M687" s="1155"/>
      <c r="N687" s="1155"/>
      <c r="O687" s="1155"/>
      <c r="P687" s="1155"/>
      <c r="Q687" s="1155"/>
      <c r="R687" s="1155"/>
      <c r="S687" s="1155"/>
      <c r="T687" s="1155"/>
      <c r="U687" s="1155"/>
      <c r="V687" s="1155"/>
      <c r="W687" s="1156"/>
    </row>
    <row r="688" spans="1:28" ht="13.5" customHeight="1" thickBot="1" x14ac:dyDescent="0.25">
      <c r="B688" s="1157"/>
      <c r="C688" s="1158"/>
      <c r="D688" s="1158"/>
      <c r="E688" s="1158"/>
      <c r="F688" s="1158"/>
      <c r="G688" s="1158"/>
      <c r="H688" s="1158"/>
      <c r="I688" s="1158"/>
      <c r="J688" s="1158"/>
      <c r="K688" s="1158"/>
      <c r="L688" s="1158"/>
      <c r="M688" s="1158"/>
      <c r="N688" s="1158"/>
      <c r="O688" s="1158"/>
      <c r="P688" s="1158"/>
      <c r="Q688" s="1158"/>
      <c r="R688" s="1158"/>
      <c r="S688" s="1158"/>
      <c r="T688" s="1158"/>
      <c r="U688" s="1158"/>
      <c r="V688" s="1158"/>
      <c r="W688" s="1159"/>
    </row>
    <row r="689" spans="2:34" ht="12.6" customHeight="1" x14ac:dyDescent="0.2">
      <c r="B689" s="4"/>
      <c r="C689" s="41"/>
      <c r="D689" s="41"/>
      <c r="E689" s="41"/>
      <c r="F689" s="41"/>
      <c r="G689" s="41"/>
      <c r="H689" s="43"/>
      <c r="I689" s="43"/>
      <c r="J689" s="4"/>
      <c r="K689" s="4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7"/>
      <c r="W689" s="7"/>
    </row>
    <row r="690" spans="2:34" ht="23.25" customHeight="1" x14ac:dyDescent="0.2">
      <c r="B690" s="3"/>
      <c r="C690" s="1115" t="s">
        <v>688</v>
      </c>
      <c r="D690" s="1116"/>
      <c r="E690" s="1116"/>
      <c r="F690" s="1116"/>
      <c r="G690" s="1116"/>
      <c r="H690" s="1116"/>
      <c r="I690" s="1117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AF690" s="645" t="s">
        <v>3</v>
      </c>
      <c r="AG690" s="646"/>
      <c r="AH690" s="646"/>
    </row>
    <row r="691" spans="2:34" ht="12.95" customHeight="1" x14ac:dyDescent="0.2">
      <c r="B691" s="3"/>
      <c r="C691" s="1132"/>
      <c r="D691" s="1133"/>
      <c r="E691" s="1133"/>
      <c r="F691" s="1133"/>
      <c r="G691" s="1133"/>
      <c r="H691" s="1133"/>
      <c r="I691" s="113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7"/>
      <c r="W691" s="7"/>
    </row>
    <row r="692" spans="2:34" ht="12.95" customHeight="1" x14ac:dyDescent="0.2">
      <c r="B692" s="3"/>
      <c r="C692" s="1135"/>
      <c r="D692" s="1136"/>
      <c r="E692" s="1136"/>
      <c r="F692" s="1136"/>
      <c r="G692" s="1136"/>
      <c r="H692" s="1136"/>
      <c r="I692" s="1137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7"/>
      <c r="W692" s="7"/>
    </row>
    <row r="693" spans="2:34" ht="12.95" customHeight="1" x14ac:dyDescent="0.2">
      <c r="B693" s="3"/>
      <c r="C693" s="1135"/>
      <c r="D693" s="1136"/>
      <c r="E693" s="1136"/>
      <c r="F693" s="1136"/>
      <c r="G693" s="1136"/>
      <c r="H693" s="1136"/>
      <c r="I693" s="1137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7"/>
      <c r="W693" s="7"/>
    </row>
    <row r="694" spans="2:34" ht="12.95" customHeight="1" x14ac:dyDescent="0.2">
      <c r="B694" s="3"/>
      <c r="C694" s="1135"/>
      <c r="D694" s="1136"/>
      <c r="E694" s="1136"/>
      <c r="F694" s="1136"/>
      <c r="G694" s="1136"/>
      <c r="H694" s="1136"/>
      <c r="I694" s="1137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7"/>
      <c r="W694" s="7"/>
    </row>
    <row r="695" spans="2:34" ht="12.95" customHeight="1" x14ac:dyDescent="0.2">
      <c r="B695" s="3"/>
      <c r="C695" s="1135"/>
      <c r="D695" s="1136"/>
      <c r="E695" s="1136"/>
      <c r="F695" s="1136"/>
      <c r="G695" s="1136"/>
      <c r="H695" s="1136"/>
      <c r="I695" s="1137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7"/>
      <c r="W695" s="7"/>
    </row>
    <row r="696" spans="2:34" ht="12.95" customHeight="1" x14ac:dyDescent="0.2">
      <c r="B696" s="3"/>
      <c r="C696" s="1135"/>
      <c r="D696" s="1136"/>
      <c r="E696" s="1136"/>
      <c r="F696" s="1136"/>
      <c r="G696" s="1136"/>
      <c r="H696" s="1136"/>
      <c r="I696" s="1137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7"/>
      <c r="W696" s="7"/>
    </row>
    <row r="697" spans="2:34" ht="10.5" customHeight="1" x14ac:dyDescent="0.2">
      <c r="B697" s="3"/>
      <c r="C697" s="1138"/>
      <c r="D697" s="1139"/>
      <c r="E697" s="1139"/>
      <c r="F697" s="1139"/>
      <c r="G697" s="1139"/>
      <c r="H697" s="1139"/>
      <c r="I697" s="1140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7"/>
      <c r="W697" s="7"/>
    </row>
    <row r="698" spans="2:34" ht="12.6" customHeight="1" x14ac:dyDescent="0.2">
      <c r="B698" s="3"/>
      <c r="C698" s="1118" t="s">
        <v>427</v>
      </c>
      <c r="D698" s="1118"/>
      <c r="E698" s="1119"/>
      <c r="F698" s="1119"/>
      <c r="G698" s="1120"/>
      <c r="H698" s="44">
        <v>1200</v>
      </c>
      <c r="I698" s="378">
        <f>+H698*$X$1</f>
        <v>1200</v>
      </c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7"/>
      <c r="W698" s="7"/>
    </row>
    <row r="699" spans="2:34" ht="12.6" customHeight="1" x14ac:dyDescent="0.2">
      <c r="B699" s="3"/>
      <c r="C699" s="1118" t="s">
        <v>689</v>
      </c>
      <c r="D699" s="1118"/>
      <c r="E699" s="1119"/>
      <c r="F699" s="1119"/>
      <c r="G699" s="1120"/>
      <c r="H699" s="44">
        <v>1100</v>
      </c>
      <c r="I699" s="378">
        <f>+H699*$X$1</f>
        <v>1100</v>
      </c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7"/>
      <c r="W699" s="7"/>
    </row>
    <row r="700" spans="2:34" ht="12.6" customHeight="1" x14ac:dyDescent="0.2">
      <c r="B700" s="3"/>
      <c r="C700" s="48"/>
      <c r="D700" s="46"/>
      <c r="E700" s="46"/>
      <c r="F700" s="46"/>
      <c r="G700" s="41"/>
      <c r="H700" s="43"/>
      <c r="I700" s="4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7"/>
      <c r="W700" s="7"/>
    </row>
    <row r="701" spans="2:34" ht="18" customHeight="1" x14ac:dyDescent="0.2">
      <c r="B701" s="1039" t="s">
        <v>589</v>
      </c>
      <c r="C701" s="1040"/>
      <c r="D701" s="1040"/>
      <c r="E701" s="1040"/>
      <c r="F701" s="1040"/>
      <c r="G701" s="1040"/>
      <c r="H701" s="1040"/>
      <c r="I701" s="1040"/>
      <c r="J701" s="1040"/>
      <c r="K701" s="1040"/>
      <c r="L701" s="1040"/>
      <c r="M701" s="1040"/>
      <c r="N701" s="1040"/>
      <c r="O701" s="1040"/>
      <c r="P701" s="1040"/>
      <c r="Q701" s="1040"/>
      <c r="R701" s="1040"/>
      <c r="S701" s="1040"/>
      <c r="T701" s="1040"/>
      <c r="U701" s="1040"/>
      <c r="V701" s="1040"/>
      <c r="W701" s="1041"/>
    </row>
    <row r="702" spans="2:34" ht="12.6" customHeight="1" x14ac:dyDescent="0.2">
      <c r="B702" s="26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</row>
    <row r="703" spans="2:34" ht="15.75" customHeight="1" x14ac:dyDescent="0.2">
      <c r="B703" s="1037" t="s">
        <v>327</v>
      </c>
      <c r="C703" s="1038"/>
      <c r="D703" s="1038"/>
      <c r="E703" s="1038"/>
      <c r="F703" s="1038"/>
      <c r="G703" s="1038"/>
      <c r="H703" s="1038"/>
      <c r="I703" s="1038"/>
      <c r="J703" s="1038"/>
      <c r="K703" s="1038"/>
      <c r="L703" s="1038"/>
      <c r="M703" s="1038"/>
      <c r="N703" s="1038"/>
      <c r="O703" s="1038"/>
      <c r="P703" s="1038"/>
      <c r="Q703" s="1038"/>
      <c r="R703" s="1038"/>
      <c r="S703" s="1038"/>
      <c r="T703" s="1038"/>
      <c r="U703" s="1038"/>
      <c r="V703" s="1038"/>
      <c r="W703" s="1038"/>
    </row>
    <row r="704" spans="2:34" ht="15.75" customHeight="1" x14ac:dyDescent="0.2">
      <c r="B704" s="1037" t="s">
        <v>328</v>
      </c>
      <c r="C704" s="1038"/>
      <c r="D704" s="1038"/>
      <c r="E704" s="1038"/>
      <c r="F704" s="1038"/>
      <c r="G704" s="1038"/>
      <c r="H704" s="1038"/>
      <c r="I704" s="1038"/>
      <c r="J704" s="1038"/>
      <c r="K704" s="1038"/>
      <c r="L704" s="1038"/>
      <c r="M704" s="1038"/>
      <c r="N704" s="1038"/>
      <c r="O704" s="1038"/>
      <c r="P704" s="1038"/>
      <c r="Q704" s="1038"/>
      <c r="R704" s="1038"/>
      <c r="S704" s="1038"/>
      <c r="T704" s="1038"/>
      <c r="U704" s="1038"/>
      <c r="V704" s="1038"/>
      <c r="W704" s="1038"/>
      <c r="AF704" s="645"/>
      <c r="AG704" s="646"/>
      <c r="AH704" s="646"/>
    </row>
    <row r="705" spans="2:24" ht="15.75" customHeight="1" x14ac:dyDescent="0.2">
      <c r="B705" s="1037" t="s">
        <v>329</v>
      </c>
      <c r="C705" s="1038"/>
      <c r="D705" s="1038"/>
      <c r="E705" s="1038"/>
      <c r="F705" s="1038"/>
      <c r="G705" s="1038"/>
      <c r="H705" s="1038"/>
      <c r="I705" s="1038"/>
      <c r="J705" s="1038"/>
      <c r="K705" s="1038"/>
      <c r="L705" s="1038"/>
      <c r="M705" s="1038"/>
      <c r="N705" s="1038"/>
      <c r="O705" s="1038"/>
      <c r="P705" s="1038"/>
      <c r="Q705" s="1038"/>
      <c r="R705" s="1038"/>
      <c r="S705" s="1038"/>
      <c r="T705" s="1038"/>
      <c r="U705" s="1038"/>
      <c r="V705" s="1038"/>
      <c r="W705" s="1038"/>
    </row>
    <row r="706" spans="2:24" ht="12.6" customHeight="1" x14ac:dyDescent="0.2">
      <c r="B706" s="11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2:24" ht="18" customHeight="1" thickBot="1" x14ac:dyDescent="0.25">
      <c r="B707" s="1077" t="s">
        <v>330</v>
      </c>
      <c r="C707" s="1078"/>
      <c r="D707" s="1078"/>
      <c r="E707" s="1078"/>
      <c r="F707" s="1078"/>
      <c r="G707" s="1078"/>
      <c r="H707" s="1078"/>
      <c r="I707" s="1078"/>
      <c r="J707" s="1078"/>
      <c r="K707" s="1078"/>
      <c r="L707" s="1078"/>
      <c r="M707" s="1078"/>
      <c r="N707" s="1078"/>
      <c r="O707" s="1078"/>
      <c r="P707" s="1078"/>
      <c r="Q707" s="1078"/>
      <c r="R707" s="1078"/>
      <c r="S707" s="1078"/>
      <c r="T707" s="1078"/>
      <c r="U707" s="1078"/>
      <c r="V707" s="1078"/>
      <c r="W707" s="1079"/>
    </row>
    <row r="708" spans="2:24" x14ac:dyDescent="0.2">
      <c r="B708" s="1066" t="s">
        <v>331</v>
      </c>
      <c r="C708" s="1067"/>
      <c r="D708" s="1067"/>
      <c r="E708" s="1067"/>
      <c r="F708" s="1067"/>
      <c r="G708" s="1067"/>
      <c r="H708" s="1067"/>
      <c r="I708" s="1067"/>
      <c r="J708" s="1067"/>
      <c r="K708" s="1067"/>
      <c r="L708" s="1067"/>
      <c r="M708" s="1067"/>
      <c r="N708" s="1068"/>
      <c r="O708" s="1068"/>
      <c r="P708" s="1068"/>
      <c r="Q708" s="1068"/>
      <c r="R708" s="1068"/>
      <c r="S708" s="1068"/>
      <c r="T708" s="1068"/>
      <c r="U708" s="1068"/>
      <c r="V708" s="1068"/>
      <c r="W708" s="1069"/>
    </row>
    <row r="709" spans="2:24" ht="12.75" customHeight="1" x14ac:dyDescent="0.2">
      <c r="B709" s="1070"/>
      <c r="C709" s="1067"/>
      <c r="D709" s="1067"/>
      <c r="E709" s="1067"/>
      <c r="F709" s="1067"/>
      <c r="G709" s="1067"/>
      <c r="H709" s="1067"/>
      <c r="I709" s="1067"/>
      <c r="J709" s="1067"/>
      <c r="K709" s="1067"/>
      <c r="L709" s="1067"/>
      <c r="M709" s="1067"/>
      <c r="N709" s="1068"/>
      <c r="O709" s="1068"/>
      <c r="P709" s="1068"/>
      <c r="Q709" s="1068"/>
      <c r="R709" s="1068"/>
      <c r="S709" s="1068"/>
      <c r="T709" s="1068"/>
      <c r="U709" s="1068"/>
      <c r="V709" s="1068"/>
      <c r="W709" s="1069"/>
    </row>
    <row r="710" spans="2:24" x14ac:dyDescent="0.2">
      <c r="B710" s="1070"/>
      <c r="C710" s="1067"/>
      <c r="D710" s="1067"/>
      <c r="E710" s="1067"/>
      <c r="F710" s="1067"/>
      <c r="G710" s="1067"/>
      <c r="H710" s="1067"/>
      <c r="I710" s="1067"/>
      <c r="J710" s="1067"/>
      <c r="K710" s="1067"/>
      <c r="L710" s="1067"/>
      <c r="M710" s="1067"/>
      <c r="N710" s="1068"/>
      <c r="O710" s="1068"/>
      <c r="P710" s="1068"/>
      <c r="Q710" s="1068"/>
      <c r="R710" s="1068"/>
      <c r="S710" s="1068"/>
      <c r="T710" s="1068"/>
      <c r="U710" s="1068"/>
      <c r="V710" s="1068"/>
      <c r="W710" s="1069"/>
    </row>
    <row r="711" spans="2:24" x14ac:dyDescent="0.2">
      <c r="B711" s="1071"/>
      <c r="C711" s="1072"/>
      <c r="D711" s="1072"/>
      <c r="E711" s="1072"/>
      <c r="F711" s="1072"/>
      <c r="G711" s="1072"/>
      <c r="H711" s="1072"/>
      <c r="I711" s="1072"/>
      <c r="J711" s="1072"/>
      <c r="K711" s="1072"/>
      <c r="L711" s="1072"/>
      <c r="M711" s="1072"/>
      <c r="N711" s="1073"/>
      <c r="O711" s="1073"/>
      <c r="P711" s="1073"/>
      <c r="Q711" s="1073"/>
      <c r="R711" s="1073"/>
      <c r="S711" s="1073"/>
      <c r="T711" s="1073"/>
      <c r="U711" s="1073"/>
      <c r="V711" s="1073"/>
      <c r="W711" s="1074"/>
    </row>
    <row r="712" spans="2:24" ht="12.6" customHeight="1" x14ac:dyDescent="0.2">
      <c r="B712" s="214"/>
      <c r="C712" s="214"/>
      <c r="D712" s="214"/>
      <c r="E712" s="214"/>
      <c r="F712" s="214"/>
      <c r="G712" s="214"/>
      <c r="H712" s="214"/>
      <c r="I712" s="214"/>
      <c r="J712" s="214"/>
      <c r="K712" s="214"/>
      <c r="L712" s="214"/>
      <c r="M712" s="215"/>
      <c r="N712" s="63"/>
      <c r="O712" s="63"/>
      <c r="P712" s="63"/>
      <c r="Q712" s="63"/>
      <c r="R712" s="63"/>
      <c r="S712" s="63"/>
      <c r="T712" s="63"/>
      <c r="U712" s="63"/>
      <c r="V712" s="63"/>
      <c r="W712" s="63"/>
    </row>
    <row r="713" spans="2:24" ht="12.6" customHeight="1" x14ac:dyDescent="0.2">
      <c r="B713" s="214"/>
      <c r="C713" s="214"/>
      <c r="D713" s="214"/>
      <c r="E713" s="214"/>
      <c r="F713" s="214"/>
      <c r="G713" s="214"/>
      <c r="H713" s="214"/>
      <c r="I713" s="214"/>
      <c r="J713" s="214"/>
      <c r="K713" s="214"/>
      <c r="L713" s="214"/>
      <c r="M713" s="215"/>
      <c r="N713" s="63"/>
      <c r="O713" s="63"/>
      <c r="P713" s="63"/>
      <c r="Q713" s="63"/>
      <c r="R713" s="63"/>
      <c r="S713" s="63"/>
      <c r="T713" s="63"/>
      <c r="U713" s="63"/>
      <c r="V713" s="63"/>
      <c r="W713" s="63"/>
    </row>
    <row r="714" spans="2:24" ht="12.6" customHeight="1" x14ac:dyDescent="0.2">
      <c r="B714" s="214"/>
      <c r="C714" s="214"/>
      <c r="D714" s="214"/>
      <c r="E714" s="214"/>
      <c r="F714" s="214"/>
      <c r="G714" s="214"/>
      <c r="H714" s="214"/>
      <c r="I714" s="214"/>
      <c r="J714" s="214"/>
      <c r="K714" s="214"/>
      <c r="L714" s="214"/>
      <c r="M714" s="215"/>
      <c r="N714" s="63"/>
      <c r="O714" s="63"/>
      <c r="P714" s="63"/>
      <c r="Q714" s="63"/>
      <c r="R714" s="63"/>
      <c r="S714" s="63"/>
      <c r="T714" s="63"/>
      <c r="U714" s="63"/>
      <c r="V714" s="63"/>
      <c r="W714" s="63"/>
    </row>
    <row r="715" spans="2:24" ht="12.6" customHeight="1" x14ac:dyDescent="0.2">
      <c r="B715" s="214"/>
      <c r="C715" s="214"/>
      <c r="D715" s="214"/>
      <c r="E715" s="214"/>
      <c r="F715" s="214"/>
      <c r="G715" s="214"/>
      <c r="H715" s="214"/>
      <c r="I715" s="214"/>
      <c r="J715" s="214"/>
      <c r="K715" s="214"/>
      <c r="L715" s="214"/>
      <c r="M715" s="215"/>
      <c r="N715" s="63"/>
      <c r="O715" s="63"/>
      <c r="P715" s="63"/>
      <c r="Q715" s="63"/>
      <c r="R715" s="63"/>
      <c r="S715" s="63"/>
      <c r="T715" s="63"/>
      <c r="U715" s="63"/>
      <c r="V715" s="63"/>
      <c r="W715" s="63"/>
    </row>
    <row r="716" spans="2:24" ht="12.6" customHeight="1" x14ac:dyDescent="0.2">
      <c r="B716" s="238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66"/>
    </row>
    <row r="717" spans="2:24" x14ac:dyDescent="0.2">
      <c r="B717" s="1075" t="s">
        <v>332</v>
      </c>
      <c r="C717" s="1076"/>
      <c r="D717" s="1076"/>
      <c r="E717" s="1076"/>
      <c r="F717" s="1076"/>
      <c r="G717" s="1076"/>
      <c r="H717" s="1076"/>
      <c r="I717" s="1076"/>
      <c r="J717" s="1076"/>
      <c r="K717" s="1076"/>
      <c r="L717" s="1076"/>
      <c r="M717" s="1076"/>
      <c r="N717" s="1076"/>
      <c r="O717" s="1076"/>
      <c r="P717" s="1076"/>
      <c r="Q717" s="1076"/>
      <c r="R717" s="1076"/>
      <c r="S717" s="1076"/>
      <c r="T717" s="1076"/>
      <c r="U717" s="1076"/>
      <c r="V717" s="1076"/>
      <c r="W717" s="1076"/>
    </row>
    <row r="718" spans="2:24" x14ac:dyDescent="0.2">
      <c r="B718" s="1076"/>
      <c r="C718" s="1076"/>
      <c r="D718" s="1076"/>
      <c r="E718" s="1076"/>
      <c r="F718" s="1076"/>
      <c r="G718" s="1076"/>
      <c r="H718" s="1076"/>
      <c r="I718" s="1076"/>
      <c r="J718" s="1076"/>
      <c r="K718" s="1076"/>
      <c r="L718" s="1076"/>
      <c r="M718" s="1076"/>
      <c r="N718" s="1076"/>
      <c r="O718" s="1076"/>
      <c r="P718" s="1076"/>
      <c r="Q718" s="1076"/>
      <c r="R718" s="1076"/>
      <c r="S718" s="1076"/>
      <c r="T718" s="1076"/>
      <c r="U718" s="1076"/>
      <c r="V718" s="1076"/>
      <c r="W718" s="1076"/>
    </row>
    <row r="719" spans="2:24" x14ac:dyDescent="0.2">
      <c r="B719" s="1061" t="s">
        <v>333</v>
      </c>
      <c r="C719" s="1038"/>
      <c r="D719" s="1038"/>
      <c r="E719" s="1038"/>
      <c r="F719" s="1038"/>
      <c r="G719" s="1038"/>
      <c r="H719" s="1038"/>
      <c r="I719" s="1038"/>
      <c r="J719" s="1038"/>
      <c r="K719" s="1038"/>
      <c r="L719" s="1038"/>
      <c r="M719" s="1038"/>
      <c r="N719" s="1038"/>
      <c r="O719" s="1038"/>
      <c r="P719" s="1038"/>
      <c r="Q719" s="1038"/>
      <c r="R719" s="1038"/>
      <c r="S719" s="1038"/>
      <c r="T719" s="1038"/>
      <c r="U719" s="1038"/>
      <c r="V719" s="1038"/>
      <c r="W719" s="1038"/>
    </row>
    <row r="720" spans="2:24" x14ac:dyDescent="0.2">
      <c r="B720" s="618"/>
      <c r="C720" s="617"/>
      <c r="D720" s="617"/>
      <c r="E720" s="617"/>
      <c r="F720" s="617"/>
      <c r="G720" s="617"/>
      <c r="H720" s="617"/>
      <c r="I720" s="617"/>
      <c r="J720" s="617"/>
      <c r="K720" s="617"/>
      <c r="L720" s="617"/>
      <c r="M720" s="617"/>
      <c r="N720" s="617"/>
      <c r="O720" s="617"/>
      <c r="P720" s="617"/>
      <c r="Q720" s="617"/>
      <c r="R720" s="617"/>
      <c r="S720" s="617"/>
      <c r="T720" s="617"/>
      <c r="U720" s="617"/>
      <c r="V720" s="617"/>
      <c r="W720" s="617"/>
    </row>
    <row r="721" spans="2:26" ht="12.75" customHeight="1" thickBot="1" x14ac:dyDescent="0.25">
      <c r="B721" s="1058" t="s">
        <v>334</v>
      </c>
      <c r="C721" s="1059"/>
      <c r="D721" s="1059"/>
      <c r="E721" s="1059"/>
      <c r="F721" s="1059"/>
      <c r="G721" s="1059"/>
      <c r="H721" s="1059"/>
      <c r="I721" s="1059"/>
      <c r="J721" s="1059"/>
      <c r="K721" s="1059"/>
      <c r="L721" s="1059"/>
      <c r="M721" s="1059"/>
      <c r="N721" s="1059"/>
      <c r="O721" s="1059"/>
      <c r="P721" s="1059"/>
      <c r="Q721" s="1059"/>
      <c r="R721" s="1059"/>
      <c r="S721" s="1059"/>
      <c r="T721" s="1059"/>
      <c r="U721" s="1059"/>
      <c r="V721" s="1059"/>
      <c r="W721" s="1060"/>
    </row>
    <row r="722" spans="2:26" ht="15" customHeight="1" x14ac:dyDescent="0.2">
      <c r="B722" s="1034" t="s">
        <v>389</v>
      </c>
      <c r="C722" s="1035"/>
      <c r="D722" s="1035"/>
      <c r="E722" s="1035"/>
      <c r="F722" s="1035"/>
      <c r="G722" s="1035"/>
      <c r="H722" s="1035"/>
      <c r="I722" s="1035"/>
      <c r="J722" s="1035"/>
      <c r="K722" s="1035"/>
      <c r="L722" s="1035"/>
      <c r="M722" s="1035"/>
      <c r="N722" s="1035"/>
      <c r="O722" s="1035"/>
      <c r="P722" s="1035"/>
      <c r="Q722" s="1035"/>
      <c r="R722" s="1035"/>
      <c r="S722" s="1035"/>
      <c r="T722" s="1035"/>
      <c r="U722" s="1035"/>
      <c r="V722" s="1035"/>
      <c r="W722" s="1036"/>
    </row>
    <row r="723" spans="2:26" ht="12.6" customHeight="1" thickBot="1" x14ac:dyDescent="0.25">
      <c r="B723" s="238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66"/>
    </row>
    <row r="724" spans="2:26" ht="90" customHeight="1" x14ac:dyDescent="0.2">
      <c r="B724" s="1062"/>
      <c r="C724" s="1063"/>
      <c r="D724" s="1063"/>
      <c r="E724" s="1063"/>
      <c r="F724" s="1063"/>
      <c r="G724" s="1063"/>
      <c r="H724" s="1063"/>
      <c r="I724" s="1063"/>
      <c r="J724" s="1063"/>
      <c r="K724" s="1064"/>
      <c r="L724" s="1064"/>
      <c r="M724" s="1064"/>
      <c r="N724" s="1064"/>
      <c r="O724" s="1064"/>
      <c r="P724" s="1064"/>
      <c r="Q724" s="1064"/>
      <c r="R724" s="1064"/>
      <c r="S724" s="1064"/>
      <c r="T724" s="1064"/>
      <c r="U724" s="1064"/>
      <c r="V724" s="1064"/>
      <c r="W724" s="1065"/>
    </row>
    <row r="725" spans="2:26" ht="12.6" customHeight="1" x14ac:dyDescent="0.25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Z725" s="34"/>
    </row>
    <row r="726" spans="2:26" ht="8.25" customHeight="1" x14ac:dyDescent="0.2">
      <c r="B726" s="1042" t="s">
        <v>335</v>
      </c>
      <c r="C726" s="1043"/>
      <c r="D726" s="1043"/>
      <c r="E726" s="1043"/>
      <c r="F726" s="1043"/>
      <c r="G726" s="1043"/>
      <c r="H726" s="1043"/>
      <c r="I726" s="1043"/>
      <c r="J726" s="1043"/>
      <c r="K726" s="1044"/>
      <c r="L726" s="1044"/>
      <c r="M726" s="1044"/>
      <c r="N726" s="1044"/>
      <c r="O726" s="1044"/>
      <c r="P726" s="1044"/>
      <c r="Q726" s="1044"/>
      <c r="R726" s="1044"/>
      <c r="S726" s="1044"/>
      <c r="T726" s="1044"/>
      <c r="U726" s="1044"/>
      <c r="V726" s="1044"/>
      <c r="W726" s="1045"/>
    </row>
    <row r="727" spans="2:26" ht="12.75" customHeight="1" x14ac:dyDescent="0.2">
      <c r="B727" s="1046"/>
      <c r="C727" s="1047"/>
      <c r="D727" s="1047"/>
      <c r="E727" s="1047"/>
      <c r="F727" s="1047"/>
      <c r="G727" s="1047"/>
      <c r="H727" s="1047"/>
      <c r="I727" s="1047"/>
      <c r="J727" s="1047"/>
      <c r="K727" s="1048"/>
      <c r="L727" s="1048"/>
      <c r="M727" s="1048"/>
      <c r="N727" s="1048"/>
      <c r="O727" s="1048"/>
      <c r="P727" s="1048"/>
      <c r="Q727" s="1048"/>
      <c r="R727" s="1048"/>
      <c r="S727" s="1048"/>
      <c r="T727" s="1048"/>
      <c r="U727" s="1048"/>
      <c r="V727" s="1048"/>
      <c r="W727" s="1049"/>
    </row>
    <row r="728" spans="2:26" x14ac:dyDescent="0.2">
      <c r="B728" s="1050"/>
      <c r="C728" s="1051"/>
      <c r="D728" s="1051"/>
      <c r="E728" s="1051"/>
      <c r="F728" s="1051"/>
      <c r="G728" s="1051"/>
      <c r="H728" s="1051"/>
      <c r="I728" s="1051"/>
      <c r="J728" s="1051"/>
      <c r="K728" s="1048"/>
      <c r="L728" s="1048"/>
      <c r="M728" s="1048"/>
      <c r="N728" s="1048"/>
      <c r="O728" s="1048"/>
      <c r="P728" s="1048"/>
      <c r="Q728" s="1048"/>
      <c r="R728" s="1048"/>
      <c r="S728" s="1048"/>
      <c r="T728" s="1048"/>
      <c r="U728" s="1048"/>
      <c r="V728" s="1048"/>
      <c r="W728" s="1049"/>
    </row>
    <row r="729" spans="2:26" x14ac:dyDescent="0.2">
      <c r="B729" s="1050"/>
      <c r="C729" s="1051"/>
      <c r="D729" s="1051"/>
      <c r="E729" s="1051"/>
      <c r="F729" s="1051"/>
      <c r="G729" s="1051"/>
      <c r="H729" s="1051"/>
      <c r="I729" s="1051"/>
      <c r="J729" s="1051"/>
      <c r="K729" s="1048"/>
      <c r="L729" s="1048"/>
      <c r="M729" s="1048"/>
      <c r="N729" s="1048"/>
      <c r="O729" s="1048"/>
      <c r="P729" s="1048"/>
      <c r="Q729" s="1048"/>
      <c r="R729" s="1048"/>
      <c r="S729" s="1048"/>
      <c r="T729" s="1048"/>
      <c r="U729" s="1048"/>
      <c r="V729" s="1048"/>
      <c r="W729" s="1049"/>
    </row>
    <row r="730" spans="2:26" x14ac:dyDescent="0.2">
      <c r="B730" s="1050"/>
      <c r="C730" s="1051"/>
      <c r="D730" s="1051"/>
      <c r="E730" s="1051"/>
      <c r="F730" s="1051"/>
      <c r="G730" s="1051"/>
      <c r="H730" s="1051"/>
      <c r="I730" s="1051"/>
      <c r="J730" s="1051"/>
      <c r="K730" s="1048"/>
      <c r="L730" s="1048"/>
      <c r="M730" s="1048"/>
      <c r="N730" s="1048"/>
      <c r="O730" s="1048"/>
      <c r="P730" s="1048"/>
      <c r="Q730" s="1048"/>
      <c r="R730" s="1048"/>
      <c r="S730" s="1048"/>
      <c r="T730" s="1048"/>
      <c r="U730" s="1048"/>
      <c r="V730" s="1048"/>
      <c r="W730" s="1049"/>
    </row>
    <row r="731" spans="2:26" x14ac:dyDescent="0.2">
      <c r="B731" s="1050"/>
      <c r="C731" s="1051"/>
      <c r="D731" s="1051"/>
      <c r="E731" s="1051"/>
      <c r="F731" s="1051"/>
      <c r="G731" s="1051"/>
      <c r="H731" s="1051"/>
      <c r="I731" s="1051"/>
      <c r="J731" s="1051"/>
      <c r="K731" s="1048"/>
      <c r="L731" s="1048"/>
      <c r="M731" s="1048"/>
      <c r="N731" s="1048"/>
      <c r="O731" s="1048"/>
      <c r="P731" s="1048"/>
      <c r="Q731" s="1048"/>
      <c r="R731" s="1048"/>
      <c r="S731" s="1048"/>
      <c r="T731" s="1048"/>
      <c r="U731" s="1048"/>
      <c r="V731" s="1048"/>
      <c r="W731" s="1049"/>
    </row>
    <row r="732" spans="2:26" x14ac:dyDescent="0.2">
      <c r="B732" s="1052"/>
      <c r="C732" s="1053"/>
      <c r="D732" s="1053"/>
      <c r="E732" s="1053"/>
      <c r="F732" s="1053"/>
      <c r="G732" s="1053"/>
      <c r="H732" s="1053"/>
      <c r="I732" s="1053"/>
      <c r="J732" s="1053"/>
      <c r="K732" s="1053"/>
      <c r="L732" s="1053"/>
      <c r="M732" s="1053"/>
      <c r="N732" s="1053"/>
      <c r="O732" s="1053"/>
      <c r="P732" s="1053"/>
      <c r="Q732" s="1053"/>
      <c r="R732" s="1053"/>
      <c r="S732" s="1053"/>
      <c r="T732" s="1053"/>
      <c r="U732" s="1053"/>
      <c r="V732" s="1053"/>
      <c r="W732" s="1054"/>
    </row>
    <row r="733" spans="2:26" x14ac:dyDescent="0.2">
      <c r="B733" s="1055"/>
      <c r="C733" s="1056"/>
      <c r="D733" s="1056"/>
      <c r="E733" s="1056"/>
      <c r="F733" s="1056"/>
      <c r="G733" s="1056"/>
      <c r="H733" s="1056"/>
      <c r="I733" s="1056"/>
      <c r="J733" s="1056"/>
      <c r="K733" s="1056"/>
      <c r="L733" s="1056"/>
      <c r="M733" s="1056"/>
      <c r="N733" s="1056"/>
      <c r="O733" s="1056"/>
      <c r="P733" s="1056"/>
      <c r="Q733" s="1056"/>
      <c r="R733" s="1056"/>
      <c r="S733" s="1056"/>
      <c r="T733" s="1056"/>
      <c r="U733" s="1056"/>
      <c r="V733" s="1056"/>
      <c r="W733" s="1057"/>
    </row>
    <row r="734" spans="2:26" ht="12.6" customHeight="1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6" ht="18.75" customHeight="1" x14ac:dyDescent="0.2">
      <c r="B735" s="1031" t="s">
        <v>336</v>
      </c>
      <c r="C735" s="1032"/>
      <c r="D735" s="1032"/>
      <c r="E735" s="1032"/>
      <c r="F735" s="1032"/>
      <c r="G735" s="1032"/>
      <c r="H735" s="1032"/>
      <c r="I735" s="1032"/>
      <c r="J735" s="1032"/>
      <c r="K735" s="1032"/>
      <c r="L735" s="1032"/>
      <c r="M735" s="1032"/>
      <c r="N735" s="1032"/>
      <c r="O735" s="1032"/>
      <c r="P735" s="1032"/>
      <c r="Q735" s="1032"/>
      <c r="R735" s="1032"/>
      <c r="S735" s="1032"/>
      <c r="T735" s="1032"/>
      <c r="U735" s="1032"/>
      <c r="V735" s="1032"/>
      <c r="W735" s="1033"/>
    </row>
    <row r="736" spans="2:26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ht="12.75" customHeight="1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E1146" s="1"/>
      <c r="F1146" s="1"/>
      <c r="H1146" s="1"/>
      <c r="I1146" s="1"/>
      <c r="J1146" s="1"/>
      <c r="K1146" s="1"/>
    </row>
    <row r="1147" spans="2:23" x14ac:dyDescent="0.2">
      <c r="E1147" s="1"/>
      <c r="F1147" s="1"/>
      <c r="H1147" s="1"/>
      <c r="I1147" s="1"/>
      <c r="J1147" s="1"/>
      <c r="K1147" s="1"/>
    </row>
    <row r="1148" spans="2:23" x14ac:dyDescent="0.2">
      <c r="E1148" s="1"/>
      <c r="F1148" s="1"/>
      <c r="H1148" s="1"/>
      <c r="I1148" s="1"/>
      <c r="J1148" s="1"/>
      <c r="K1148" s="1"/>
    </row>
    <row r="1149" spans="2:23" x14ac:dyDescent="0.2">
      <c r="E1149" s="1"/>
      <c r="F1149" s="1"/>
      <c r="H1149" s="1"/>
      <c r="I1149" s="1"/>
      <c r="J1149" s="1"/>
      <c r="K1149" s="1"/>
    </row>
    <row r="1150" spans="2:23" x14ac:dyDescent="0.2">
      <c r="E1150" s="1"/>
      <c r="F1150" s="1"/>
      <c r="H1150" s="1"/>
      <c r="I1150" s="1"/>
      <c r="J1150" s="1"/>
      <c r="K1150" s="1"/>
    </row>
    <row r="1151" spans="2:23" x14ac:dyDescent="0.2">
      <c r="E1151" s="1"/>
      <c r="F1151" s="1"/>
      <c r="H1151" s="1"/>
      <c r="I1151" s="1"/>
      <c r="J1151" s="1"/>
      <c r="K1151" s="1"/>
    </row>
    <row r="1152" spans="2:23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</sheetData>
  <mergeCells count="1089">
    <mergeCell ref="B503:E503"/>
    <mergeCell ref="B266:E266"/>
    <mergeCell ref="X295:AA295"/>
    <mergeCell ref="X298:AA298"/>
    <mergeCell ref="B251:E251"/>
    <mergeCell ref="B263:E263"/>
    <mergeCell ref="B277:E277"/>
    <mergeCell ref="B276:E276"/>
    <mergeCell ref="X250:AA250"/>
    <mergeCell ref="B270:E270"/>
    <mergeCell ref="B167:E167"/>
    <mergeCell ref="X296:AA296"/>
    <mergeCell ref="B355:E355"/>
    <mergeCell ref="B324:E324"/>
    <mergeCell ref="B325:E325"/>
    <mergeCell ref="X369:AA369"/>
    <mergeCell ref="B326:E326"/>
    <mergeCell ref="B351:E351"/>
    <mergeCell ref="B314:E314"/>
    <mergeCell ref="B366:E366"/>
    <mergeCell ref="B368:E368"/>
    <mergeCell ref="B299:E299"/>
    <mergeCell ref="B330:E330"/>
    <mergeCell ref="B339:E339"/>
    <mergeCell ref="B345:E345"/>
    <mergeCell ref="B322:E322"/>
    <mergeCell ref="X285:AA285"/>
    <mergeCell ref="B284:E284"/>
    <mergeCell ref="X286:AA286"/>
    <mergeCell ref="X284:AA284"/>
    <mergeCell ref="B229:E229"/>
    <mergeCell ref="B250:E250"/>
    <mergeCell ref="B343:E343"/>
    <mergeCell ref="X340:AA340"/>
    <mergeCell ref="B335:E335"/>
    <mergeCell ref="X301:AA301"/>
    <mergeCell ref="B288:E288"/>
    <mergeCell ref="B373:E373"/>
    <mergeCell ref="B349:E349"/>
    <mergeCell ref="B360:E360"/>
    <mergeCell ref="B380:E380"/>
    <mergeCell ref="B374:E374"/>
    <mergeCell ref="B365:E365"/>
    <mergeCell ref="B348:E348"/>
    <mergeCell ref="B295:E295"/>
    <mergeCell ref="B337:E337"/>
    <mergeCell ref="B334:E334"/>
    <mergeCell ref="B361:E361"/>
    <mergeCell ref="B331:E331"/>
    <mergeCell ref="B312:E312"/>
    <mergeCell ref="B327:E327"/>
    <mergeCell ref="B305:E305"/>
    <mergeCell ref="B336:E336"/>
    <mergeCell ref="B338:E338"/>
    <mergeCell ref="B321:E321"/>
    <mergeCell ref="B302:E302"/>
    <mergeCell ref="B358:E358"/>
    <mergeCell ref="B370:E370"/>
    <mergeCell ref="B297:E297"/>
    <mergeCell ref="B309:E309"/>
    <mergeCell ref="B296:E296"/>
    <mergeCell ref="B307:E307"/>
    <mergeCell ref="B424:E424"/>
    <mergeCell ref="X300:AA300"/>
    <mergeCell ref="B419:E419"/>
    <mergeCell ref="B340:E340"/>
    <mergeCell ref="B301:E301"/>
    <mergeCell ref="B363:E363"/>
    <mergeCell ref="B371:E371"/>
    <mergeCell ref="B328:E328"/>
    <mergeCell ref="B333:E333"/>
    <mergeCell ref="X370:AA370"/>
    <mergeCell ref="B306:E306"/>
    <mergeCell ref="C318:E319"/>
    <mergeCell ref="B384:E384"/>
    <mergeCell ref="B383:E383"/>
    <mergeCell ref="B389:E389"/>
    <mergeCell ref="G318:G319"/>
    <mergeCell ref="F318:F319"/>
    <mergeCell ref="Q340:W340"/>
    <mergeCell ref="X365:AA365"/>
    <mergeCell ref="X368:AA368"/>
    <mergeCell ref="X417:AA417"/>
    <mergeCell ref="X401:AA401"/>
    <mergeCell ref="X367:AA367"/>
    <mergeCell ref="X339:AA339"/>
    <mergeCell ref="B393:E393"/>
    <mergeCell ref="B381:E381"/>
    <mergeCell ref="B394:E394"/>
    <mergeCell ref="X394:AA394"/>
    <mergeCell ref="B415:E415"/>
    <mergeCell ref="X366:AA366"/>
    <mergeCell ref="B375:E375"/>
    <mergeCell ref="B342:E342"/>
    <mergeCell ref="I440:M442"/>
    <mergeCell ref="B445:E445"/>
    <mergeCell ref="B426:E426"/>
    <mergeCell ref="B430:E430"/>
    <mergeCell ref="X430:AA430"/>
    <mergeCell ref="B441:E441"/>
    <mergeCell ref="B369:E369"/>
    <mergeCell ref="B388:E388"/>
    <mergeCell ref="B357:E357"/>
    <mergeCell ref="B401:E401"/>
    <mergeCell ref="X443:AA443"/>
    <mergeCell ref="B405:E405"/>
    <mergeCell ref="B402:E402"/>
    <mergeCell ref="B418:E418"/>
    <mergeCell ref="X426:AA426"/>
    <mergeCell ref="G398:G399"/>
    <mergeCell ref="B398:B399"/>
    <mergeCell ref="B414:E414"/>
    <mergeCell ref="B404:E404"/>
    <mergeCell ref="B422:E422"/>
    <mergeCell ref="B403:E403"/>
    <mergeCell ref="X434:AA434"/>
    <mergeCell ref="X403:AA403"/>
    <mergeCell ref="B409:E409"/>
    <mergeCell ref="B440:E440"/>
    <mergeCell ref="X423:AA423"/>
    <mergeCell ref="X421:AA421"/>
    <mergeCell ref="B421:E421"/>
    <mergeCell ref="X436:AA436"/>
    <mergeCell ref="X427:AA427"/>
    <mergeCell ref="X425:AA425"/>
    <mergeCell ref="B410:E410"/>
    <mergeCell ref="X452:AA452"/>
    <mergeCell ref="B476:E476"/>
    <mergeCell ref="B466:E466"/>
    <mergeCell ref="B458:E458"/>
    <mergeCell ref="B475:E475"/>
    <mergeCell ref="X467:AA467"/>
    <mergeCell ref="X466:AA466"/>
    <mergeCell ref="B468:E468"/>
    <mergeCell ref="I445:M450"/>
    <mergeCell ref="B386:E386"/>
    <mergeCell ref="X393:AA393"/>
    <mergeCell ref="X391:AA391"/>
    <mergeCell ref="B436:E436"/>
    <mergeCell ref="X444:AA444"/>
    <mergeCell ref="B444:E444"/>
    <mergeCell ref="B434:E434"/>
    <mergeCell ref="B446:E446"/>
    <mergeCell ref="B448:E448"/>
    <mergeCell ref="X431:AA431"/>
    <mergeCell ref="B449:E449"/>
    <mergeCell ref="B443:E443"/>
    <mergeCell ref="B431:E431"/>
    <mergeCell ref="B428:E428"/>
    <mergeCell ref="B447:E447"/>
    <mergeCell ref="B408:E408"/>
    <mergeCell ref="B387:E387"/>
    <mergeCell ref="X392:AA392"/>
    <mergeCell ref="B439:E439"/>
    <mergeCell ref="X439:AA439"/>
    <mergeCell ref="X437:AA437"/>
    <mergeCell ref="B438:E438"/>
    <mergeCell ref="X438:AA438"/>
    <mergeCell ref="B459:E459"/>
    <mergeCell ref="B474:E474"/>
    <mergeCell ref="B462:E462"/>
    <mergeCell ref="B492:E492"/>
    <mergeCell ref="B481:E481"/>
    <mergeCell ref="X474:AA474"/>
    <mergeCell ref="X455:AA455"/>
    <mergeCell ref="X454:AA454"/>
    <mergeCell ref="B454:E454"/>
    <mergeCell ref="X468:AA468"/>
    <mergeCell ref="X479:AA480"/>
    <mergeCell ref="X463:AA463"/>
    <mergeCell ref="X453:AA453"/>
    <mergeCell ref="X465:AA465"/>
    <mergeCell ref="X473:AA473"/>
    <mergeCell ref="X476:AA476"/>
    <mergeCell ref="B457:E457"/>
    <mergeCell ref="B463:E463"/>
    <mergeCell ref="B465:E465"/>
    <mergeCell ref="B484:E484"/>
    <mergeCell ref="AF478:AH478"/>
    <mergeCell ref="AB479:AB480"/>
    <mergeCell ref="AF479:AH479"/>
    <mergeCell ref="H479:W479"/>
    <mergeCell ref="AF608:AH608"/>
    <mergeCell ref="X608:AA609"/>
    <mergeCell ref="B486:E486"/>
    <mergeCell ref="B488:E488"/>
    <mergeCell ref="G479:G480"/>
    <mergeCell ref="B514:E514"/>
    <mergeCell ref="B513:E513"/>
    <mergeCell ref="B526:E526"/>
    <mergeCell ref="C517:E518"/>
    <mergeCell ref="B510:E510"/>
    <mergeCell ref="B511:E511"/>
    <mergeCell ref="B505:E505"/>
    <mergeCell ref="B487:E487"/>
    <mergeCell ref="X579:AA580"/>
    <mergeCell ref="B579:B580"/>
    <mergeCell ref="F579:F580"/>
    <mergeCell ref="G579:G580"/>
    <mergeCell ref="B584:E584"/>
    <mergeCell ref="B598:E598"/>
    <mergeCell ref="B569:E569"/>
    <mergeCell ref="AF579:AH579"/>
    <mergeCell ref="B578:W578"/>
    <mergeCell ref="B567:E567"/>
    <mergeCell ref="B516:W516"/>
    <mergeCell ref="B497:E497"/>
    <mergeCell ref="B478:W478"/>
    <mergeCell ref="B507:E507"/>
    <mergeCell ref="B499:E499"/>
    <mergeCell ref="X644:AA644"/>
    <mergeCell ref="B574:E574"/>
    <mergeCell ref="AF578:AH578"/>
    <mergeCell ref="B547:E547"/>
    <mergeCell ref="B595:E595"/>
    <mergeCell ref="AF690:AH690"/>
    <mergeCell ref="AF516:AH516"/>
    <mergeCell ref="B517:B518"/>
    <mergeCell ref="B670:G671"/>
    <mergeCell ref="B686:W688"/>
    <mergeCell ref="T670:T671"/>
    <mergeCell ref="B590:E590"/>
    <mergeCell ref="AB517:AB518"/>
    <mergeCell ref="AF517:AH517"/>
    <mergeCell ref="B551:E551"/>
    <mergeCell ref="B523:E523"/>
    <mergeCell ref="B564:E564"/>
    <mergeCell ref="B555:E555"/>
    <mergeCell ref="B565:E565"/>
    <mergeCell ref="B576:E576"/>
    <mergeCell ref="AB608:AB609"/>
    <mergeCell ref="B635:E635"/>
    <mergeCell ref="B637:E637"/>
    <mergeCell ref="H608:W608"/>
    <mergeCell ref="B619:E619"/>
    <mergeCell ref="B593:E593"/>
    <mergeCell ref="Q670:Q671"/>
    <mergeCell ref="AB579:AB580"/>
    <mergeCell ref="X651:AA651"/>
    <mergeCell ref="V670:V671"/>
    <mergeCell ref="B589:E589"/>
    <mergeCell ref="X652:AA652"/>
    <mergeCell ref="AF704:AH704"/>
    <mergeCell ref="O670:O671"/>
    <mergeCell ref="L670:L671"/>
    <mergeCell ref="P670:P671"/>
    <mergeCell ref="C690:I690"/>
    <mergeCell ref="C698:G698"/>
    <mergeCell ref="C699:G699"/>
    <mergeCell ref="M670:M671"/>
    <mergeCell ref="B661:E661"/>
    <mergeCell ref="B659:E659"/>
    <mergeCell ref="B669:W669"/>
    <mergeCell ref="B591:E591"/>
    <mergeCell ref="B648:E648"/>
    <mergeCell ref="B597:E597"/>
    <mergeCell ref="B602:E602"/>
    <mergeCell ref="B610:E610"/>
    <mergeCell ref="B607:W607"/>
    <mergeCell ref="B608:B609"/>
    <mergeCell ref="B618:E618"/>
    <mergeCell ref="B612:E612"/>
    <mergeCell ref="B594:E594"/>
    <mergeCell ref="B596:E596"/>
    <mergeCell ref="B604:E604"/>
    <mergeCell ref="B647:E647"/>
    <mergeCell ref="B672:G672"/>
    <mergeCell ref="C683:I684"/>
    <mergeCell ref="C691:I697"/>
    <mergeCell ref="C682:G682"/>
    <mergeCell ref="C681:G681"/>
    <mergeCell ref="C679:I679"/>
    <mergeCell ref="B677:J677"/>
    <mergeCell ref="AF663:AH663"/>
    <mergeCell ref="B645:E645"/>
    <mergeCell ref="B570:E570"/>
    <mergeCell ref="C579:E580"/>
    <mergeCell ref="B530:E530"/>
    <mergeCell ref="B566:E566"/>
    <mergeCell ref="B588:E588"/>
    <mergeCell ref="B599:E599"/>
    <mergeCell ref="B627:E627"/>
    <mergeCell ref="B587:E587"/>
    <mergeCell ref="B651:E651"/>
    <mergeCell ref="B531:E531"/>
    <mergeCell ref="B652:E652"/>
    <mergeCell ref="B603:E603"/>
    <mergeCell ref="B600:E600"/>
    <mergeCell ref="B611:E611"/>
    <mergeCell ref="B613:E613"/>
    <mergeCell ref="B644:E644"/>
    <mergeCell ref="B573:E573"/>
    <mergeCell ref="B545:E545"/>
    <mergeCell ref="B538:E538"/>
    <mergeCell ref="B542:E542"/>
    <mergeCell ref="B575:E575"/>
    <mergeCell ref="B552:E552"/>
    <mergeCell ref="B557:E557"/>
    <mergeCell ref="B571:E571"/>
    <mergeCell ref="B649:E649"/>
    <mergeCell ref="B631:E631"/>
    <mergeCell ref="B553:E553"/>
    <mergeCell ref="B550:E550"/>
    <mergeCell ref="B548:E548"/>
    <mergeCell ref="B621:E621"/>
    <mergeCell ref="B549:E549"/>
    <mergeCell ref="X645:AA645"/>
    <mergeCell ref="B304:E304"/>
    <mergeCell ref="X238:AA239"/>
    <mergeCell ref="B311:E311"/>
    <mergeCell ref="X287:AA287"/>
    <mergeCell ref="F238:F239"/>
    <mergeCell ref="X289:AA289"/>
    <mergeCell ref="X304:AA304"/>
    <mergeCell ref="X634:AA634"/>
    <mergeCell ref="X302:AA302"/>
    <mergeCell ref="B300:E300"/>
    <mergeCell ref="X273:AA273"/>
    <mergeCell ref="B280:E280"/>
    <mergeCell ref="B329:E329"/>
    <mergeCell ref="B412:E412"/>
    <mergeCell ref="B442:E442"/>
    <mergeCell ref="B407:E407"/>
    <mergeCell ref="B406:E406"/>
    <mergeCell ref="B429:E429"/>
    <mergeCell ref="B437:E437"/>
    <mergeCell ref="B385:E385"/>
    <mergeCell ref="X292:AA292"/>
    <mergeCell ref="X288:AA288"/>
    <mergeCell ref="B283:E283"/>
    <mergeCell ref="B274:E274"/>
    <mergeCell ref="B258:E258"/>
    <mergeCell ref="X258:AA258"/>
    <mergeCell ref="B582:E582"/>
    <mergeCell ref="B479:B480"/>
    <mergeCell ref="B605:E605"/>
    <mergeCell ref="B533:E533"/>
    <mergeCell ref="B498:E498"/>
    <mergeCell ref="X633:AA633"/>
    <mergeCell ref="X632:AA632"/>
    <mergeCell ref="B282:E282"/>
    <mergeCell ref="X264:AA264"/>
    <mergeCell ref="X274:AA274"/>
    <mergeCell ref="B286:E286"/>
    <mergeCell ref="B287:E287"/>
    <mergeCell ref="B281:E281"/>
    <mergeCell ref="B289:E289"/>
    <mergeCell ref="X290:AA290"/>
    <mergeCell ref="B504:E504"/>
    <mergeCell ref="F517:F518"/>
    <mergeCell ref="B546:E546"/>
    <mergeCell ref="X623:AA623"/>
    <mergeCell ref="G517:G518"/>
    <mergeCell ref="B528:E528"/>
    <mergeCell ref="B522:E522"/>
    <mergeCell ref="X517:AA518"/>
    <mergeCell ref="H517:W517"/>
    <mergeCell ref="B529:E529"/>
    <mergeCell ref="B540:E540"/>
    <mergeCell ref="B541:E541"/>
    <mergeCell ref="B543:E543"/>
    <mergeCell ref="B500:E500"/>
    <mergeCell ref="B501:E501"/>
    <mergeCell ref="B502:E502"/>
    <mergeCell ref="B568:E568"/>
    <mergeCell ref="B524:E524"/>
    <mergeCell ref="B534:E534"/>
    <mergeCell ref="B485:E485"/>
    <mergeCell ref="B483:E483"/>
    <mergeCell ref="X621:AA621"/>
    <mergeCell ref="B623:E623"/>
    <mergeCell ref="B279:E279"/>
    <mergeCell ref="B273:E273"/>
    <mergeCell ref="B269:E269"/>
    <mergeCell ref="C238:E239"/>
    <mergeCell ref="X249:AA249"/>
    <mergeCell ref="X251:AA251"/>
    <mergeCell ref="X265:AA265"/>
    <mergeCell ref="X257:AA257"/>
    <mergeCell ref="B248:E248"/>
    <mergeCell ref="B544:E544"/>
    <mergeCell ref="B420:E420"/>
    <mergeCell ref="B423:E423"/>
    <mergeCell ref="B352:E352"/>
    <mergeCell ref="B461:E461"/>
    <mergeCell ref="B482:E482"/>
    <mergeCell ref="X270:AA270"/>
    <mergeCell ref="B620:E620"/>
    <mergeCell ref="B615:E615"/>
    <mergeCell ref="B617:E617"/>
    <mergeCell ref="B601:E601"/>
    <mergeCell ref="B581:E581"/>
    <mergeCell ref="F608:F609"/>
    <mergeCell ref="B592:E592"/>
    <mergeCell ref="X475:AA475"/>
    <mergeCell ref="H579:W579"/>
    <mergeCell ref="B467:E467"/>
    <mergeCell ref="B489:E489"/>
    <mergeCell ref="B455:E455"/>
    <mergeCell ref="B491:E491"/>
    <mergeCell ref="B470:E470"/>
    <mergeCell ref="B435:E435"/>
    <mergeCell ref="X435:AA435"/>
    <mergeCell ref="B425:E425"/>
    <mergeCell ref="X464:AA464"/>
    <mergeCell ref="X252:AA252"/>
    <mergeCell ref="B256:E256"/>
    <mergeCell ref="B427:E427"/>
    <mergeCell ref="B450:E450"/>
    <mergeCell ref="X422:AA422"/>
    <mergeCell ref="C398:E399"/>
    <mergeCell ref="X424:AA424"/>
    <mergeCell ref="H398:W398"/>
    <mergeCell ref="X269:AA269"/>
    <mergeCell ref="B377:E377"/>
    <mergeCell ref="X433:AA433"/>
    <mergeCell ref="B432:E432"/>
    <mergeCell ref="X432:AA432"/>
    <mergeCell ref="B400:E400"/>
    <mergeCell ref="X400:AA400"/>
    <mergeCell ref="B453:E453"/>
    <mergeCell ref="B460:E460"/>
    <mergeCell ref="X283:AA283"/>
    <mergeCell ref="X272:AA272"/>
    <mergeCell ref="X271:AA271"/>
    <mergeCell ref="B291:E291"/>
    <mergeCell ref="B285:E285"/>
    <mergeCell ref="X451:AA451"/>
    <mergeCell ref="B290:E290"/>
    <mergeCell ref="B265:E265"/>
    <mergeCell ref="X291:AA291"/>
    <mergeCell ref="X398:AA399"/>
    <mergeCell ref="C158:E159"/>
    <mergeCell ref="H158:W158"/>
    <mergeCell ref="B169:E169"/>
    <mergeCell ref="B187:E187"/>
    <mergeCell ref="B151:E151"/>
    <mergeCell ref="G158:G159"/>
    <mergeCell ref="X162:AA162"/>
    <mergeCell ref="X147:AA147"/>
    <mergeCell ref="X163:AA163"/>
    <mergeCell ref="X141:AA141"/>
    <mergeCell ref="X142:AA142"/>
    <mergeCell ref="B171:E171"/>
    <mergeCell ref="X184:AA184"/>
    <mergeCell ref="B195:E195"/>
    <mergeCell ref="B179:E179"/>
    <mergeCell ref="X173:AA173"/>
    <mergeCell ref="X170:AA170"/>
    <mergeCell ref="B186:E186"/>
    <mergeCell ref="F158:F159"/>
    <mergeCell ref="B158:B159"/>
    <mergeCell ref="B163:E163"/>
    <mergeCell ref="B165:E165"/>
    <mergeCell ref="X165:AA165"/>
    <mergeCell ref="B148:E148"/>
    <mergeCell ref="X161:AA161"/>
    <mergeCell ref="X160:AA160"/>
    <mergeCell ref="X158:AA159"/>
    <mergeCell ref="B153:E153"/>
    <mergeCell ref="B147:E147"/>
    <mergeCell ref="B185:E185"/>
    <mergeCell ref="B175:E175"/>
    <mergeCell ref="X154:AA154"/>
    <mergeCell ref="B735:W735"/>
    <mergeCell ref="B722:W722"/>
    <mergeCell ref="B703:W703"/>
    <mergeCell ref="B701:W701"/>
    <mergeCell ref="B726:W733"/>
    <mergeCell ref="B704:W704"/>
    <mergeCell ref="B721:W721"/>
    <mergeCell ref="B719:W719"/>
    <mergeCell ref="B724:W724"/>
    <mergeCell ref="B708:W711"/>
    <mergeCell ref="B717:W718"/>
    <mergeCell ref="B707:W707"/>
    <mergeCell ref="B705:W705"/>
    <mergeCell ref="S670:S671"/>
    <mergeCell ref="C680:G680"/>
    <mergeCell ref="B653:E653"/>
    <mergeCell ref="N670:N671"/>
    <mergeCell ref="H670:H671"/>
    <mergeCell ref="B660:E660"/>
    <mergeCell ref="B663:W663"/>
    <mergeCell ref="R670:R671"/>
    <mergeCell ref="J670:J671"/>
    <mergeCell ref="B656:E656"/>
    <mergeCell ref="W670:W671"/>
    <mergeCell ref="B666:G666"/>
    <mergeCell ref="U670:U671"/>
    <mergeCell ref="I670:I671"/>
    <mergeCell ref="K670:K671"/>
    <mergeCell ref="B170:E170"/>
    <mergeCell ref="X240:AA240"/>
    <mergeCell ref="B173:E173"/>
    <mergeCell ref="X179:AA179"/>
    <mergeCell ref="X171:AA171"/>
    <mergeCell ref="B162:E162"/>
    <mergeCell ref="G238:G239"/>
    <mergeCell ref="B240:E240"/>
    <mergeCell ref="F237:J237"/>
    <mergeCell ref="B208:E208"/>
    <mergeCell ref="Q216:W216"/>
    <mergeCell ref="B225:E225"/>
    <mergeCell ref="X166:AA166"/>
    <mergeCell ref="B178:E178"/>
    <mergeCell ref="X168:AA168"/>
    <mergeCell ref="B168:E168"/>
    <mergeCell ref="X164:AA164"/>
    <mergeCell ref="X182:AA182"/>
    <mergeCell ref="B177:E177"/>
    <mergeCell ref="B221:E221"/>
    <mergeCell ref="X227:AA227"/>
    <mergeCell ref="X178:AA178"/>
    <mergeCell ref="B166:E166"/>
    <mergeCell ref="B164:E164"/>
    <mergeCell ref="B205:E205"/>
    <mergeCell ref="X167:AA167"/>
    <mergeCell ref="B215:E215"/>
    <mergeCell ref="B232:E232"/>
    <mergeCell ref="B189:E189"/>
    <mergeCell ref="B223:E223"/>
    <mergeCell ref="H179:K184"/>
    <mergeCell ref="B184:E184"/>
    <mergeCell ref="A665:A675"/>
    <mergeCell ref="B673:G673"/>
    <mergeCell ref="B654:E654"/>
    <mergeCell ref="B674:G674"/>
    <mergeCell ref="B655:E655"/>
    <mergeCell ref="B658:E658"/>
    <mergeCell ref="B675:G675"/>
    <mergeCell ref="B664:G664"/>
    <mergeCell ref="B141:E141"/>
    <mergeCell ref="B144:E144"/>
    <mergeCell ref="B199:E199"/>
    <mergeCell ref="B183:E183"/>
    <mergeCell ref="F479:F480"/>
    <mergeCell ref="B469:E469"/>
    <mergeCell ref="B456:E456"/>
    <mergeCell ref="B452:E452"/>
    <mergeCell ref="B493:E493"/>
    <mergeCell ref="B464:E464"/>
    <mergeCell ref="B626:E626"/>
    <mergeCell ref="B634:E634"/>
    <mergeCell ref="B628:E628"/>
    <mergeCell ref="B629:E629"/>
    <mergeCell ref="B650:E650"/>
    <mergeCell ref="B665:G665"/>
    <mergeCell ref="B657:E657"/>
    <mergeCell ref="B667:G667"/>
    <mergeCell ref="C608:E609"/>
    <mergeCell ref="B537:E537"/>
    <mergeCell ref="B646:E646"/>
    <mergeCell ref="B668:G668"/>
    <mergeCell ref="B586:E586"/>
    <mergeCell ref="B218:E218"/>
    <mergeCell ref="B624:E624"/>
    <mergeCell ref="B257:E257"/>
    <mergeCell ref="B260:E260"/>
    <mergeCell ref="B508:E508"/>
    <mergeCell ref="B506:E506"/>
    <mergeCell ref="B509:E509"/>
    <mergeCell ref="B496:E496"/>
    <mergeCell ref="B494:E494"/>
    <mergeCell ref="B224:E224"/>
    <mergeCell ref="B320:E320"/>
    <mergeCell ref="B262:E262"/>
    <mergeCell ref="G608:G609"/>
    <mergeCell ref="B583:E583"/>
    <mergeCell ref="B585:E585"/>
    <mergeCell ref="B572:E572"/>
    <mergeCell ref="B259:E259"/>
    <mergeCell ref="B376:E376"/>
    <mergeCell ref="B471:E471"/>
    <mergeCell ref="C479:E480"/>
    <mergeCell ref="B490:E490"/>
    <mergeCell ref="B495:E495"/>
    <mergeCell ref="B520:E520"/>
    <mergeCell ref="B521:E521"/>
    <mergeCell ref="B473:E473"/>
    <mergeCell ref="B472:E472"/>
    <mergeCell ref="B527:E527"/>
    <mergeCell ref="B512:E512"/>
    <mergeCell ref="B451:E451"/>
    <mergeCell ref="B226:E226"/>
    <mergeCell ref="B313:E313"/>
    <mergeCell ref="B362:E362"/>
    <mergeCell ref="B413:E413"/>
    <mergeCell ref="B417:E417"/>
    <mergeCell ref="B347:E347"/>
    <mergeCell ref="B364:E364"/>
    <mergeCell ref="B264:E264"/>
    <mergeCell ref="X244:AA244"/>
    <mergeCell ref="X245:AA245"/>
    <mergeCell ref="B298:E298"/>
    <mergeCell ref="X255:AA255"/>
    <mergeCell ref="X303:AA303"/>
    <mergeCell ref="H269:M274"/>
    <mergeCell ref="X390:AA390"/>
    <mergeCell ref="B292:E292"/>
    <mergeCell ref="B268:E268"/>
    <mergeCell ref="B392:E392"/>
    <mergeCell ref="B356:E356"/>
    <mergeCell ref="B350:E350"/>
    <mergeCell ref="B354:E354"/>
    <mergeCell ref="B378:E378"/>
    <mergeCell ref="B323:E323"/>
    <mergeCell ref="B372:E372"/>
    <mergeCell ref="B359:E359"/>
    <mergeCell ref="B341:E341"/>
    <mergeCell ref="B344:E344"/>
    <mergeCell ref="X260:AA260"/>
    <mergeCell ref="B293:E293"/>
    <mergeCell ref="B310:E310"/>
    <mergeCell ref="B272:E272"/>
    <mergeCell ref="B261:E261"/>
    <mergeCell ref="B391:E391"/>
    <mergeCell ref="X247:AA247"/>
    <mergeCell ref="X248:AA248"/>
    <mergeCell ref="B245:E245"/>
    <mergeCell ref="X228:AA228"/>
    <mergeCell ref="B267:E267"/>
    <mergeCell ref="B249:E249"/>
    <mergeCell ref="B203:E203"/>
    <mergeCell ref="B180:E180"/>
    <mergeCell ref="X225:AA225"/>
    <mergeCell ref="G190:S195"/>
    <mergeCell ref="X232:AA232"/>
    <mergeCell ref="X229:AA229"/>
    <mergeCell ref="B206:E206"/>
    <mergeCell ref="B243:E243"/>
    <mergeCell ref="X226:AA226"/>
    <mergeCell ref="H202:M202"/>
    <mergeCell ref="X234:AA234"/>
    <mergeCell ref="B238:B239"/>
    <mergeCell ref="H238:W238"/>
    <mergeCell ref="B303:E303"/>
    <mergeCell ref="X181:AA181"/>
    <mergeCell ref="B244:E244"/>
    <mergeCell ref="B219:E219"/>
    <mergeCell ref="B254:E254"/>
    <mergeCell ref="B211:E211"/>
    <mergeCell ref="B222:E222"/>
    <mergeCell ref="B101:E101"/>
    <mergeCell ref="B202:E202"/>
    <mergeCell ref="B216:E216"/>
    <mergeCell ref="B367:E367"/>
    <mergeCell ref="B416:E416"/>
    <mergeCell ref="X224:AA224"/>
    <mergeCell ref="B212:E212"/>
    <mergeCell ref="B188:E188"/>
    <mergeCell ref="B193:E193"/>
    <mergeCell ref="B201:E201"/>
    <mergeCell ref="B191:E191"/>
    <mergeCell ref="B255:E255"/>
    <mergeCell ref="B234:E234"/>
    <mergeCell ref="B252:E252"/>
    <mergeCell ref="B247:E247"/>
    <mergeCell ref="Q207:W207"/>
    <mergeCell ref="X243:AA243"/>
    <mergeCell ref="B233:E233"/>
    <mergeCell ref="X233:AA233"/>
    <mergeCell ref="X254:AA254"/>
    <mergeCell ref="X404:AA404"/>
    <mergeCell ref="X416:AA416"/>
    <mergeCell ref="X402:AA402"/>
    <mergeCell ref="B210:E210"/>
    <mergeCell ref="B207:E207"/>
    <mergeCell ref="B200:E200"/>
    <mergeCell ref="B230:E230"/>
    <mergeCell ref="X230:AA230"/>
    <mergeCell ref="F398:F399"/>
    <mergeCell ref="B294:E294"/>
    <mergeCell ref="X294:AA294"/>
    <mergeCell ref="B246:E246"/>
    <mergeCell ref="G106:O106"/>
    <mergeCell ref="B181:E181"/>
    <mergeCell ref="X183:AA183"/>
    <mergeCell ref="B217:E217"/>
    <mergeCell ref="B411:E411"/>
    <mergeCell ref="B379:E379"/>
    <mergeCell ref="X299:AA299"/>
    <mergeCell ref="B140:E140"/>
    <mergeCell ref="B135:E135"/>
    <mergeCell ref="B83:E83"/>
    <mergeCell ref="B80:E80"/>
    <mergeCell ref="B85:E85"/>
    <mergeCell ref="X113:AA113"/>
    <mergeCell ref="B98:E98"/>
    <mergeCell ref="B110:E110"/>
    <mergeCell ref="B108:E108"/>
    <mergeCell ref="B142:E142"/>
    <mergeCell ref="X120:AA120"/>
    <mergeCell ref="B132:E132"/>
    <mergeCell ref="X132:AA132"/>
    <mergeCell ref="X130:AA130"/>
    <mergeCell ref="B90:E90"/>
    <mergeCell ref="B96:E96"/>
    <mergeCell ref="B84:E84"/>
    <mergeCell ref="B112:E112"/>
    <mergeCell ref="B139:E139"/>
    <mergeCell ref="B82:E82"/>
    <mergeCell ref="B123:E123"/>
    <mergeCell ref="B126:E126"/>
    <mergeCell ref="B81:E81"/>
    <mergeCell ref="B138:E138"/>
    <mergeCell ref="X139:AA139"/>
    <mergeCell ref="X87:Z87"/>
    <mergeCell ref="X126:AA126"/>
    <mergeCell ref="B116:E116"/>
    <mergeCell ref="B131:E131"/>
    <mergeCell ref="B121:E121"/>
    <mergeCell ref="B118:E118"/>
    <mergeCell ref="G119:K119"/>
    <mergeCell ref="B72:E72"/>
    <mergeCell ref="X78:AA79"/>
    <mergeCell ref="X125:AA125"/>
    <mergeCell ref="B92:E92"/>
    <mergeCell ref="B105:E105"/>
    <mergeCell ref="G105:O105"/>
    <mergeCell ref="B95:E95"/>
    <mergeCell ref="B146:E146"/>
    <mergeCell ref="X105:AA105"/>
    <mergeCell ref="B97:E97"/>
    <mergeCell ref="B127:E127"/>
    <mergeCell ref="O94:W94"/>
    <mergeCell ref="B137:E137"/>
    <mergeCell ref="B99:E99"/>
    <mergeCell ref="X115:AA115"/>
    <mergeCell ref="B103:E103"/>
    <mergeCell ref="X124:AA124"/>
    <mergeCell ref="X146:AA146"/>
    <mergeCell ref="X136:AA136"/>
    <mergeCell ref="B133:E133"/>
    <mergeCell ref="B136:E136"/>
    <mergeCell ref="X137:AA137"/>
    <mergeCell ref="X72:AA72"/>
    <mergeCell ref="X127:AA127"/>
    <mergeCell ref="X123:AA123"/>
    <mergeCell ref="B62:E62"/>
    <mergeCell ref="B56:E56"/>
    <mergeCell ref="I71:M71"/>
    <mergeCell ref="X138:AA138"/>
    <mergeCell ref="X134:AA134"/>
    <mergeCell ref="X140:AA140"/>
    <mergeCell ref="X129:AA129"/>
    <mergeCell ref="X121:AA121"/>
    <mergeCell ref="B130:E130"/>
    <mergeCell ref="I69:M69"/>
    <mergeCell ref="I70:M70"/>
    <mergeCell ref="B69:E69"/>
    <mergeCell ref="B70:E70"/>
    <mergeCell ref="B109:E109"/>
    <mergeCell ref="X86:Z86"/>
    <mergeCell ref="B102:E102"/>
    <mergeCell ref="G123:K123"/>
    <mergeCell ref="B63:E63"/>
    <mergeCell ref="B68:E68"/>
    <mergeCell ref="B78:B79"/>
    <mergeCell ref="X69:AA69"/>
    <mergeCell ref="X82:Z82"/>
    <mergeCell ref="B107:E107"/>
    <mergeCell ref="B93:E93"/>
    <mergeCell ref="G121:K121"/>
    <mergeCell ref="G116:K116"/>
    <mergeCell ref="B66:E66"/>
    <mergeCell ref="G108:M108"/>
    <mergeCell ref="B119:E119"/>
    <mergeCell ref="I111:W112"/>
    <mergeCell ref="B122:E122"/>
    <mergeCell ref="G122:K122"/>
    <mergeCell ref="X42:AA42"/>
    <mergeCell ref="X37:AA37"/>
    <mergeCell ref="B44:E44"/>
    <mergeCell ref="B47:E47"/>
    <mergeCell ref="B61:E61"/>
    <mergeCell ref="B52:E52"/>
    <mergeCell ref="B58:E58"/>
    <mergeCell ref="B53:E53"/>
    <mergeCell ref="B71:E71"/>
    <mergeCell ref="H78:W78"/>
    <mergeCell ref="H41:K41"/>
    <mergeCell ref="F78:F79"/>
    <mergeCell ref="X45:AA45"/>
    <mergeCell ref="H44:K44"/>
    <mergeCell ref="H40:K40"/>
    <mergeCell ref="X116:AA116"/>
    <mergeCell ref="X106:AA106"/>
    <mergeCell ref="G107:M107"/>
    <mergeCell ref="G78:G79"/>
    <mergeCell ref="F80:I90"/>
    <mergeCell ref="C78:E79"/>
    <mergeCell ref="B73:E73"/>
    <mergeCell ref="B59:E59"/>
    <mergeCell ref="H47:K47"/>
    <mergeCell ref="B60:E60"/>
    <mergeCell ref="B64:E64"/>
    <mergeCell ref="B67:E67"/>
    <mergeCell ref="B100:E100"/>
    <mergeCell ref="X112:AA112"/>
    <mergeCell ref="B89:E89"/>
    <mergeCell ref="X114:AA114"/>
    <mergeCell ref="B113:E113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F17:AJ17"/>
    <mergeCell ref="B18:E18"/>
    <mergeCell ref="X19:AA19"/>
    <mergeCell ref="X26:AA26"/>
    <mergeCell ref="AB8:AB9"/>
    <mergeCell ref="AF27:AJ27"/>
    <mergeCell ref="B34:E34"/>
    <mergeCell ref="C8:E9"/>
    <mergeCell ref="B12:E12"/>
    <mergeCell ref="B19:E19"/>
    <mergeCell ref="AF15:AI15"/>
    <mergeCell ref="AF18:AI18"/>
    <mergeCell ref="AF19:AJ19"/>
    <mergeCell ref="B14:E14"/>
    <mergeCell ref="B24:E24"/>
    <mergeCell ref="G8:G9"/>
    <mergeCell ref="X34:AA34"/>
    <mergeCell ref="X17:AA17"/>
    <mergeCell ref="B20:E20"/>
    <mergeCell ref="AF21:AI21"/>
    <mergeCell ref="AF20:AI20"/>
    <mergeCell ref="AF24:AJ24"/>
    <mergeCell ref="B26:E26"/>
    <mergeCell ref="B25:E25"/>
    <mergeCell ref="AF29:AJ29"/>
    <mergeCell ref="B17:E17"/>
    <mergeCell ref="X15:AA15"/>
    <mergeCell ref="Q15:W15"/>
    <mergeCell ref="X24:AA24"/>
    <mergeCell ref="B21:E21"/>
    <mergeCell ref="B33:E33"/>
    <mergeCell ref="Q16:W16"/>
    <mergeCell ref="B27:E27"/>
    <mergeCell ref="B37:E37"/>
    <mergeCell ref="B40:E40"/>
    <mergeCell ref="B45:E45"/>
    <mergeCell ref="H29:K29"/>
    <mergeCell ref="B42:E42"/>
    <mergeCell ref="X41:AA41"/>
    <mergeCell ref="H39:K39"/>
    <mergeCell ref="B43:E43"/>
    <mergeCell ref="H43:K43"/>
    <mergeCell ref="X39:AA39"/>
    <mergeCell ref="H31:K31"/>
    <mergeCell ref="AF23:AI23"/>
    <mergeCell ref="X35:AA35"/>
    <mergeCell ref="X31:AA31"/>
    <mergeCell ref="B28:E28"/>
    <mergeCell ref="X40:AA40"/>
    <mergeCell ref="H45:K45"/>
    <mergeCell ref="B32:E32"/>
    <mergeCell ref="B39:E39"/>
    <mergeCell ref="X43:AA43"/>
    <mergeCell ref="H33:K33"/>
    <mergeCell ref="X36:AA36"/>
    <mergeCell ref="X38:AA38"/>
    <mergeCell ref="B41:E41"/>
    <mergeCell ref="H38:K38"/>
    <mergeCell ref="X32:AA32"/>
    <mergeCell ref="B23:E23"/>
    <mergeCell ref="X29:AA29"/>
    <mergeCell ref="B29:E29"/>
    <mergeCell ref="H36:K36"/>
    <mergeCell ref="X33:AA33"/>
    <mergeCell ref="B15:E15"/>
    <mergeCell ref="B16:E16"/>
    <mergeCell ref="X110:AA110"/>
    <mergeCell ref="B87:E87"/>
    <mergeCell ref="B111:E111"/>
    <mergeCell ref="X107:AA107"/>
    <mergeCell ref="B104:E104"/>
    <mergeCell ref="X18:AA18"/>
    <mergeCell ref="X133:AA133"/>
    <mergeCell ref="X135:AA135"/>
    <mergeCell ref="B134:E134"/>
    <mergeCell ref="AF16:AI16"/>
    <mergeCell ref="AB78:AB79"/>
    <mergeCell ref="AF13:AH13"/>
    <mergeCell ref="B54:E54"/>
    <mergeCell ref="AF78:AH78"/>
    <mergeCell ref="I72:K72"/>
    <mergeCell ref="B31:E31"/>
    <mergeCell ref="H30:K30"/>
    <mergeCell ref="B55:E55"/>
    <mergeCell ref="X70:AA70"/>
    <mergeCell ref="B22:E22"/>
    <mergeCell ref="AF28:AJ28"/>
    <mergeCell ref="AF26:AJ26"/>
    <mergeCell ref="AF25:AI25"/>
    <mergeCell ref="AF22:AI22"/>
    <mergeCell ref="B38:E38"/>
    <mergeCell ref="B94:E94"/>
    <mergeCell ref="X111:AA111"/>
    <mergeCell ref="B128:E128"/>
    <mergeCell ref="X128:AA128"/>
    <mergeCell ref="X118:AA118"/>
    <mergeCell ref="AC138:AF138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B46:E46"/>
    <mergeCell ref="H46:K46"/>
    <mergeCell ref="B49:E49"/>
    <mergeCell ref="B50:E50"/>
    <mergeCell ref="B48:E48"/>
    <mergeCell ref="X48:AA48"/>
    <mergeCell ref="B91:E91"/>
    <mergeCell ref="H48:K48"/>
    <mergeCell ref="X47:AA47"/>
    <mergeCell ref="B74:E74"/>
    <mergeCell ref="X71:AA71"/>
    <mergeCell ref="B117:E117"/>
    <mergeCell ref="B88:E88"/>
    <mergeCell ref="X74:AA74"/>
    <mergeCell ref="X46:AA46"/>
    <mergeCell ref="B65:E65"/>
    <mergeCell ref="B57:E57"/>
    <mergeCell ref="B86:E86"/>
    <mergeCell ref="X83:Z83"/>
    <mergeCell ref="B51:E51"/>
    <mergeCell ref="H42:K42"/>
    <mergeCell ref="F49:I52"/>
    <mergeCell ref="B125:E125"/>
    <mergeCell ref="B124:E124"/>
    <mergeCell ref="H109:M110"/>
    <mergeCell ref="X108:AA108"/>
    <mergeCell ref="X119:AA119"/>
    <mergeCell ref="B120:E120"/>
    <mergeCell ref="B106:E106"/>
    <mergeCell ref="G118:K118"/>
    <mergeCell ref="G114:K114"/>
    <mergeCell ref="X117:AA117"/>
    <mergeCell ref="G113:K113"/>
    <mergeCell ref="G115:K115"/>
    <mergeCell ref="B115:E115"/>
    <mergeCell ref="B114:E114"/>
    <mergeCell ref="X109:AA109"/>
    <mergeCell ref="B278:E278"/>
    <mergeCell ref="X231:AA231"/>
    <mergeCell ref="B241:E241"/>
    <mergeCell ref="X241:AA241"/>
    <mergeCell ref="B154:E154"/>
    <mergeCell ref="B129:E129"/>
    <mergeCell ref="B149:E149"/>
    <mergeCell ref="X122:AA122"/>
    <mergeCell ref="X131:AA131"/>
    <mergeCell ref="B143:E143"/>
    <mergeCell ref="B150:E150"/>
    <mergeCell ref="X144:AA144"/>
    <mergeCell ref="B145:E145"/>
    <mergeCell ref="B161:E161"/>
    <mergeCell ref="X143:AA143"/>
    <mergeCell ref="G117:K117"/>
    <mergeCell ref="G120:K120"/>
    <mergeCell ref="B561:W561"/>
    <mergeCell ref="B227:E227"/>
    <mergeCell ref="B353:E353"/>
    <mergeCell ref="B231:E231"/>
    <mergeCell ref="B539:E539"/>
    <mergeCell ref="B554:E554"/>
    <mergeCell ref="B535:E535"/>
    <mergeCell ref="B532:E532"/>
    <mergeCell ref="B556:E556"/>
    <mergeCell ref="B174:E174"/>
    <mergeCell ref="I174:M177"/>
    <mergeCell ref="B390:E390"/>
    <mergeCell ref="B197:E197"/>
    <mergeCell ref="B209:E209"/>
    <mergeCell ref="X256:AA256"/>
    <mergeCell ref="B194:E194"/>
    <mergeCell ref="B196:E196"/>
    <mergeCell ref="B242:E242"/>
    <mergeCell ref="X242:AA242"/>
    <mergeCell ref="X180:AA180"/>
    <mergeCell ref="B536:E536"/>
    <mergeCell ref="B519:E519"/>
    <mergeCell ref="B253:E253"/>
    <mergeCell ref="B275:E275"/>
    <mergeCell ref="X253:AA253"/>
    <mergeCell ref="X261:AA261"/>
    <mergeCell ref="B332:E332"/>
    <mergeCell ref="B198:E198"/>
    <mergeCell ref="B433:E433"/>
    <mergeCell ref="B525:E525"/>
    <mergeCell ref="X246:AA246"/>
    <mergeCell ref="B228:E228"/>
    <mergeCell ref="AF398:AH398"/>
    <mergeCell ref="AB398:AB399"/>
    <mergeCell ref="AF318:AH318"/>
    <mergeCell ref="AF238:AH238"/>
    <mergeCell ref="AB318:AB319"/>
    <mergeCell ref="X318:AA319"/>
    <mergeCell ref="X293:AA293"/>
    <mergeCell ref="X145:AA145"/>
    <mergeCell ref="AB158:AB159"/>
    <mergeCell ref="B192:E192"/>
    <mergeCell ref="B220:E220"/>
    <mergeCell ref="B204:E204"/>
    <mergeCell ref="B213:E213"/>
    <mergeCell ref="B176:E176"/>
    <mergeCell ref="B182:E182"/>
    <mergeCell ref="B172:E172"/>
    <mergeCell ref="B152:E152"/>
    <mergeCell ref="AF158:AH158"/>
    <mergeCell ref="B190:E190"/>
    <mergeCell ref="AB238:AB239"/>
    <mergeCell ref="B271:E271"/>
    <mergeCell ref="B308:E308"/>
    <mergeCell ref="X334:AA334"/>
    <mergeCell ref="B318:B319"/>
    <mergeCell ref="X333:AA333"/>
    <mergeCell ref="B382:E382"/>
    <mergeCell ref="H318:W318"/>
    <mergeCell ref="B346:E346"/>
    <mergeCell ref="Q215:W215"/>
    <mergeCell ref="B160:E160"/>
    <mergeCell ref="X172:AA172"/>
    <mergeCell ref="B214:E214"/>
    <mergeCell ref="AF561:AH561"/>
    <mergeCell ref="B562:B563"/>
    <mergeCell ref="C562:E563"/>
    <mergeCell ref="F562:F563"/>
    <mergeCell ref="G562:G563"/>
    <mergeCell ref="H562:W562"/>
    <mergeCell ref="X562:AA563"/>
    <mergeCell ref="AB562:AB563"/>
    <mergeCell ref="AF562:AH562"/>
    <mergeCell ref="B641:W641"/>
    <mergeCell ref="B642:B643"/>
    <mergeCell ref="C642:E643"/>
    <mergeCell ref="F642:F643"/>
    <mergeCell ref="G642:G643"/>
    <mergeCell ref="H642:W642"/>
    <mergeCell ref="X642:AA643"/>
    <mergeCell ref="AB642:AB643"/>
    <mergeCell ref="AF642:AH642"/>
    <mergeCell ref="X631:AA631"/>
    <mergeCell ref="B630:E630"/>
    <mergeCell ref="X629:AA629"/>
    <mergeCell ref="X627:AA627"/>
    <mergeCell ref="X630:AA630"/>
    <mergeCell ref="B616:E616"/>
    <mergeCell ref="B614:E614"/>
    <mergeCell ref="B636:E636"/>
    <mergeCell ref="B633:E633"/>
    <mergeCell ref="B632:E632"/>
    <mergeCell ref="X624:AA624"/>
    <mergeCell ref="B622:E622"/>
    <mergeCell ref="X626:AA626"/>
    <mergeCell ref="B625:E625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308" r:id="rId62" display="https://www.jivi.com.ar/ficha.php?id=187"/>
    <hyperlink ref="AB310" r:id="rId63" display="https://www.jivi.com.ar/ficha.php?id=4"/>
    <hyperlink ref="AB326" r:id="rId64" display="https://www.jivi.com.ar/ficha.php?id=55"/>
    <hyperlink ref="AB329" r:id="rId65" display="https://www.jivi.com.ar/ficha.php?id=209"/>
    <hyperlink ref="AB330" r:id="rId66"/>
    <hyperlink ref="AB338" r:id="rId67" display="https://www.jivi.com.ar/ficha.php?id=60"/>
    <hyperlink ref="AB340" r:id="rId68" display="https://www.jivi.com.ar/ficha.php?id=380"/>
    <hyperlink ref="AB344" r:id="rId69" display="https://www.jivi.com.ar/ficha.php?id=548"/>
    <hyperlink ref="AB345" r:id="rId70"/>
    <hyperlink ref="AB348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4" r:id="rId83" display="https://www.jivi.com.ar/ficha.php?id=135"/>
    <hyperlink ref="AB175" r:id="rId84" display="https://www.jivi.com.ar/ficha.php?id=136"/>
    <hyperlink ref="AB176" r:id="rId85" display="https://www.jivi.com.ar/ficha.php?id=137"/>
    <hyperlink ref="AB177" r:id="rId86" display="https://www.jivi.com.ar/ficha.php?id=138"/>
    <hyperlink ref="AB185" r:id="rId87" display="https://www.jivi.com.ar/ficha.php?id=245"/>
    <hyperlink ref="AB202" r:id="rId88" display="https://www.jivi.com.ar/ficha.php?id=166"/>
    <hyperlink ref="AB203" r:id="rId89" display="https://www.jivi.com.ar/ficha.php?id=171"/>
    <hyperlink ref="AB207" r:id="rId90" display="https://www.jivi.com.ar/ficha.php?id=168"/>
    <hyperlink ref="AB213" r:id="rId91" display="https://www.jivi.com.ar/ficha.php?id=169"/>
    <hyperlink ref="AB215" r:id="rId92" display="https://www.jivi.com.ar/ficha.php?id=148"/>
    <hyperlink ref="AB216" r:id="rId93" display="https://www.jivi.com.ar/ficha.php?id=158"/>
    <hyperlink ref="AB629" r:id="rId94" display="https://www.jivi.com.ar/ficha.php?id=621"/>
    <hyperlink ref="AB630" r:id="rId95" display="https://www.jivi.com.ar/ficha.php?id=622"/>
    <hyperlink ref="AB94" r:id="rId96" display="https://www.jivi.com.ar/ficha.php?id=456"/>
    <hyperlink ref="AB268" r:id="rId97" display="https://www.jivi.com.ar/ficha.php?id=246"/>
    <hyperlink ref="AB425" r:id="rId98" display="https://www.jivi.com.ar/ficha.php?id=431"/>
    <hyperlink ref="AB429" r:id="rId99" display="https://www.jivi.com.ar/ficha.php?id=728"/>
    <hyperlink ref="AB445" r:id="rId100"/>
    <hyperlink ref="AB447" r:id="rId101"/>
    <hyperlink ref="AB456" r:id="rId102"/>
    <hyperlink ref="AB458" r:id="rId103"/>
    <hyperlink ref="AB461" r:id="rId104"/>
    <hyperlink ref="AB462" r:id="rId105"/>
    <hyperlink ref="AB463" r:id="rId106"/>
    <hyperlink ref="AB465" r:id="rId107"/>
    <hyperlink ref="AB466" r:id="rId108"/>
    <hyperlink ref="AB468" r:id="rId109"/>
    <hyperlink ref="AB471" r:id="rId110"/>
    <hyperlink ref="AB472" r:id="rId111"/>
    <hyperlink ref="AB611" r:id="rId112"/>
    <hyperlink ref="AB617" r:id="rId113"/>
    <hyperlink ref="AB618" r:id="rId114"/>
    <hyperlink ref="AB96" r:id="rId115" display="https://www.jivi.com.ar/ficha.php?id=234"/>
    <hyperlink ref="AB320" r:id="rId116" display="https://www.jivi.com.ar/ficha.php?id=51"/>
    <hyperlink ref="AB331" r:id="rId117"/>
    <hyperlink ref="B7:V7" location="'Artículos Publicitarios'!A686" display="PARA IR A LOS RECARGOS POR IMPRESIONES ADICIONALES CLICK AQUÍ"/>
    <hyperlink ref="AB449" r:id="rId118"/>
    <hyperlink ref="AC51" r:id="rId119"/>
    <hyperlink ref="AD51" r:id="rId120"/>
    <hyperlink ref="AE51" r:id="rId121"/>
    <hyperlink ref="B7:W7" location="'Artículos Publicitarios'!A678" display="PARA IR A LOS RECARGOS POR IMPRESIONES ADICIONALES CLICK AQUÍ"/>
    <hyperlink ref="AB224" r:id="rId122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23" display="https://www.jivi.com.ar/ficha.php?id=846"/>
    <hyperlink ref="AB24" r:id="rId124" display="https://www.jivi.com.ar/ficha.php?id=848"/>
    <hyperlink ref="AB74" r:id="rId125"/>
    <hyperlink ref="AE2:AG2" location="'Artículos Publicitarios'!A740" display="CLICK AQUÍ"/>
    <hyperlink ref="B735:W735" location="'Artículos Publicitarios'!A3" display="PARA SUBIR AL PRINCIPIO DE LA LISTA CLICK AQUÍ"/>
    <hyperlink ref="AB262" r:id="rId126" display="https://www.jivi.com.ar/ficha.php?id=862"/>
    <hyperlink ref="AB42" r:id="rId127"/>
    <hyperlink ref="AB151" r:id="rId128" display="https://www.jivi.com.ar/ficha.php?id=882"/>
    <hyperlink ref="AB101" r:id="rId129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33" r:id="rId130" display="https://www.jivi.com.ar/ficha.php?id=903"/>
    <hyperlink ref="AB19" r:id="rId131"/>
    <hyperlink ref="AB325" r:id="rId132" display="https://www.jivi.com.ar/ficha.php?id=916"/>
    <hyperlink ref="AB626" r:id="rId133" display="https://www.jivi.com.ar/ficha.php?id=918"/>
    <hyperlink ref="AB311" r:id="rId134" display="https://www.jivi.com.ar/ficha.php?id=926"/>
    <hyperlink ref="AB65" r:id="rId135"/>
    <hyperlink ref="AB443" r:id="rId136"/>
    <hyperlink ref="AB178" r:id="rId137" display="https://www.jivi.com.ar/ficha.php?id=948"/>
    <hyperlink ref="AB327" r:id="rId138" display="https://www.jivi.com.ar/ficha.php?id=954"/>
    <hyperlink ref="AB131" r:id="rId139"/>
    <hyperlink ref="AB133" r:id="rId140"/>
    <hyperlink ref="AB132" r:id="rId141"/>
    <hyperlink ref="AB450" r:id="rId142"/>
    <hyperlink ref="AB25" r:id="rId143"/>
    <hyperlink ref="AB321" r:id="rId144" display="https://www.jivi.com.ar/ficha.php?id=850"/>
    <hyperlink ref="AB134" r:id="rId145"/>
    <hyperlink ref="AB469" r:id="rId146"/>
    <hyperlink ref="AB470" r:id="rId147"/>
    <hyperlink ref="AB349" r:id="rId148" display="https://www.jivi.com.ar/ficha.php?id=1023"/>
    <hyperlink ref="AB312" r:id="rId149" display="https://www.jivi.com.ar/ficha.php?id=1025"/>
    <hyperlink ref="AF23" location="'Artículos Publicitarios'!A122" display="IR A PINES"/>
    <hyperlink ref="AB323" r:id="rId150" display="https://www.jivi.com.ar/ficha.php?id=647"/>
    <hyperlink ref="AB306" r:id="rId151" display="https://www.jivi.com.ar/ficha.php?id=1049"/>
    <hyperlink ref="AB190" r:id="rId152" display="https://www.jivi.com.ar/ficha.php?id=1059"/>
    <hyperlink ref="AB192" r:id="rId153" display="https://www.jivi.com.ar/ficha.php?id=1061"/>
    <hyperlink ref="AB193" r:id="rId154" display="https://www.jivi.com.ar/ficha.php?id=1062"/>
    <hyperlink ref="AB21" r:id="rId155" display="https://www.jivi.com.ar/ficha.php?id=364"/>
    <hyperlink ref="AF25:AI25" location="'Artículos Publicitarios'!A475" display="IR A GORROS"/>
    <hyperlink ref="AB23" r:id="rId156"/>
    <hyperlink ref="AB22" r:id="rId157"/>
    <hyperlink ref="AF21:AI21" location="'Artículos Publicitarios'!A595" display="IR A PROD. SUBLIMADOS"/>
    <hyperlink ref="AB595" r:id="rId158" display="https://www.jivi.com.ar/ficha.php?id=1088"/>
    <hyperlink ref="AB596" r:id="rId159" display="https://www.jivi.com.ar/ficha.php?id=1089"/>
    <hyperlink ref="AB597" r:id="rId160" display="https://www.jivi.com.ar/ficha.php?id=1090"/>
    <hyperlink ref="AB598" r:id="rId161" display="https://www.jivi.com.ar/ficha.php?id=1091"/>
    <hyperlink ref="AB336" r:id="rId162" display="https://www.jivi.com.ar/ficha.php?id=1095"/>
    <hyperlink ref="AB313" r:id="rId163" display="https://www.jivi.com.ar/ficha.php?id=1094"/>
    <hyperlink ref="AB309" r:id="rId164" display="https://www.jivi.com.ar/ficha.php?id=297"/>
    <hyperlink ref="AB355" r:id="rId165" display="https://www.jivi.com.ar/ficha.php?id=1097"/>
    <hyperlink ref="AB98" r:id="rId166" display="https://www.jivi.com.ar/ficha.php?id=1098"/>
    <hyperlink ref="AB18" r:id="rId167"/>
    <hyperlink ref="AB218" r:id="rId168"/>
    <hyperlink ref="AB305" r:id="rId169" display="https://www.jivi.com.ar/ficha.php?id=1108"/>
    <hyperlink ref="AB339" r:id="rId170" display="https://www.jivi.com.ar/ficha.php?id=1116"/>
    <hyperlink ref="AF608:AH608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71" r:id="rId171" display="https://www.jivi.com.ar/ficha.php?id=1119"/>
    <hyperlink ref="AB172" r:id="rId172"/>
    <hyperlink ref="AB621" r:id="rId173" display="https://www.jivi.com.ar/ficha.php?id=1154"/>
    <hyperlink ref="AB631" r:id="rId174" display="https://www.jivi.com.ar/ficha.php?id=1157"/>
    <hyperlink ref="AB632" r:id="rId175" display="https://www.jivi.com.ar/ficha.php?id=1158"/>
    <hyperlink ref="AB593" r:id="rId176"/>
    <hyperlink ref="AB599" r:id="rId177" display="hhttps://www.jivi.com.ar/ficha.php?id=1155"/>
    <hyperlink ref="AB601" r:id="rId178" display="https://www.jivi.com.ar/ficha.php?id=1156"/>
    <hyperlink ref="AB604" r:id="rId179"/>
    <hyperlink ref="AB314" r:id="rId180"/>
    <hyperlink ref="AB52" r:id="rId181" display="https://www.jivi.com.ar/ficha.php?id=1172"/>
    <hyperlink ref="AB322" r:id="rId182"/>
    <hyperlink ref="AB97" r:id="rId183"/>
    <hyperlink ref="AB119" r:id="rId184"/>
    <hyperlink ref="AB324" r:id="rId185" display="https://www.jivi.com.ar/ficha.php?id=915"/>
    <hyperlink ref="AB107" r:id="rId186" display="https://www.jivi.com.ar/ficha.php?id=1182"/>
    <hyperlink ref="AB118" r:id="rId187" display="https://www.jivi.com.ar/ficha.php?id=1183"/>
    <hyperlink ref="AB120" r:id="rId188"/>
    <hyperlink ref="AB328" r:id="rId189" display="https://www.jivi.com.ar/ficha.php?id=349"/>
    <hyperlink ref="AB391" r:id="rId190" display="https://www.jivi.com.ar/ficha.php?id=1190"/>
    <hyperlink ref="AB105" r:id="rId191" display="https://www.jivi.com.ar/ficha.php?id=1181"/>
    <hyperlink ref="AB334" r:id="rId192"/>
    <hyperlink ref="AB451" r:id="rId193"/>
    <hyperlink ref="AB393" r:id="rId194" display="https://www.jivi.com.ar/ficha.php?id=1219"/>
    <hyperlink ref="AB47" r:id="rId195"/>
    <hyperlink ref="AB46" r:id="rId196"/>
    <hyperlink ref="AB48" r:id="rId197"/>
    <hyperlink ref="AB634" r:id="rId198" display="https://www.jivi.com.ar/ficha.php?id=904"/>
    <hyperlink ref="AB59" r:id="rId199"/>
    <hyperlink ref="AB421" r:id="rId200" display="https://www.jivi.com.ar/ficha.php?id=1225"/>
    <hyperlink ref="AB41" r:id="rId201"/>
    <hyperlink ref="AB627" r:id="rId202" display="https://www.jivi.com.ar/ficha.php?id=919"/>
    <hyperlink ref="AB191" r:id="rId203" display="https://www.jivi.com.ar/ficha.php?id=1060"/>
    <hyperlink ref="AB40" r:id="rId204"/>
    <hyperlink ref="AB152" r:id="rId205" display="https://www.jivi.com.ar/ficha.php?id=883"/>
    <hyperlink ref="AB473" r:id="rId206"/>
    <hyperlink ref="AB124" r:id="rId207" display="https://jivi.com.ar/ficha.php?id=89"/>
    <hyperlink ref="AB508" r:id="rId208" display="https://www.jivi.com.ar/ficha.php?id=1248"/>
    <hyperlink ref="AB337" r:id="rId209" display="https://www.jivi.com.ar/ficha.php?id=1253"/>
    <hyperlink ref="AB263" r:id="rId210" display="https://www.jivi.com.ar/ficha.php?id=1124"/>
    <hyperlink ref="AB153" r:id="rId211" display="https://www.jivi.com.ar/ficha.php?id=1261"/>
    <hyperlink ref="AB370" r:id="rId212" display="https://www.jivi.com.ar/ficha.php?id=1267"/>
    <hyperlink ref="AB422" r:id="rId213" display="https://www.jivi.com.ar/ficha.php?id=1268"/>
    <hyperlink ref="AB371" r:id="rId214" display="https://www.jivi.com.ar/ficha.php?id=1277"/>
    <hyperlink ref="AB649" r:id="rId215"/>
    <hyperlink ref="AB95" r:id="rId216" display="https://www.jivi.com.ar/ficha.php?id=378"/>
    <hyperlink ref="AB169" r:id="rId217"/>
    <hyperlink ref="AB106" r:id="rId218"/>
    <hyperlink ref="AB108" r:id="rId219"/>
    <hyperlink ref="AB113" r:id="rId220" display="https://www.jivi.com.ar/ficha.php?id=1305"/>
    <hyperlink ref="AB114" r:id="rId221"/>
    <hyperlink ref="AB217" r:id="rId222" display="https://www.jivi.com.ar/ficha.php?id=1287"/>
    <hyperlink ref="AB603" r:id="rId223" display="https://www.jivi.com.ar/ficha.php?id=1290"/>
    <hyperlink ref="AB163" r:id="rId224" display="https://www.jivi.com.ar/ficha.php?id=1316"/>
    <hyperlink ref="AB102" r:id="rId225" display="https://www.jivi.com.ar/ficha.php?id=1314"/>
    <hyperlink ref="AJ1:AJ2" location="'Artículos Publicitarios'!A3" display="IR A PAGINA 1"/>
    <hyperlink ref="AB168" r:id="rId226"/>
    <hyperlink ref="AB359" r:id="rId227" display="https://www.jivi.com.ar/ficha.php?id=1344"/>
    <hyperlink ref="AB115" r:id="rId228"/>
    <hyperlink ref="AF690:AH690" location="'Artículos Publicitarios'!A3" display="IR A PAGINA 1"/>
    <hyperlink ref="AB161" r:id="rId229" display="https://www.jivi.com.ar/ficha.php?id=1346"/>
    <hyperlink ref="AB162" r:id="rId230" display="https://www.jivi.com.ar/ficha.php?id=1347"/>
    <hyperlink ref="AB189" r:id="rId231" display="https://www.jivi.com.ar/ficha.php?id=1348"/>
    <hyperlink ref="AB360" r:id="rId232" display="https://www.jivi.com.ar/ficha.php?id=1359"/>
    <hyperlink ref="AB372" r:id="rId233" display="https://www.jivi.com.ar/ficha.php?id=1360"/>
    <hyperlink ref="AB170" r:id="rId234"/>
    <hyperlink ref="AB103" r:id="rId235" display="https://www.jivi.com.ar/ficha.php?id=1366"/>
    <hyperlink ref="AC8:AI9" r:id="rId236" display="REGISTRATE EN NUESTRA WEB PARA BAJAR LISTA DE PRECIOS DESDE CUALQUIER PC"/>
    <hyperlink ref="AB264" r:id="rId237" display="https://www.jivi.com.ar/ficha.php?id=864"/>
    <hyperlink ref="AB378" r:id="rId238" display="https://www.jivi.com.ar/ficha.php?id=1372"/>
    <hyperlink ref="AB375" r:id="rId239" display="https://www.jivi.com.ar/ficha.php?id=1378"/>
    <hyperlink ref="AB379" r:id="rId240" display="https://www.jivi.com.ar/ficha.php?id=1382"/>
    <hyperlink ref="AB374" r:id="rId241" display="https://www.jivi.com.ar/ficha.php?id=1383"/>
    <hyperlink ref="AB403" r:id="rId242" display="https://www.jivi.com.ar/ficha.php?id=1384"/>
    <hyperlink ref="AB126" r:id="rId243" display="https://www.jivi.com.ar/ficha.php?id=1428"/>
    <hyperlink ref="AB404" r:id="rId244" display="https://www.jivi.com.ar/ficha.php?id=1385"/>
    <hyperlink ref="AB402" r:id="rId245" display="https://www.jivi.com.ar/ficha.php?id=1387"/>
    <hyperlink ref="AB405" r:id="rId246" display="https://www.jivi.com.ar/ficha.php?id=1389"/>
    <hyperlink ref="AB20" r:id="rId247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48" display="https://www.jivi.com.ar/ficha.php?id=236"/>
    <hyperlink ref="AB164" r:id="rId249" display="https://www.jivi.com.ar/ficha.php?id=1343"/>
    <hyperlink ref="AF13:AH13" location="'Artículos Publicitarios'!A342" display="IR A PAGINA 5"/>
    <hyperlink ref="AF14:AH14" location="'Artículos Publicitarios'!A421" display="IR A PAGINA 6"/>
    <hyperlink ref="AB380" r:id="rId250" display="https://www.jivi.com.ar/ficha.php?id=1394"/>
    <hyperlink ref="AB219" r:id="rId251" display="https://www.jivi.com.ar/ficha.php?id=872"/>
    <hyperlink ref="AB146" r:id="rId252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22" display="IR A BOLIGRAFOS"/>
    <hyperlink ref="AB401" r:id="rId253" display="https://www.jivi.com.ar/ficha.php?id=1262"/>
    <hyperlink ref="AB373" r:id="rId254" display="https://www.jivi.com.ar/ficha.php?id=1400"/>
    <hyperlink ref="AB381" r:id="rId255" display="https://www.jivi.com.ar/ficha.php?id=1401"/>
    <hyperlink ref="AB154" r:id="rId256" display="https://www.jivi.com.ar/ficha.php?id=1392"/>
    <hyperlink ref="AB257" r:id="rId257" display="https://www.jivi.com.ar/ficha.php?id=1230"/>
    <hyperlink ref="AB361" r:id="rId258" display="https://www.jivi.com.ar/ficha.php?id=1110"/>
    <hyperlink ref="AB363" r:id="rId259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0" display="https://www.jivi.com.ar/ficha.php?id=477"/>
    <hyperlink ref="AB93" r:id="rId261" display="https://www.jivi.com.ar/ficha.php?id=376"/>
    <hyperlink ref="AB13" r:id="rId262" display="https://www.jivi.com.ar/ficha.php?id=1402"/>
    <hyperlink ref="AB501" r:id="rId263" display="https://www.jivi.com.ar/ficha.php?id=1393"/>
    <hyperlink ref="AB15" r:id="rId264" display="https://www.jivi.com.ar/ficha.php?id=1405"/>
    <hyperlink ref="AB123" r:id="rId265" display="https://www.jivi.com.ar/ficha.php?id=1413"/>
    <hyperlink ref="AB167" r:id="rId266" display="https://www.jivi.com.ar/ficha.php?id=1415"/>
    <hyperlink ref="AF12:AH12" location="'Artículos Publicitarios'!A260" display="IR A PAGINA 4"/>
    <hyperlink ref="AB302" r:id="rId267" display="https://www.jivi.com.ar/ficha.php?id=1356"/>
    <hyperlink ref="AB206" r:id="rId268" display="https://www.jivi.com.ar/ficha.php?id=1084"/>
    <hyperlink ref="AB300" r:id="rId269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54" r:id="rId270"/>
    <hyperlink ref="AB657" r:id="rId271"/>
    <hyperlink ref="AB628" r:id="rId272" display="https://www.jivi.com.ar/ficha.php?id=1281"/>
    <hyperlink ref="AB648" r:id="rId273"/>
    <hyperlink ref="AB283" r:id="rId274" display="https://www.jivi.com.ar/ficha.php?id=1421"/>
    <hyperlink ref="AB286" r:id="rId275" display="https://www.jivi.com.ar/ficha.php?id=1422"/>
    <hyperlink ref="AB287" r:id="rId276" display="https://www.jivi.com.ar/ficha.php?id=1423"/>
    <hyperlink ref="AB298" r:id="rId277" display="https://www.jivi.com.ar/ficha.php?id=1425"/>
    <hyperlink ref="AB299" r:id="rId278" display="https://www.jivi.com.ar/ficha.php?id=1426"/>
    <hyperlink ref="AB419" r:id="rId279" display="https://www.jivi.com.ar/ficha.php?id=1429"/>
    <hyperlink ref="AB452" r:id="rId280"/>
    <hyperlink ref="AB454" r:id="rId281"/>
    <hyperlink ref="AB495" r:id="rId282" display="https://www.jivi.com.ar/ficha.php?id=1436"/>
    <hyperlink ref="AB496" r:id="rId283" display="https://www.jivi.com.ar/ficha.php?id=1437"/>
    <hyperlink ref="AB497" r:id="rId284"/>
    <hyperlink ref="AB499" r:id="rId285" display="https://www.jivi.com.ar/ficha.php?id=1439"/>
    <hyperlink ref="AB285" r:id="rId286" display="https://www.jivi.com.ar/ficha.php?id=1442"/>
    <hyperlink ref="AB297" r:id="rId287" display="https://www.jivi.com.ar/ficha.php?id=1427"/>
    <hyperlink ref="AB619" r:id="rId288"/>
    <hyperlink ref="AB354" r:id="rId289" display="https://www.jivi.com.ar/ficha.php?id=1056"/>
    <hyperlink ref="AB256" r:id="rId290" display="https://www.jivi.com.ar/ficha.php?id=1334"/>
    <hyperlink ref="AB251" r:id="rId291" display="https://www.jivi.com.ar/ficha.php?id=1335"/>
    <hyperlink ref="AB293" r:id="rId292" display="https://www.jivi.com.ar/ficha.php?id=1446"/>
    <hyperlink ref="AB301" r:id="rId293" display="https://www.jivi.com.ar/ficha.php?id=1354"/>
    <hyperlink ref="AB296" r:id="rId294" display="https://www.jivi.com.ar/ficha.php?id=1448"/>
    <hyperlink ref="AB304" r:id="rId295" display="https://www.jivi.com.ar/ficha.php?id=1450"/>
    <hyperlink ref="AB187" r:id="rId296"/>
    <hyperlink ref="AB195" r:id="rId297" display="https://www.jivi.com.ar/ficha.php?id=1064"/>
    <hyperlink ref="AB194" r:id="rId298" display="https://www.jivi.com.ar/ficha.php?id=1063"/>
    <hyperlink ref="AB444" r:id="rId299"/>
    <hyperlink ref="AB650" r:id="rId300"/>
    <hyperlink ref="AB387" r:id="rId301" display="https://www.jivi.com.ar/ficha.php?id=1463"/>
    <hyperlink ref="AB388" r:id="rId302" display="https://www.jivi.com.ar/ficha.php?id=1464"/>
    <hyperlink ref="AB409" r:id="rId303" display="https://www.jivi.com.ar/ficha.php?id=1466"/>
    <hyperlink ref="AB502" r:id="rId304" display="https://www.jivi.com.ar/ficha.php?id=1467"/>
    <hyperlink ref="AB500" r:id="rId305" display="https://www.jivi.com.ar/ficha.php?id=1468"/>
    <hyperlink ref="AB507" r:id="rId306" display="https://www.jivi.com.ar/ficha.php?id=1470"/>
    <hyperlink ref="AB511" r:id="rId307"/>
    <hyperlink ref="AB512" r:id="rId308" display="https://www.jivi.com.ar/ficha.php?id=1472"/>
    <hyperlink ref="AB464" r:id="rId309"/>
    <hyperlink ref="AB591" r:id="rId310"/>
    <hyperlink ref="AB592" r:id="rId311"/>
    <hyperlink ref="AB590" r:id="rId312"/>
    <hyperlink ref="AB210" r:id="rId313" display="https://www.jivi.com.ar/ficha.php?id=1478"/>
    <hyperlink ref="AB211" r:id="rId314"/>
    <hyperlink ref="AB212" r:id="rId315"/>
    <hyperlink ref="AB205" r:id="rId316" display="https://www.jivi.com.ar/ficha.php?id=1481"/>
    <hyperlink ref="AB220" r:id="rId317" display="https://www.jivi.com.ar/ficha.php?id=1483"/>
    <hyperlink ref="AB249" r:id="rId318" display="https://www.jivi.com.ar/ficha.php?id=1486"/>
    <hyperlink ref="AB250" r:id="rId319" display="https://www.jivi.com.ar/ficha.php?id=1488"/>
    <hyperlink ref="AB622" r:id="rId320" display="https://www.jivi.com.ar/ficha.php?id=1492"/>
    <hyperlink ref="AB623" r:id="rId321" display="https://www.jivi.com.ar/ficha.php?id=1493"/>
    <hyperlink ref="AB624" r:id="rId322" display="https://www.jivi.com.ar/ficha.php?id=1494"/>
    <hyperlink ref="AB625" r:id="rId323"/>
    <hyperlink ref="AB269" r:id="rId324" display="https://www.jivi.com.ar/ficha.php?id=1496"/>
    <hyperlink ref="AB270" r:id="rId325" display="https://www.jivi.com.ar/ficha.php?id=1497"/>
    <hyperlink ref="AB272" r:id="rId326" display="httphttps://www.jivi.com.ar/ficha.php?id=1498"/>
    <hyperlink ref="AB273" r:id="rId327" display="https://www.jivi.com.ar/ficha.php?id=1499"/>
    <hyperlink ref="AB274" r:id="rId328" display="https://www.jivi.com.ar/ficha.php?id=1500"/>
    <hyperlink ref="AB35" r:id="rId329"/>
    <hyperlink ref="AB37" r:id="rId330"/>
    <hyperlink ref="AB34" r:id="rId331"/>
    <hyperlink ref="AB36" r:id="rId332"/>
    <hyperlink ref="AB38" r:id="rId333"/>
    <hyperlink ref="AB39" r:id="rId334"/>
    <hyperlink ref="AB494" r:id="rId335" display="https://www.jivi.com.ar/ficha.php?id=1509"/>
    <hyperlink ref="AB475" r:id="rId336"/>
    <hyperlink ref="AB282" r:id="rId337" display="https://www.jivi.com.ar/ficha.php?id=1515"/>
    <hyperlink ref="AB69" r:id="rId338"/>
    <hyperlink ref="AB71" r:id="rId339"/>
    <hyperlink ref="AB383" r:id="rId340" display="https://www.jivi.com.ar/ficha.php?id=1523"/>
    <hyperlink ref="AB281" r:id="rId341" display="https://www.jivi.com.ar/ficha.php?id=1559"/>
    <hyperlink ref="AB284" r:id="rId342" display="https://www.jivi.com.ar/ficha.php?id=1527"/>
    <hyperlink ref="AB240" r:id="rId343" display="https://www.jivi.com.ar/ficha.php?id=1532"/>
    <hyperlink ref="AB247" r:id="rId344" display="https://www.jivi.com.ar/ficha.php?id=1534"/>
    <hyperlink ref="AB644" r:id="rId345" display="https://www.jivi.com.ar/ficha.php?id=1535"/>
    <hyperlink ref="AB645" r:id="rId346" display="https://www.jivi.com.ar/ficha.php?id=1536"/>
    <hyperlink ref="AB223" r:id="rId347" display="https://www.jivi.com.ar/ficha.php?id=1539"/>
    <hyperlink ref="AB130" r:id="rId348" display="https://www.jivi.com.ar/ficha.php?id=1540"/>
    <hyperlink ref="AB509" r:id="rId349" display="https://www.jivi.com.ar/ficha.php?id=1541"/>
    <hyperlink ref="AB510" r:id="rId350" display="https://www.jivi.com.ar/ficha.php?id=1542"/>
    <hyperlink ref="AB229" r:id="rId351" display="https://www.jivi.com.ar/ficha.php?id=1545"/>
    <hyperlink ref="AB362" r:id="rId352"/>
    <hyperlink ref="AB335" r:id="rId353" display="https://www.jivi.com.ar/ficha.php?id=981"/>
    <hyperlink ref="AB384" r:id="rId354" display="https://www.jivi.com.ar/ficha.php?id=1548"/>
    <hyperlink ref="AB385" r:id="rId355" display="https://www.jivi.com.ar/ficha.php?id=1549"/>
    <hyperlink ref="AB431" r:id="rId356"/>
    <hyperlink ref="AB418" r:id="rId357" display="https://www.jivi.com.ar/ficha.php?id=1552"/>
    <hyperlink ref="AB357" r:id="rId358" display="https://www.jivi.com.ar/ficha.php?id=1311"/>
    <hyperlink ref="AB145" r:id="rId359" display="https://www.jivi.com.ar/ficha.php?id=1553"/>
    <hyperlink ref="AB141" r:id="rId360" display="https://www.jivi.com.ar/ficha.php?id=1554"/>
    <hyperlink ref="AB551" r:id="rId361" display="https://www.jivi.com.ar/ficha.php?id=1555"/>
    <hyperlink ref="AB57" r:id="rId362" display="https://www.jivi.com.ar/ficha.php?id=1557"/>
    <hyperlink ref="AB655" r:id="rId363"/>
    <hyperlink ref="AB221" r:id="rId364" display="https://www.jivi.com.ar/ficha.php?id=518"/>
    <hyperlink ref="AB188" r:id="rId365" display="https://www.jivi.com.ar/ficha.php?id=1561"/>
    <hyperlink ref="AB10" r:id="rId366" display="https://www.jivi.com.ar/ficha.php?id=26"/>
    <hyperlink ref="AB225" r:id="rId367" display="https://www.jivi.com.ar/ficha.php?id=1066"/>
    <hyperlink ref="AB226" r:id="rId368" display="https://www.jivi.com.ar/ficha.php?id=1562"/>
    <hyperlink ref="AB426" r:id="rId369" display="https://www.jivi.com.ar/ficha.php?id=1563"/>
    <hyperlink ref="AB160" r:id="rId370" display="https://www.jivi.com.ar/ficha.php?id=1414"/>
    <hyperlink ref="AB16" r:id="rId371" display="https://www.jivi.com.ar/ficha.php?id=790"/>
    <hyperlink ref="AB290" r:id="rId372" display="https://www.jivi.com.ar/ficha.php?id=1407"/>
    <hyperlink ref="AB289" r:id="rId373" display="https://www.jivi.com.ar/ficha.php?id=1409"/>
    <hyperlink ref="AB291" r:id="rId374" display="https://www.jivi.com.ar/ficha.php?id=1408"/>
    <hyperlink ref="AB279" r:id="rId375" display="https://www.jivi.com.ar/ficha.php?id=1564"/>
    <hyperlink ref="AB27" r:id="rId376" display="https://www.jivi.com.ar/ficha.php?id=1434"/>
    <hyperlink ref="AB389" r:id="rId377" display="https://www.jivi.com.ar/ficha.php?id=1567"/>
    <hyperlink ref="AB43" r:id="rId378"/>
    <hyperlink ref="AB44" r:id="rId379"/>
    <hyperlink ref="AB45" r:id="rId380"/>
    <hyperlink ref="AB127" r:id="rId381" display="https://www.jivi.com.ar/ficha.php?id=1571"/>
    <hyperlink ref="AB204" r:id="rId382"/>
    <hyperlink ref="AB386" r:id="rId383" display="https://www.jivi.com.ar/ficha.php?id=1572"/>
    <hyperlink ref="AB280" r:id="rId384" display="https://www.jivi.com.ar/ficha.php?id=1573"/>
    <hyperlink ref="AB523" r:id="rId385" display="https://www.jivi.com.ar/ficha.php?id=1294"/>
    <hyperlink ref="AF28:AJ28" location="'Artículos Publicitarios'!A539" display="IR A MOCHILAS - BOLSOS - ETC"/>
    <hyperlink ref="AB529" r:id="rId386" display="https://www.jivi.com.ar/ficha.php?id=1271"/>
    <hyperlink ref="AB528" r:id="rId387" display="https://www.jivi.com.ar/ficha.php?id=1296"/>
    <hyperlink ref="AB533" r:id="rId388" display="https://www.jivi.com.ar/ficha.php?id=1139"/>
    <hyperlink ref="AB526" r:id="rId389" display="https://www.jivi.com.ar/ficha.php?id=1249"/>
    <hyperlink ref="AB570" r:id="rId390" display="https://www.jivi.com.ar/ficha.php?id=1574"/>
    <hyperlink ref="AB527" r:id="rId391" display="https://www.jivi.com.ar/ficha.php?id=1576"/>
    <hyperlink ref="AB537" r:id="rId392" display="https://www.jivi.com.ar/ficha.php?id=1580"/>
    <hyperlink ref="AB538" r:id="rId393" display="https://www.jivi.com.ar/ficha.php?id=1581"/>
    <hyperlink ref="AB542" r:id="rId394" display="https://www.jivi.com.ar/ficha.php?id=1583"/>
    <hyperlink ref="AB543" r:id="rId395" display="https://www.jivi.com.ar/ficha.php?id=1584"/>
    <hyperlink ref="AB545" r:id="rId396" display="https://www.jivi.com.ar/ficha.php?id=1586"/>
    <hyperlink ref="AB546" r:id="rId397" display="https://www.jivi.com.ar/ficha.php?id=1587"/>
    <hyperlink ref="AF29:AJ29" location="'Artículos Publicitarios'!A248" display="IR A CUADERNOS"/>
    <hyperlink ref="AB259" r:id="rId398" display="https://www.jivi.com.ar/ficha.php?id=1221"/>
    <hyperlink ref="AB265" r:id="rId399" display="https://www.jivi.com.ar/ficha.php?id=1588"/>
    <hyperlink ref="AB489" r:id="rId400"/>
    <hyperlink ref="AB490" r:id="rId401" display="https://www.jivi.com.ar/ficha.php?id=1590"/>
    <hyperlink ref="AB491" r:id="rId402"/>
    <hyperlink ref="AB492" r:id="rId403" display="https://www.jivi.com.ar/ficha.php?id=1592"/>
    <hyperlink ref="AB552" r:id="rId404" display="https://www.jivi.com.ar/ficha.php?id=1593"/>
    <hyperlink ref="AB277" r:id="rId405" display="https://www.jivi.com.ar/ficha.php?id=1595"/>
    <hyperlink ref="AB412" r:id="rId406" display="https://www.jivi.com.ar/ficha.php?id=1596"/>
    <hyperlink ref="AB553" r:id="rId407" display="https://www.jivi.com.ar/ficha.php?id=1598"/>
    <hyperlink ref="AB544" r:id="rId408" display="https://www.jivi.com.ar/ficha.php?id=1599"/>
    <hyperlink ref="AB555" r:id="rId409" display="https://www.jivi.com.ar/ficha.php?id=1602"/>
    <hyperlink ref="AB557" r:id="rId410" display="https://www.jivi.com.ar/ficha.php?id=1603"/>
    <hyperlink ref="AB60" r:id="rId411"/>
    <hyperlink ref="AB564" r:id="rId412" display="https://www.jivi.com.ar/ficha.php?id=1604"/>
    <hyperlink ref="AB565" r:id="rId413" display="https://www.jivi.com.ar/ficha.php?id=1606"/>
    <hyperlink ref="AB295" r:id="rId414" display="https://www.jivi.com.ar/ficha.php?id=1424"/>
    <hyperlink ref="AB173" r:id="rId415"/>
    <hyperlink ref="AB245" r:id="rId416" display="https://www.jivi.com.ar/ficha.php?id=1459"/>
    <hyperlink ref="AB244" r:id="rId417" display="https://www.jivi.com.ar/ficha.php?id=1608"/>
    <hyperlink ref="AB243" r:id="rId418" display="https://www.jivi.com.ar/ficha.php?id=1609"/>
    <hyperlink ref="AB260" r:id="rId419" display="https://www.jivi.com.ar/ficha.php?id=1274"/>
    <hyperlink ref="AB417" r:id="rId420" display="https://www.jivi.com.ar/ficha.php?id=1610"/>
    <hyperlink ref="AB541" r:id="rId421" display="https://www.jivi.com.ar/ficha.php?id=1611"/>
    <hyperlink ref="AB540" r:id="rId422" display="https://www.jivi.com.ar/ficha.php?id=1612"/>
    <hyperlink ref="AB198" r:id="rId423" display="https://www.jivi.com.ar/ficha.php?id=1614"/>
    <hyperlink ref="AB196" r:id="rId424" display="https://www.jivi.com.ar/ficha.php?id=1452"/>
    <hyperlink ref="AB214" r:id="rId425" display="https://www.jivi.com.ar/ficha.php?id=608"/>
    <hyperlink ref="AB368" r:id="rId426" display="https://www.jivi.com.ar/ficha.php?id=1615"/>
    <hyperlink ref="AB573" r:id="rId427" display="https://www.jivi.com.ar/ficha.php?id=1617"/>
    <hyperlink ref="AB574" r:id="rId428" display="https://www.jivi.com.ar/ficha.php?id=1618"/>
    <hyperlink ref="AB487" r:id="rId429"/>
    <hyperlink ref="AB488" r:id="rId430" display="https://www.jivi.com.ar/ficha.php?id=1620"/>
    <hyperlink ref="AB504" r:id="rId431" display="https://www.jivi.com.ar/ficha.php?id=1204"/>
    <hyperlink ref="AB505" r:id="rId432"/>
    <hyperlink ref="AB333" r:id="rId433"/>
    <hyperlink ref="AB474" r:id="rId434"/>
    <hyperlink ref="AB612" r:id="rId435"/>
    <hyperlink ref="AB659" r:id="rId436"/>
    <hyperlink ref="AB660" r:id="rId437"/>
    <hyperlink ref="AB661" r:id="rId438"/>
    <hyperlink ref="AB366" r:id="rId439" display="https://www.jivi.com.ar/ficha.php?id=1641"/>
    <hyperlink ref="AB435" r:id="rId440"/>
    <hyperlink ref="AB436" r:id="rId441"/>
    <hyperlink ref="AB437" r:id="rId442"/>
    <hyperlink ref="AB438" r:id="rId443"/>
    <hyperlink ref="AB646" r:id="rId444"/>
    <hyperlink ref="AB434" r:id="rId445"/>
    <hyperlink ref="AB166" r:id="rId446" display="https://www.jivi.com.ar/ficha.php?id=1660"/>
    <hyperlink ref="AB147" r:id="rId447" display="https://www.jivi.com.ar/ficha.php?id=1663"/>
    <hyperlink ref="AB99" r:id="rId448" display="https://www.jivi.com.ar/ficha.php?id=440"/>
    <hyperlink ref="AB647" r:id="rId449"/>
    <hyperlink ref="AB653" r:id="rId450"/>
    <hyperlink ref="AB658" r:id="rId451"/>
    <hyperlink ref="AB493" r:id="rId452" display="https://www.jivi.com.ar/ficha.php?id=1684"/>
    <hyperlink ref="AB369" r:id="rId453" display="https://www.jivi.com.ar/ficha.php?id=1272"/>
    <hyperlink ref="AB367" r:id="rId454" display="https://www.jivi.com.ar/ficha.php?id=1687"/>
    <hyperlink ref="AB365" r:id="rId455" display="https://www.jivi.com.ar/ficha.php?id=1672"/>
    <hyperlink ref="AB547" r:id="rId456" display="https://www.jivi.com.ar/ficha.php?id=1690"/>
    <hyperlink ref="AB486" r:id="rId457" display="https://www.jivi.com.ar/ficha.php?id=1691"/>
    <hyperlink ref="AB498" r:id="rId458" display="https://www.jivi.com.ar/ficha.php?id=1438"/>
    <hyperlink ref="AF479:AH479" location="'Artículos Publicitarios'!A3" display="IR A PAGINA 1"/>
    <hyperlink ref="AF517:AH517" location="'Artículos Publicitarios'!A3" display="IR A PAGINA 1"/>
    <hyperlink ref="AB413" r:id="rId459" display="https://www.jivi.com.ar/ficha.php?id=1695"/>
    <hyperlink ref="AB28" r:id="rId460" display="https://www.jivi.com.ar/ficha.php?id=36"/>
    <hyperlink ref="AB484" r:id="rId461"/>
    <hyperlink ref="AB485" r:id="rId462" display="https://www.jivi.com.ar/ficha.php?id=1698"/>
    <hyperlink ref="AB414" r:id="rId463" display="https://www.jivi.com.ar/ficha.php?id=1699"/>
    <hyperlink ref="AB476" r:id="rId464"/>
    <hyperlink ref="AB382" r:id="rId465" display="https://www.jivi.com.ar/ficha.php?id=1462"/>
    <hyperlink ref="AB234" r:id="rId466" display="https://www.jivi.com.ar/ficha.php?id=1531"/>
    <hyperlink ref="AB232" r:id="rId467" display="https://www.jivi.com.ar/ficha.php?id=1528"/>
    <hyperlink ref="AB420" r:id="rId468"/>
    <hyperlink ref="AB341" r:id="rId469" display="https://www.jivi.com.ar/ficha.php?id=977"/>
    <hyperlink ref="AB407" r:id="rId470" display="https://www.jivi.com.ar/ficha.php?id=1457"/>
    <hyperlink ref="AB406" r:id="rId471" display="https://www.jivi.com.ar/ficha.php?id=1456"/>
    <hyperlink ref="AB342" r:id="rId472" display="https://www.jivi.com.ar/ficha.php?id=1707"/>
    <hyperlink ref="AB343" r:id="rId473" display="https://www.jivi.com.ar/ficha.php?id=1708"/>
    <hyperlink ref="AB410" r:id="rId474"/>
    <hyperlink ref="AB483" r:id="rId475" display="https://www.jivi.com.ar/ficha.php?id=1722"/>
    <hyperlink ref="AB14" r:id="rId476" display="https://www.jivi.com.ar/ficha.php?id=1723"/>
    <hyperlink ref="AB184" r:id="rId477"/>
    <hyperlink ref="AB180" r:id="rId478"/>
    <hyperlink ref="AB182" r:id="rId479"/>
    <hyperlink ref="AB181" r:id="rId480"/>
    <hyperlink ref="AB183" r:id="rId481"/>
    <hyperlink ref="AB179" r:id="rId482"/>
    <hyperlink ref="AB613" r:id="rId483"/>
    <hyperlink ref="AB615" r:id="rId484"/>
    <hyperlink ref="AB635" r:id="rId485"/>
    <hyperlink ref="AB637" r:id="rId486"/>
    <hyperlink ref="AB620" r:id="rId487"/>
    <hyperlink ref="AB571" r:id="rId488" display="https://www.jivi.com.ar/ficha.php?id=1575"/>
    <hyperlink ref="AB566" r:id="rId489" display="https://www.jivi.com.ar/ficha.php?id=1743"/>
    <hyperlink ref="AB567" r:id="rId490" display="https://www.jivi.com.ar/ficha.php?id=1744"/>
    <hyperlink ref="AB568" r:id="rId491" display="https://www.jivi.com.ar/ficha.php?id=1745"/>
    <hyperlink ref="AB534" r:id="rId492" display="https://www.jivi.com.ar/ficha.php?id=1746"/>
    <hyperlink ref="AB610" r:id="rId493"/>
    <hyperlink ref="AB481" r:id="rId494"/>
    <hyperlink ref="AB482" r:id="rId495" display="https://www.jivi.com.ar/ficha.php?id=1749"/>
    <hyperlink ref="AB524" r:id="rId496"/>
    <hyperlink ref="AB656" r:id="rId497"/>
    <hyperlink ref="AB411" r:id="rId498"/>
    <hyperlink ref="AB288" r:id="rId499" display="https://www.jivi.com.ar/ficha.php?id=1461"/>
    <hyperlink ref="AB548" r:id="rId500" display="https://www.jivi.com.ar/ficha.php?id=1776"/>
    <hyperlink ref="AB125" r:id="rId501" display="https://www.jivi.com.ar/ficha.php?id=1310"/>
    <hyperlink ref="AB453" r:id="rId502"/>
    <hyperlink ref="AB63" r:id="rId503" display="https://www.jivi.com.ar/ficha.php?id=76"/>
    <hyperlink ref="AB62" r:id="rId504"/>
    <hyperlink ref="AB61" r:id="rId505"/>
    <hyperlink ref="AB227" r:id="rId506" display="https://www.jivi.com.ar/ficha.php?id=1709"/>
    <hyperlink ref="AB575" r:id="rId507" display="https://www.jivi.com.ar/ficha.php?id=1710"/>
    <hyperlink ref="AB581" r:id="rId508"/>
    <hyperlink ref="AB583" r:id="rId509"/>
    <hyperlink ref="AB584" r:id="rId510"/>
    <hyperlink ref="AB587" r:id="rId511"/>
    <hyperlink ref="AB586" r:id="rId512"/>
    <hyperlink ref="AB530" r:id="rId513" display="https://www.jivi.com.ar/ficha.php?id=1293"/>
    <hyperlink ref="AB255" r:id="rId514" display="https://www.jivi.com.ar/ficha.php?id=1340"/>
    <hyperlink ref="AB258" r:id="rId515" display="https://www.jivi.com.ar/ficha.php?id=1265"/>
    <hyperlink ref="AB248" r:id="rId516" display="https://www.jivi.com.ar/ficha.php?id=1487"/>
    <hyperlink ref="AB116" r:id="rId517"/>
    <hyperlink ref="AB121" r:id="rId518"/>
    <hyperlink ref="AB117" r:id="rId519"/>
    <hyperlink ref="AB200" r:id="rId520" display="https://www.jivi.com.ar/ficha.php?id=1319"/>
    <hyperlink ref="AB122" r:id="rId521"/>
    <hyperlink ref="AB292" r:id="rId522" display="https://www.jivi.com.ar/ficha.php?id=1447"/>
    <hyperlink ref="AB352" r:id="rId523" display="https://www.jivi.com.ar/ficha.php?id=1087"/>
    <hyperlink ref="AB455" r:id="rId524"/>
    <hyperlink ref="AB129" r:id="rId525" display="https://www.jivi.com.ar/ficha.php?id=1451"/>
    <hyperlink ref="AB252" r:id="rId526"/>
    <hyperlink ref="AB346" r:id="rId527" display="https://www.jivi.com.ar/ficha.php?id=1805"/>
    <hyperlink ref="AB303" r:id="rId528" display="https://www.jivi.com.ar/ficha.php?id=1342"/>
    <hyperlink ref="AB353" r:id="rId529" display="https://www.jivi.com.ar/ficha.php?id=1070"/>
    <hyperlink ref="AB356" r:id="rId530"/>
    <hyperlink ref="AB350" r:id="rId531" display="https://www.jivi.com.ar/ficha.php?id=1299"/>
    <hyperlink ref="AB430" r:id="rId532"/>
    <hyperlink ref="AB416" r:id="rId533" display="https://www.jivi.com.ar/ficha.php?id=1597"/>
    <hyperlink ref="AB358" r:id="rId534" display="https://www.jivi.com.ar/ficha.php?id=1131"/>
    <hyperlink ref="AB276" r:id="rId535" display="https://www.jivi.com.ar/ficha.php?id=1774"/>
    <hyperlink ref="AB392" r:id="rId536" display="https://www.jivi.com.ar/ficha.php?id=1820"/>
    <hyperlink ref="AB231" r:id="rId537" display="https://www.jivi.com.ar/ficha.php?id=1544"/>
    <hyperlink ref="AB241" r:id="rId538" display="https://www.jivi.com.ar/ficha.php?id=1533"/>
    <hyperlink ref="AF10:AH10" location="'Artículos Publicitarios'!A101" display="IR A PAGINA 2"/>
    <hyperlink ref="AB549" r:id="rId539" display="https://www.jivi.com.ar/ficha.php?id=1556"/>
    <hyperlink ref="AB569" r:id="rId540" display="https://www.jivi.com.ar/ficha.php?id=1825"/>
    <hyperlink ref="AB266" r:id="rId541" display="https://www.jivi.com.ar/ficha.php?id=1491"/>
    <hyperlink ref="AB186" r:id="rId542" display="https://www.jivi.com.ar/ficha.php?id=1491"/>
    <hyperlink ref="AB278" r:id="rId543" display="https://www.jivi.com.ar/ficha.php?id=1594"/>
    <hyperlink ref="AB408" r:id="rId544"/>
    <hyperlink ref="AB197" r:id="rId545" display="https://www.jivi.com.ar/ficha.php?id=1799"/>
    <hyperlink ref="AB651" r:id="rId546"/>
    <hyperlink ref="AB652" r:id="rId547"/>
    <hyperlink ref="AB261" r:id="rId548" display="https://www.jivi.com.ar/ficha.php?id=1077"/>
    <hyperlink ref="AB332" r:id="rId549"/>
    <hyperlink ref="AB572" r:id="rId550" display="https://www.jivi.com.ar/ficha.php?id=1616"/>
    <hyperlink ref="AB246" r:id="rId551" display="https://www.jivi.com.ar/ficha.php?id=1520"/>
    <hyperlink ref="AB253" r:id="rId552"/>
    <hyperlink ref="AB294" r:id="rId553" display="https://www.jivi.com.ar/ficha.php?id=1443"/>
    <hyperlink ref="AB128" r:id="rId554" display="https://www.jivi.com.ar/ficha.php?id=1055"/>
    <hyperlink ref="AB614" r:id="rId555"/>
    <hyperlink ref="AB636" r:id="rId556"/>
    <hyperlink ref="AB233" r:id="rId557" display="https://www.jivi.com.ar/ficha.php?id=1530"/>
    <hyperlink ref="AB377" r:id="rId558" display="https://www.jivi.com.ar/ficha.php?id=1379"/>
    <hyperlink ref="AB376" r:id="rId559" display="https://www.jivi.com.ar/ficha.php?id=1380"/>
    <hyperlink ref="AB347" r:id="rId560" display="https://www.jivi.com.ar/ficha.php?id=1840"/>
    <hyperlink ref="AB519" r:id="rId561" display="https://www.jivi.com.ar/ficha.php?id=1371"/>
    <hyperlink ref="AB585" r:id="rId562"/>
    <hyperlink ref="AB536" r:id="rId563" display="https://www.jivi.com.ar/ficha.php?id=1579"/>
    <hyperlink ref="AB531" r:id="rId564" display="https://www.jivi.com.ar/ficha.php?id=1138"/>
    <hyperlink ref="AB520" r:id="rId565" display="https://www.jivi.com.ar/ficha.php?id=1911"/>
    <hyperlink ref="AB522" r:id="rId566" display="https://www.jivi.com.ar/ficha.php?id=1916"/>
    <hyperlink ref="AB521" r:id="rId567" display="https://www.jivi.com.ar/ficha.php?id=1912"/>
    <hyperlink ref="AF562:AH562" location="'Artículos Publicitarios'!A3" display="IR A PAGINA 1"/>
    <hyperlink ref="AF642:AH642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390" r:id="rId568" display="https://www.jivi.com.ar/ficha.php?id=1386"/>
    <hyperlink ref="AB616" r:id="rId569"/>
    <hyperlink ref="AB364" r:id="rId570" display="https://www.jivi.com.ar/ficha.php?id=1566"/>
    <hyperlink ref="AB228" r:id="rId571" display="https://www.jivi.com.ar/ficha.php?id=1998"/>
    <hyperlink ref="AB267" r:id="rId572" display="https://www.jivi.com.ar/ficha.php?id=1411"/>
    <hyperlink ref="AB550" r:id="rId573" display="https://www.jivi.com.ar/ficha.php?id=2000"/>
    <hyperlink ref="AB539" r:id="rId574" display="https://www.jivi.com.ar/ficha.php?id=2002"/>
    <hyperlink ref="AB554" r:id="rId575" display="https://www.jivi.com.ar/ficha.php?id=1601"/>
    <hyperlink ref="AB535" r:id="rId576" display="https://www.jivi.com.ar/ficha.php?id=1577"/>
    <hyperlink ref="AB532" r:id="rId577" display="https://www.jivi.com.ar/ficha.php?id=1245"/>
    <hyperlink ref="AB556" r:id="rId578" display="https://www.jivi.com.ar/ficha.php?id=2003"/>
    <hyperlink ref="AB242" r:id="rId579" display="https://www.jivi.com.ar/ficha.php?id=2007"/>
    <hyperlink ref="AB165" r:id="rId580" display="https://www.jivi.com.ar/ficha.php?id=1258"/>
    <hyperlink ref="AB439" r:id="rId581"/>
    <hyperlink ref="AB433" r:id="rId582"/>
    <hyperlink ref="AB432" r:id="rId583"/>
    <hyperlink ref="AB400" r:id="rId584" display="https://www.jivi.com.ar/ficha.php?id=1720"/>
    <hyperlink ref="AB460" r:id="rId585"/>
    <hyperlink ref="AB230" r:id="rId586" display="https://www.jivi.com.ar/ficha.php?id=2011"/>
    <hyperlink ref="AB351" r:id="rId587"/>
    <hyperlink ref="AB525" r:id="rId588" display="https://www.jivi.com.ar/ficha.php?id=2014"/>
    <hyperlink ref="AB394" r:id="rId589" display="https://www.jivi.com.ar/ficha.php?id=2017"/>
    <hyperlink ref="AB415" r:id="rId590" display="https://www.jivi.com.ar/ficha.php?id=2018"/>
    <hyperlink ref="AB254" r:id="rId591" display="https://www.jivi.com.ar/ficha.php?id=1339"/>
    <hyperlink ref="AB275" r:id="rId592" display="https://www.jivi.com.ar/ficha.php?id=2026"/>
    <hyperlink ref="AB222" r:id="rId593" display="https://www.jivi.com.ar/ficha.php?id=335"/>
    <hyperlink ref="AB307" r:id="rId594" display="https://www.jivi.com.ar/ficha.php?id=444"/>
  </hyperlinks>
  <pageMargins left="0.27559055118110237" right="0.11811023622047245" top="0.19685039370078741" bottom="0.15748031496062992" header="0.11811023622047245" footer="0.15748031496062992"/>
  <pageSetup paperSize="5" orientation="portrait" copies="5" r:id="rId595"/>
  <headerFooter alignWithMargins="0"/>
  <cellWatches>
    <cellWatch r="X8"/>
  </cellWatches>
  <ignoredErrors>
    <ignoredError sqref="AB635:AB636 AB610 AB620 AB637 AB646:AB650" numberStoredAsText="1"/>
    <ignoredError sqref="X603 B25:E25 C24:E24 A163 C163:E163 A189:E189 A103:E104 H395:Q395 C26:E26 H54:I54 G55:I56 H617:L619 G262 G264 B146:E146 C223:E223 G315:W315 U29 S37:S38 S34 U34 U37:U38 S40 U40 G53:I53 H445 H446:M446 H447:M447 H448:M448 H449:M449 H450:M450 J445:M445 S46 U46 F477:T477 W473 G335:G337 G273:M273 F206 G189 V91:W92 F81:I88 F90:I90 F89:I89 Q105 I57:I59 U105 S105 J80:J90 B257:E257 W513:W514 H274:M274 G94:G98 H334:J338 G80:I80 G100:G104 H354:J354 G269:M269 G270:M270 G271:M271 G272:M272 H93:W93 J10:L10 W97 X205:X207 G339:G340 J12:L12 X11 F475 W57 G483:G494 G497 G620:W620 H612:V613 G504:G512 G146 H130:I130 O107:O108 S107:S108 Q107:Q108 U107:U108 W419:X419 G256:G257 V26:V27 S29 H29:M29 H27:I27 W59 G68 I125:V125 U20:V22 G348:J349 G378:G381 G344:J345 I129 G359:J362 H357:J357 G289:G291 N269:V273 M10:V12 O29 Q29 H28:V28 W68 J64:V68 J63:W63 H61:I68 N109:Q110 J148:V148 G161:G164 I176:M176 I175:M175 I174:M174 I177:M177 H174:H177 H179:K179 H180:K184 P216:W216 P215 G383:G388 I13:V14 H17:T26 H14:H16 K27:U27 H145:W147 G178:W178 H214:W214 F435 W429 G454 W481:W482 H513:I514 K513:K514 U513:U514 S513:S514 Q513:Q514 O513:O514 M513:M514 G637:H637 H144:I144 H140:I140 K140:U140 H141:U143 L144:W144 V140:W143 G249:G252 G297:H297 G282:G287 G185 I264:V264 I126:K127 O126 Q126 S126 U126 J53:V62 W224 M126:M127 H347:K347 G299:G302 H378:K388 G615:V615 G276:G277 G293:G294 J128:V130 G635:H635 G233:G234 G325:K325 J376:K377 F521 G520:G522 H309:V314 K327:K329 G330:K331 K333:K338 K341:W343 K345:K346 P340 Q340 R340:W340 W335:W338 L325:V338 W346 K344:U344 G372:K375 G371:V371 K352:K362 H365:V369 G389:K389 G419:G423 F416:G417 H339:W339 H340:N340 W303:W304 H390:W390 N174:V177 W179 W184 M179:V184 H185:V189 G208:W213 G196:W201 H202:M202 G202 P207:W207 G207:O207 G205:W206 N202:W202 G203:S204 G216:O216 G215:N215 G268:V268 G279:G280 W281 H308:W308 H166:W173 G154:V154 G581:G584 H610:W610 H440:H442 H443:V444 I441:V442 I440:N440 O440:V440 G440:G444 G223:V223 H651:T661 G451:G452 L372:V389 L357:V362 G363:V363 J364:V364 H96:V104 N94:W94 H95:W95 H94:M94 J124:V124 G224 W244 G243:V244 H265:V267 H255:W263 F550:G550 G547 B556:G556 B557:G557 H644:V648 K649:T649 L345:V349 K348:K350 L350:Q350 L352:V355 H242:V242 H160:W164 G165:V165 J439:V439 G424:V428 G434:G435 G370:M370 W456 G461:G467 G469:G470 H461:V470 G471:W472 G473:V476 H581:V593 H504:V506 H547:W557 H526:V546 F565:V575 G456:V459 H460:I460 L460:V460 H224:V234 F241:V241 N351:V351 H508:V512 H507:O507 R507:V507 H520:V524 L356:W356 G391:V393 B394:V394 H404:V414 H415:W415 H416:V423 F436:G439 G429:G431 H429:V438 H245:W253 H254:V254 K323:V324 F403 G564:V564 I525:V525 G616 I616:V616 H614:W614 I635:V637 I275:V275 H481:V502 G499:G502 H503:W503 G217:V221 H222:V222 H277:V296 I276:V276 H275:H276 H298:V306 I297:V297 H519:I519 L519:V519 F240:V240 G403:V403 G400:V402" formula="1"/>
    <ignoredError sqref="G355 G524" evalError="1"/>
    <ignoredError sqref="H355:J355" evalError="1" formula="1"/>
  </ignoredErrors>
  <drawing r:id="rId596"/>
  <legacyDrawing r:id="rId5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2024-12-02T13:43:17Z</cp:lastPrinted>
  <dcterms:created xsi:type="dcterms:W3CDTF">2003-01-03T20:20:32Z</dcterms:created>
  <dcterms:modified xsi:type="dcterms:W3CDTF">2024-12-02T14:26:01Z</dcterms:modified>
</cp:coreProperties>
</file>