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13" i="1" l="1"/>
  <c r="K413" i="1" s="1"/>
  <c r="L413" i="1"/>
  <c r="P413" i="1"/>
  <c r="R413" i="1"/>
  <c r="T413" i="1"/>
  <c r="V413" i="1"/>
  <c r="V143" i="1"/>
  <c r="W143" i="1" s="1"/>
  <c r="T143" i="1"/>
  <c r="U143" i="1" s="1"/>
  <c r="R143" i="1"/>
  <c r="S143" i="1" s="1"/>
  <c r="Q143" i="1"/>
  <c r="P143" i="1"/>
  <c r="N143" i="1"/>
  <c r="O143" i="1" s="1"/>
  <c r="L143" i="1"/>
  <c r="M143" i="1" s="1"/>
  <c r="K143" i="1"/>
  <c r="J143" i="1"/>
  <c r="J139" i="1"/>
  <c r="V139" i="1"/>
  <c r="T139" i="1"/>
  <c r="R139" i="1"/>
  <c r="P139" i="1"/>
  <c r="N139" i="1"/>
  <c r="L139" i="1"/>
  <c r="N204" i="1"/>
  <c r="O204" i="1" s="1"/>
  <c r="L204" i="1"/>
  <c r="M204" i="1" s="1"/>
  <c r="J204" i="1"/>
  <c r="K204" i="1" s="1"/>
  <c r="V460" i="1"/>
  <c r="N460" i="1"/>
  <c r="H460" i="1"/>
  <c r="F632" i="1"/>
  <c r="F618" i="1"/>
  <c r="F616" i="1"/>
  <c r="F601" i="1"/>
  <c r="F597" i="1"/>
  <c r="F550" i="1"/>
  <c r="F544" i="1"/>
  <c r="F539" i="1"/>
  <c r="F532" i="1" l="1"/>
  <c r="F531" i="1"/>
  <c r="F530" i="1"/>
  <c r="F522" i="1"/>
  <c r="J522" i="1" s="1"/>
  <c r="K522" i="1" s="1"/>
  <c r="F521" i="1"/>
  <c r="N521" i="1" s="1"/>
  <c r="O521" i="1" s="1"/>
  <c r="H523" i="1"/>
  <c r="I523" i="1"/>
  <c r="H520" i="1"/>
  <c r="I520" i="1" s="1"/>
  <c r="J520" i="1"/>
  <c r="K520" i="1" s="1"/>
  <c r="L520" i="1"/>
  <c r="M520" i="1" s="1"/>
  <c r="N520" i="1"/>
  <c r="O520" i="1"/>
  <c r="P520" i="1"/>
  <c r="Q520" i="1" s="1"/>
  <c r="R520" i="1"/>
  <c r="S520" i="1"/>
  <c r="T520" i="1"/>
  <c r="U520" i="1"/>
  <c r="V520" i="1"/>
  <c r="W520" i="1" s="1"/>
  <c r="N522" i="1"/>
  <c r="O522" i="1" s="1"/>
  <c r="J523" i="1"/>
  <c r="K523" i="1"/>
  <c r="L523" i="1"/>
  <c r="M523" i="1"/>
  <c r="N523" i="1"/>
  <c r="O523" i="1"/>
  <c r="P523" i="1"/>
  <c r="Q523" i="1" s="1"/>
  <c r="R523" i="1"/>
  <c r="S523" i="1"/>
  <c r="T523" i="1"/>
  <c r="U523" i="1" s="1"/>
  <c r="V523" i="1"/>
  <c r="W523" i="1"/>
  <c r="J525" i="1"/>
  <c r="K525" i="1" s="1"/>
  <c r="L525" i="1"/>
  <c r="M525" i="1"/>
  <c r="N525" i="1"/>
  <c r="O525" i="1" s="1"/>
  <c r="P525" i="1"/>
  <c r="Q525" i="1" s="1"/>
  <c r="R525" i="1"/>
  <c r="S525" i="1" s="1"/>
  <c r="T525" i="1"/>
  <c r="U525" i="1"/>
  <c r="V525" i="1"/>
  <c r="W525" i="1" s="1"/>
  <c r="L529" i="1"/>
  <c r="M529" i="1" s="1"/>
  <c r="N529" i="1"/>
  <c r="O529" i="1" s="1"/>
  <c r="P529" i="1"/>
  <c r="Q529" i="1" s="1"/>
  <c r="R529" i="1"/>
  <c r="S529" i="1" s="1"/>
  <c r="T529" i="1"/>
  <c r="U529" i="1" s="1"/>
  <c r="V529" i="1"/>
  <c r="W529" i="1" s="1"/>
  <c r="L536" i="1"/>
  <c r="M536" i="1"/>
  <c r="N536" i="1"/>
  <c r="O536" i="1" s="1"/>
  <c r="P536" i="1"/>
  <c r="Q536" i="1"/>
  <c r="R536" i="1"/>
  <c r="S536" i="1" s="1"/>
  <c r="T536" i="1"/>
  <c r="U536" i="1"/>
  <c r="V536" i="1"/>
  <c r="W536" i="1" s="1"/>
  <c r="J537" i="1"/>
  <c r="K537" i="1" s="1"/>
  <c r="L537" i="1"/>
  <c r="M537" i="1" s="1"/>
  <c r="N537" i="1"/>
  <c r="O537" i="1"/>
  <c r="P537" i="1"/>
  <c r="Q537" i="1" s="1"/>
  <c r="R537" i="1"/>
  <c r="S537" i="1"/>
  <c r="T537" i="1"/>
  <c r="U537" i="1" s="1"/>
  <c r="V537" i="1"/>
  <c r="W537" i="1"/>
  <c r="R541" i="1"/>
  <c r="S541" i="1" s="1"/>
  <c r="F511" i="1"/>
  <c r="F510" i="1"/>
  <c r="F505" i="1"/>
  <c r="F504" i="1"/>
  <c r="F503" i="1"/>
  <c r="F502" i="1"/>
  <c r="F501" i="1"/>
  <c r="F500" i="1"/>
  <c r="F492" i="1"/>
  <c r="F491" i="1"/>
  <c r="F483" i="1"/>
  <c r="V507" i="1"/>
  <c r="W507" i="1" s="1"/>
  <c r="T507" i="1"/>
  <c r="U507" i="1" s="1"/>
  <c r="R507" i="1"/>
  <c r="S507" i="1" s="1"/>
  <c r="P507" i="1"/>
  <c r="Q507" i="1" s="1"/>
  <c r="O507" i="1"/>
  <c r="N507" i="1"/>
  <c r="L507" i="1"/>
  <c r="M507" i="1" s="1"/>
  <c r="J507" i="1"/>
  <c r="K507" i="1" s="1"/>
  <c r="H507" i="1"/>
  <c r="I507" i="1" s="1"/>
  <c r="F482" i="1"/>
  <c r="V482" i="1" s="1"/>
  <c r="F481" i="1"/>
  <c r="N481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J441" i="1"/>
  <c r="K441" i="1" s="1"/>
  <c r="H441" i="1"/>
  <c r="I441" i="1" s="1"/>
  <c r="V439" i="1"/>
  <c r="W439" i="1" s="1"/>
  <c r="T439" i="1"/>
  <c r="U439" i="1" s="1"/>
  <c r="R439" i="1"/>
  <c r="S439" i="1" s="1"/>
  <c r="P439" i="1"/>
  <c r="Q439" i="1" s="1"/>
  <c r="N439" i="1"/>
  <c r="O439" i="1" s="1"/>
  <c r="L439" i="1"/>
  <c r="M439" i="1" s="1"/>
  <c r="J439" i="1"/>
  <c r="K439" i="1" s="1"/>
  <c r="H439" i="1"/>
  <c r="I439" i="1" s="1"/>
  <c r="N330" i="1"/>
  <c r="O330" i="1" s="1"/>
  <c r="M330" i="1"/>
  <c r="L330" i="1"/>
  <c r="K330" i="1"/>
  <c r="J330" i="1"/>
  <c r="H330" i="1"/>
  <c r="I330" i="1" s="1"/>
  <c r="F540" i="1"/>
  <c r="V540" i="1" s="1"/>
  <c r="W540" i="1" s="1"/>
  <c r="F541" i="1"/>
  <c r="J541" i="1" s="1"/>
  <c r="K541" i="1" s="1"/>
  <c r="F220" i="1"/>
  <c r="J220" i="1" s="1"/>
  <c r="V176" i="1"/>
  <c r="T176" i="1"/>
  <c r="R176" i="1"/>
  <c r="P176" i="1"/>
  <c r="N176" i="1"/>
  <c r="L176" i="1"/>
  <c r="L180" i="1"/>
  <c r="M180" i="1" s="1"/>
  <c r="L179" i="1"/>
  <c r="M179" i="1" s="1"/>
  <c r="L178" i="1"/>
  <c r="M178" i="1" s="1"/>
  <c r="L177" i="1"/>
  <c r="L181" i="1"/>
  <c r="M181" i="1" s="1"/>
  <c r="N177" i="1"/>
  <c r="V182" i="1"/>
  <c r="T182" i="1"/>
  <c r="R182" i="1"/>
  <c r="P182" i="1"/>
  <c r="N182" i="1"/>
  <c r="L182" i="1"/>
  <c r="N178" i="1"/>
  <c r="O178" i="1" s="1"/>
  <c r="P178" i="1"/>
  <c r="Q178" i="1" s="1"/>
  <c r="R178" i="1"/>
  <c r="S178" i="1" s="1"/>
  <c r="T178" i="1"/>
  <c r="U178" i="1" s="1"/>
  <c r="V178" i="1"/>
  <c r="N179" i="1"/>
  <c r="O179" i="1" s="1"/>
  <c r="P179" i="1"/>
  <c r="Q179" i="1" s="1"/>
  <c r="R179" i="1"/>
  <c r="S179" i="1" s="1"/>
  <c r="T179" i="1"/>
  <c r="U179" i="1" s="1"/>
  <c r="V179" i="1"/>
  <c r="N180" i="1"/>
  <c r="O180" i="1" s="1"/>
  <c r="P180" i="1"/>
  <c r="Q180" i="1" s="1"/>
  <c r="R180" i="1"/>
  <c r="S180" i="1" s="1"/>
  <c r="T180" i="1"/>
  <c r="U180" i="1" s="1"/>
  <c r="V180" i="1"/>
  <c r="N181" i="1"/>
  <c r="O181" i="1" s="1"/>
  <c r="P181" i="1"/>
  <c r="Q181" i="1" s="1"/>
  <c r="R181" i="1"/>
  <c r="S181" i="1" s="1"/>
  <c r="T181" i="1"/>
  <c r="U181" i="1" s="1"/>
  <c r="V181" i="1"/>
  <c r="V177" i="1"/>
  <c r="R177" i="1"/>
  <c r="T177" i="1"/>
  <c r="P177" i="1"/>
  <c r="P481" i="1" l="1"/>
  <c r="V541" i="1"/>
  <c r="W541" i="1" s="1"/>
  <c r="L541" i="1"/>
  <c r="M541" i="1" s="1"/>
  <c r="J482" i="1"/>
  <c r="N482" i="1"/>
  <c r="T521" i="1"/>
  <c r="U521" i="1" s="1"/>
  <c r="P482" i="1"/>
  <c r="T541" i="1"/>
  <c r="U541" i="1" s="1"/>
  <c r="R521" i="1"/>
  <c r="S521" i="1" s="1"/>
  <c r="R481" i="1"/>
  <c r="V481" i="1"/>
  <c r="L482" i="1"/>
  <c r="R482" i="1"/>
  <c r="L521" i="1"/>
  <c r="M521" i="1" s="1"/>
  <c r="T482" i="1"/>
  <c r="P541" i="1"/>
  <c r="Q541" i="1" s="1"/>
  <c r="V522" i="1"/>
  <c r="W522" i="1" s="1"/>
  <c r="J521" i="1"/>
  <c r="K521" i="1" s="1"/>
  <c r="T481" i="1"/>
  <c r="T522" i="1"/>
  <c r="U522" i="1" s="1"/>
  <c r="L522" i="1"/>
  <c r="M522" i="1" s="1"/>
  <c r="R522" i="1"/>
  <c r="S522" i="1" s="1"/>
  <c r="H522" i="1"/>
  <c r="I522" i="1" s="1"/>
  <c r="P522" i="1"/>
  <c r="Q522" i="1" s="1"/>
  <c r="H521" i="1"/>
  <c r="I521" i="1" s="1"/>
  <c r="H482" i="1"/>
  <c r="V521" i="1"/>
  <c r="W521" i="1" s="1"/>
  <c r="T540" i="1"/>
  <c r="U540" i="1" s="1"/>
  <c r="R540" i="1"/>
  <c r="S540" i="1" s="1"/>
  <c r="P540" i="1"/>
  <c r="Q540" i="1" s="1"/>
  <c r="P521" i="1"/>
  <c r="Q521" i="1" s="1"/>
  <c r="N541" i="1"/>
  <c r="O541" i="1" s="1"/>
  <c r="N540" i="1"/>
  <c r="O540" i="1" s="1"/>
  <c r="H541" i="1"/>
  <c r="I541" i="1" s="1"/>
  <c r="H540" i="1"/>
  <c r="I540" i="1" s="1"/>
  <c r="L540" i="1"/>
  <c r="M540" i="1" s="1"/>
  <c r="J540" i="1"/>
  <c r="K540" i="1" s="1"/>
  <c r="H220" i="1"/>
  <c r="J481" i="1"/>
  <c r="L481" i="1"/>
  <c r="H481" i="1"/>
  <c r="G540" i="1"/>
  <c r="N154" i="1"/>
  <c r="O154" i="1" s="1"/>
  <c r="L154" i="1"/>
  <c r="M154" i="1" s="1"/>
  <c r="J154" i="1"/>
  <c r="K154" i="1" s="1"/>
  <c r="T124" i="1"/>
  <c r="R124" i="1"/>
  <c r="P124" i="1"/>
  <c r="N124" i="1"/>
  <c r="L124" i="1"/>
  <c r="T13" i="1"/>
  <c r="R13" i="1"/>
  <c r="P13" i="1"/>
  <c r="N13" i="1"/>
  <c r="L13" i="1"/>
  <c r="J13" i="1"/>
  <c r="T26" i="1"/>
  <c r="R26" i="1"/>
  <c r="P26" i="1"/>
  <c r="N26" i="1"/>
  <c r="L26" i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F230" i="1" l="1"/>
  <c r="V230" i="1" s="1"/>
  <c r="W230" i="1" s="1"/>
  <c r="F226" i="1"/>
  <c r="V226" i="1" s="1"/>
  <c r="W226" i="1" s="1"/>
  <c r="T230" i="1" l="1"/>
  <c r="U230" i="1" s="1"/>
  <c r="R230" i="1"/>
  <c r="S230" i="1" s="1"/>
  <c r="J230" i="1"/>
  <c r="K230" i="1" s="1"/>
  <c r="L230" i="1"/>
  <c r="M230" i="1" s="1"/>
  <c r="N230" i="1"/>
  <c r="O230" i="1" s="1"/>
  <c r="P230" i="1"/>
  <c r="Q230" i="1" s="1"/>
  <c r="G230" i="1"/>
  <c r="H230" i="1"/>
  <c r="I230" i="1" s="1"/>
  <c r="P226" i="1"/>
  <c r="Q226" i="1" s="1"/>
  <c r="R226" i="1"/>
  <c r="S226" i="1" s="1"/>
  <c r="N226" i="1"/>
  <c r="O226" i="1" s="1"/>
  <c r="G226" i="1"/>
  <c r="H226" i="1"/>
  <c r="I226" i="1" s="1"/>
  <c r="T226" i="1"/>
  <c r="U226" i="1" s="1"/>
  <c r="L226" i="1"/>
  <c r="M226" i="1" s="1"/>
  <c r="J226" i="1"/>
  <c r="K226" i="1" s="1"/>
  <c r="F381" i="1"/>
  <c r="G381" i="1" s="1"/>
  <c r="J381" i="1" l="1"/>
  <c r="K381" i="1" s="1"/>
  <c r="R381" i="1"/>
  <c r="S381" i="1" s="1"/>
  <c r="L381" i="1"/>
  <c r="M381" i="1" s="1"/>
  <c r="T381" i="1"/>
  <c r="U381" i="1" s="1"/>
  <c r="N381" i="1"/>
  <c r="O381" i="1" s="1"/>
  <c r="V381" i="1"/>
  <c r="W381" i="1" s="1"/>
  <c r="H381" i="1"/>
  <c r="I381" i="1" s="1"/>
  <c r="P381" i="1"/>
  <c r="Q381" i="1" s="1"/>
  <c r="L213" i="1"/>
  <c r="N212" i="1"/>
  <c r="O212" i="1" s="1"/>
  <c r="L212" i="1"/>
  <c r="M212" i="1" s="1"/>
  <c r="J212" i="1"/>
  <c r="K212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V205" i="1"/>
  <c r="W205" i="1" s="1"/>
  <c r="T205" i="1"/>
  <c r="U205" i="1" s="1"/>
  <c r="R205" i="1"/>
  <c r="S205" i="1" s="1"/>
  <c r="P205" i="1"/>
  <c r="Q205" i="1" s="1"/>
  <c r="N205" i="1"/>
  <c r="O205" i="1" s="1"/>
  <c r="L205" i="1"/>
  <c r="M205" i="1" s="1"/>
  <c r="J205" i="1"/>
  <c r="K205" i="1" s="1"/>
  <c r="V201" i="1"/>
  <c r="W201" i="1" s="1"/>
  <c r="T201" i="1"/>
  <c r="U201" i="1" s="1"/>
  <c r="V200" i="1"/>
  <c r="W200" i="1" s="1"/>
  <c r="T200" i="1"/>
  <c r="U200" i="1" s="1"/>
  <c r="V199" i="1"/>
  <c r="W199" i="1" s="1"/>
  <c r="T199" i="1"/>
  <c r="U199" i="1" s="1"/>
  <c r="R199" i="1"/>
  <c r="S199" i="1" s="1"/>
  <c r="P199" i="1"/>
  <c r="Q199" i="1" s="1"/>
  <c r="N199" i="1"/>
  <c r="O199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J196" i="1"/>
  <c r="K196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H222" i="1"/>
  <c r="I222" i="1" s="1"/>
  <c r="V223" i="1"/>
  <c r="T223" i="1"/>
  <c r="R223" i="1"/>
  <c r="P223" i="1"/>
  <c r="N223" i="1"/>
  <c r="L223" i="1"/>
  <c r="J223" i="1"/>
  <c r="H223" i="1"/>
  <c r="W182" i="1" l="1"/>
  <c r="U182" i="1"/>
  <c r="S182" i="1"/>
  <c r="Q182" i="1"/>
  <c r="O182" i="1"/>
  <c r="M182" i="1"/>
  <c r="W181" i="1"/>
  <c r="W180" i="1"/>
  <c r="W179" i="1"/>
  <c r="W178" i="1"/>
  <c r="T147" i="1" l="1"/>
  <c r="V147" i="1"/>
  <c r="R147" i="1"/>
  <c r="V110" i="1"/>
  <c r="W110" i="1" s="1"/>
  <c r="T110" i="1"/>
  <c r="U110" i="1" s="1"/>
  <c r="R110" i="1"/>
  <c r="S110" i="1" s="1"/>
  <c r="P110" i="1"/>
  <c r="Q110" i="1" s="1"/>
  <c r="N110" i="1"/>
  <c r="O110" i="1" s="1"/>
  <c r="V109" i="1"/>
  <c r="T109" i="1"/>
  <c r="R109" i="1"/>
  <c r="P109" i="1"/>
  <c r="N109" i="1"/>
  <c r="L94" i="1"/>
  <c r="J94" i="1"/>
  <c r="J97" i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V68" i="1"/>
  <c r="T68" i="1"/>
  <c r="R68" i="1"/>
  <c r="P68" i="1"/>
  <c r="N68" i="1"/>
  <c r="L68" i="1"/>
  <c r="J68" i="1"/>
  <c r="H68" i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P53" i="1"/>
  <c r="N53" i="1"/>
  <c r="L53" i="1"/>
  <c r="J53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58" i="1"/>
  <c r="T258" i="1"/>
  <c r="R258" i="1"/>
  <c r="P258" i="1"/>
  <c r="N258" i="1"/>
  <c r="L258" i="1"/>
  <c r="J258" i="1"/>
  <c r="V263" i="1" l="1"/>
  <c r="W263" i="1" s="1"/>
  <c r="T263" i="1"/>
  <c r="U263" i="1" s="1"/>
  <c r="R263" i="1"/>
  <c r="S263" i="1" s="1"/>
  <c r="P263" i="1"/>
  <c r="Q263" i="1" s="1"/>
  <c r="N263" i="1"/>
  <c r="O263" i="1" s="1"/>
  <c r="V262" i="1"/>
  <c r="W262" i="1" s="1"/>
  <c r="T262" i="1"/>
  <c r="U262" i="1" s="1"/>
  <c r="R262" i="1"/>
  <c r="S262" i="1" s="1"/>
  <c r="P262" i="1"/>
  <c r="Q262" i="1" s="1"/>
  <c r="N262" i="1"/>
  <c r="O262" i="1" s="1"/>
  <c r="V261" i="1"/>
  <c r="W261" i="1" s="1"/>
  <c r="T261" i="1"/>
  <c r="U261" i="1" s="1"/>
  <c r="R261" i="1"/>
  <c r="S261" i="1" s="1"/>
  <c r="P261" i="1"/>
  <c r="Q261" i="1" s="1"/>
  <c r="N261" i="1"/>
  <c r="O261" i="1" s="1"/>
  <c r="V260" i="1"/>
  <c r="W260" i="1" s="1"/>
  <c r="T260" i="1"/>
  <c r="U260" i="1" s="1"/>
  <c r="R260" i="1"/>
  <c r="S260" i="1" s="1"/>
  <c r="P260" i="1"/>
  <c r="Q260" i="1" s="1"/>
  <c r="N260" i="1"/>
  <c r="O260" i="1" s="1"/>
  <c r="R259" i="1"/>
  <c r="T259" i="1"/>
  <c r="V259" i="1"/>
  <c r="P259" i="1"/>
  <c r="N259" i="1"/>
  <c r="V448" i="1"/>
  <c r="W448" i="1" s="1"/>
  <c r="V447" i="1"/>
  <c r="W447" i="1" s="1"/>
  <c r="V446" i="1"/>
  <c r="W446" i="1" s="1"/>
  <c r="V445" i="1"/>
  <c r="W445" i="1" s="1"/>
  <c r="V444" i="1"/>
  <c r="W444" i="1" s="1"/>
  <c r="V443" i="1"/>
  <c r="W443" i="1" s="1"/>
  <c r="J458" i="1"/>
  <c r="J459" i="1"/>
  <c r="J456" i="1"/>
  <c r="J455" i="1"/>
  <c r="H456" i="1"/>
  <c r="H455" i="1"/>
  <c r="H458" i="1"/>
  <c r="H459" i="1"/>
  <c r="V459" i="1"/>
  <c r="W459" i="1" s="1"/>
  <c r="V458" i="1"/>
  <c r="W458" i="1" s="1"/>
  <c r="V455" i="1"/>
  <c r="V456" i="1"/>
  <c r="T455" i="1"/>
  <c r="U455" i="1" s="1"/>
  <c r="R455" i="1"/>
  <c r="S455" i="1" s="1"/>
  <c r="P455" i="1"/>
  <c r="Q455" i="1" s="1"/>
  <c r="N455" i="1"/>
  <c r="O455" i="1" s="1"/>
  <c r="L455" i="1"/>
  <c r="M455" i="1" s="1"/>
  <c r="T456" i="1"/>
  <c r="U456" i="1" s="1"/>
  <c r="R456" i="1"/>
  <c r="S456" i="1" s="1"/>
  <c r="P456" i="1"/>
  <c r="Q456" i="1" s="1"/>
  <c r="N456" i="1"/>
  <c r="O456" i="1" s="1"/>
  <c r="L456" i="1"/>
  <c r="M456" i="1" s="1"/>
  <c r="T459" i="1"/>
  <c r="U459" i="1" s="1"/>
  <c r="R459" i="1"/>
  <c r="S459" i="1" s="1"/>
  <c r="P459" i="1"/>
  <c r="Q459" i="1" s="1"/>
  <c r="N459" i="1"/>
  <c r="O459" i="1" s="1"/>
  <c r="L459" i="1"/>
  <c r="M459" i="1" s="1"/>
  <c r="T458" i="1"/>
  <c r="U458" i="1" s="1"/>
  <c r="R458" i="1"/>
  <c r="S458" i="1" s="1"/>
  <c r="P458" i="1"/>
  <c r="Q458" i="1" s="1"/>
  <c r="N458" i="1"/>
  <c r="O458" i="1" s="1"/>
  <c r="L458" i="1"/>
  <c r="M458" i="1" s="1"/>
  <c r="R444" i="1"/>
  <c r="S444" i="1" s="1"/>
  <c r="R445" i="1"/>
  <c r="S445" i="1" s="1"/>
  <c r="R446" i="1"/>
  <c r="S446" i="1" s="1"/>
  <c r="R447" i="1"/>
  <c r="S447" i="1" s="1"/>
  <c r="R448" i="1"/>
  <c r="S448" i="1" s="1"/>
  <c r="R443" i="1"/>
  <c r="P448" i="1"/>
  <c r="P447" i="1"/>
  <c r="P446" i="1"/>
  <c r="P445" i="1"/>
  <c r="P444" i="1"/>
  <c r="P443" i="1"/>
  <c r="N444" i="1"/>
  <c r="O444" i="1" s="1"/>
  <c r="N445" i="1"/>
  <c r="O445" i="1" s="1"/>
  <c r="N446" i="1"/>
  <c r="O446" i="1" s="1"/>
  <c r="N447" i="1"/>
  <c r="O447" i="1" s="1"/>
  <c r="N443" i="1"/>
  <c r="O443" i="1" s="1"/>
  <c r="N448" i="1"/>
  <c r="L448" i="1"/>
  <c r="L447" i="1"/>
  <c r="L446" i="1"/>
  <c r="L445" i="1"/>
  <c r="L444" i="1"/>
  <c r="L443" i="1"/>
  <c r="T448" i="1"/>
  <c r="T447" i="1"/>
  <c r="T446" i="1"/>
  <c r="T445" i="1"/>
  <c r="T444" i="1"/>
  <c r="T443" i="1"/>
  <c r="L374" i="1"/>
  <c r="M374" i="1" s="1"/>
  <c r="N374" i="1"/>
  <c r="O374" i="1" s="1"/>
  <c r="P374" i="1"/>
  <c r="Q374" i="1" s="1"/>
  <c r="R374" i="1"/>
  <c r="S374" i="1" s="1"/>
  <c r="T374" i="1"/>
  <c r="U374" i="1" s="1"/>
  <c r="V374" i="1"/>
  <c r="W374" i="1" s="1"/>
  <c r="L345" i="1"/>
  <c r="M345" i="1" s="1"/>
  <c r="N345" i="1"/>
  <c r="O345" i="1" s="1"/>
  <c r="P345" i="1"/>
  <c r="Q345" i="1" s="1"/>
  <c r="R345" i="1"/>
  <c r="S345" i="1" s="1"/>
  <c r="T345" i="1"/>
  <c r="U345" i="1" s="1"/>
  <c r="V345" i="1"/>
  <c r="W345" i="1" s="1"/>
  <c r="L352" i="1"/>
  <c r="M352" i="1" s="1"/>
  <c r="N352" i="1"/>
  <c r="O352" i="1" s="1"/>
  <c r="P352" i="1"/>
  <c r="Q352" i="1" s="1"/>
  <c r="R352" i="1"/>
  <c r="S352" i="1" s="1"/>
  <c r="T352" i="1"/>
  <c r="U352" i="1" s="1"/>
  <c r="V352" i="1"/>
  <c r="W352" i="1" s="1"/>
  <c r="V269" i="1"/>
  <c r="W269" i="1" s="1"/>
  <c r="T269" i="1"/>
  <c r="U269" i="1" s="1"/>
  <c r="R269" i="1"/>
  <c r="S269" i="1" s="1"/>
  <c r="P269" i="1"/>
  <c r="Q269" i="1" s="1"/>
  <c r="N269" i="1"/>
  <c r="O269" i="1" s="1"/>
  <c r="L269" i="1"/>
  <c r="M269" i="1" s="1"/>
  <c r="V268" i="1"/>
  <c r="W268" i="1" s="1"/>
  <c r="T268" i="1"/>
  <c r="U268" i="1" s="1"/>
  <c r="R268" i="1"/>
  <c r="S268" i="1" s="1"/>
  <c r="P268" i="1"/>
  <c r="Q268" i="1" s="1"/>
  <c r="N268" i="1"/>
  <c r="O268" i="1" s="1"/>
  <c r="L268" i="1"/>
  <c r="M268" i="1" s="1"/>
  <c r="V273" i="1"/>
  <c r="W273" i="1" s="1"/>
  <c r="T273" i="1"/>
  <c r="U273" i="1" s="1"/>
  <c r="R273" i="1"/>
  <c r="S273" i="1" s="1"/>
  <c r="P273" i="1"/>
  <c r="Q273" i="1" s="1"/>
  <c r="N273" i="1"/>
  <c r="O273" i="1" s="1"/>
  <c r="L273" i="1"/>
  <c r="M273" i="1" s="1"/>
  <c r="J273" i="1"/>
  <c r="K273" i="1" s="1"/>
  <c r="H273" i="1"/>
  <c r="I273" i="1" s="1"/>
  <c r="V285" i="1"/>
  <c r="W285" i="1" s="1"/>
  <c r="T285" i="1"/>
  <c r="U285" i="1" s="1"/>
  <c r="R285" i="1"/>
  <c r="S285" i="1" s="1"/>
  <c r="P285" i="1"/>
  <c r="Q285" i="1" s="1"/>
  <c r="N285" i="1"/>
  <c r="O285" i="1" s="1"/>
  <c r="L285" i="1"/>
  <c r="M285" i="1" s="1"/>
  <c r="J285" i="1"/>
  <c r="K285" i="1" s="1"/>
  <c r="H285" i="1"/>
  <c r="I285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H282" i="1"/>
  <c r="I282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H281" i="1"/>
  <c r="I281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H280" i="1"/>
  <c r="I280" i="1" s="1"/>
  <c r="V279" i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H279" i="1"/>
  <c r="I279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7" i="1"/>
  <c r="W277" i="1" s="1"/>
  <c r="T277" i="1"/>
  <c r="U277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76" i="1"/>
  <c r="W276" i="1" s="1"/>
  <c r="T276" i="1"/>
  <c r="U276" i="1" s="1"/>
  <c r="R276" i="1"/>
  <c r="S276" i="1" s="1"/>
  <c r="P276" i="1"/>
  <c r="Q276" i="1" s="1"/>
  <c r="N276" i="1"/>
  <c r="O276" i="1" s="1"/>
  <c r="L276" i="1"/>
  <c r="M276" i="1" s="1"/>
  <c r="J276" i="1"/>
  <c r="K276" i="1" s="1"/>
  <c r="H276" i="1"/>
  <c r="I276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H290" i="1"/>
  <c r="I290" i="1" s="1"/>
  <c r="V293" i="1"/>
  <c r="V292" i="1"/>
  <c r="T293" i="1"/>
  <c r="T292" i="1"/>
  <c r="R293" i="1"/>
  <c r="R292" i="1"/>
  <c r="P293" i="1"/>
  <c r="P292" i="1"/>
  <c r="N292" i="1"/>
  <c r="N293" i="1"/>
  <c r="L292" i="1"/>
  <c r="L293" i="1"/>
  <c r="J293" i="1"/>
  <c r="H292" i="1"/>
  <c r="H293" i="1"/>
  <c r="J292" i="1"/>
  <c r="J297" i="1"/>
  <c r="V297" i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F266" i="1" l="1"/>
  <c r="F265" i="1"/>
  <c r="R265" i="1" l="1"/>
  <c r="S265" i="1" s="1"/>
  <c r="P265" i="1"/>
  <c r="Q265" i="1" s="1"/>
  <c r="T265" i="1"/>
  <c r="U265" i="1" s="1"/>
  <c r="N265" i="1"/>
  <c r="L265" i="1"/>
  <c r="M265" i="1" s="1"/>
  <c r="J265" i="1"/>
  <c r="K265" i="1" s="1"/>
  <c r="H265" i="1"/>
  <c r="I265" i="1" s="1"/>
  <c r="V265" i="1"/>
  <c r="W265" i="1" s="1"/>
  <c r="G266" i="1"/>
  <c r="R266" i="1"/>
  <c r="S266" i="1" s="1"/>
  <c r="P266" i="1"/>
  <c r="Q266" i="1" s="1"/>
  <c r="N266" i="1"/>
  <c r="O266" i="1" s="1"/>
  <c r="L266" i="1"/>
  <c r="M266" i="1" s="1"/>
  <c r="V266" i="1"/>
  <c r="W266" i="1" s="1"/>
  <c r="T266" i="1"/>
  <c r="U266" i="1" s="1"/>
  <c r="J266" i="1"/>
  <c r="K266" i="1" s="1"/>
  <c r="H266" i="1"/>
  <c r="I266" i="1" s="1"/>
  <c r="O265" i="1"/>
  <c r="G265" i="1"/>
  <c r="F346" i="1" l="1"/>
  <c r="F28" i="1"/>
  <c r="V28" i="1" l="1"/>
  <c r="T28" i="1"/>
  <c r="R28" i="1"/>
  <c r="N28" i="1"/>
  <c r="P28" i="1"/>
  <c r="L28" i="1"/>
  <c r="N346" i="1"/>
  <c r="O346" i="1" s="1"/>
  <c r="P346" i="1"/>
  <c r="Q346" i="1" s="1"/>
  <c r="R346" i="1"/>
  <c r="S346" i="1" s="1"/>
  <c r="T346" i="1"/>
  <c r="U346" i="1" s="1"/>
  <c r="J346" i="1"/>
  <c r="K346" i="1" s="1"/>
  <c r="V346" i="1"/>
  <c r="W346" i="1" s="1"/>
  <c r="L346" i="1"/>
  <c r="M346" i="1" s="1"/>
  <c r="G346" i="1"/>
  <c r="W413" i="1"/>
  <c r="U413" i="1"/>
  <c r="S413" i="1"/>
  <c r="Q413" i="1"/>
  <c r="N413" i="1"/>
  <c r="O413" i="1" s="1"/>
  <c r="M413" i="1"/>
  <c r="N416" i="1"/>
  <c r="L416" i="1"/>
  <c r="J416" i="1"/>
  <c r="R416" i="1"/>
  <c r="T416" i="1"/>
  <c r="V416" i="1"/>
  <c r="P416" i="1"/>
  <c r="V414" i="1"/>
  <c r="W414" i="1" s="1"/>
  <c r="T414" i="1"/>
  <c r="U414" i="1" s="1"/>
  <c r="R414" i="1"/>
  <c r="S414" i="1" s="1"/>
  <c r="P414" i="1"/>
  <c r="Q414" i="1" s="1"/>
  <c r="N414" i="1"/>
  <c r="O414" i="1" s="1"/>
  <c r="L414" i="1"/>
  <c r="M414" i="1" s="1"/>
  <c r="J414" i="1"/>
  <c r="K414" i="1" s="1"/>
  <c r="G414" i="1"/>
  <c r="G415" i="1"/>
  <c r="G413" i="1"/>
  <c r="F402" i="1" l="1"/>
  <c r="R402" i="1" l="1"/>
  <c r="S402" i="1" s="1"/>
  <c r="P402" i="1"/>
  <c r="Q402" i="1" s="1"/>
  <c r="L402" i="1"/>
  <c r="M402" i="1" s="1"/>
  <c r="J402" i="1"/>
  <c r="K402" i="1" s="1"/>
  <c r="V402" i="1"/>
  <c r="W402" i="1" s="1"/>
  <c r="H402" i="1"/>
  <c r="T402" i="1"/>
  <c r="U402" i="1" s="1"/>
  <c r="N402" i="1"/>
  <c r="O402" i="1" s="1"/>
  <c r="G402" i="1"/>
  <c r="I402" i="1"/>
  <c r="F419" i="1"/>
  <c r="F418" i="1"/>
  <c r="P418" i="1" l="1"/>
  <c r="N418" i="1"/>
  <c r="O418" i="1" s="1"/>
  <c r="L418" i="1"/>
  <c r="J418" i="1"/>
  <c r="K418" i="1" s="1"/>
  <c r="H418" i="1"/>
  <c r="R418" i="1"/>
  <c r="P419" i="1"/>
  <c r="Q419" i="1" s="1"/>
  <c r="N419" i="1"/>
  <c r="O419" i="1" s="1"/>
  <c r="L419" i="1"/>
  <c r="M419" i="1" s="1"/>
  <c r="V419" i="1"/>
  <c r="W419" i="1" s="1"/>
  <c r="T419" i="1"/>
  <c r="U419" i="1" s="1"/>
  <c r="J419" i="1"/>
  <c r="K419" i="1" s="1"/>
  <c r="H419" i="1"/>
  <c r="I419" i="1" s="1"/>
  <c r="R419" i="1"/>
  <c r="S419" i="1" s="1"/>
  <c r="G418" i="1"/>
  <c r="M418" i="1"/>
  <c r="Q418" i="1"/>
  <c r="V418" i="1"/>
  <c r="W418" i="1" s="1"/>
  <c r="T418" i="1"/>
  <c r="U418" i="1" s="1"/>
  <c r="S418" i="1"/>
  <c r="I418" i="1"/>
  <c r="F339" i="1"/>
  <c r="F344" i="1"/>
  <c r="F340" i="1"/>
  <c r="F341" i="1"/>
  <c r="F294" i="1"/>
  <c r="L344" i="1" l="1"/>
  <c r="M344" i="1" s="1"/>
  <c r="N344" i="1"/>
  <c r="O344" i="1" s="1"/>
  <c r="P344" i="1"/>
  <c r="Q344" i="1" s="1"/>
  <c r="R344" i="1"/>
  <c r="S344" i="1" s="1"/>
  <c r="T344" i="1"/>
  <c r="U344" i="1" s="1"/>
  <c r="V344" i="1"/>
  <c r="W344" i="1" s="1"/>
  <c r="R341" i="1"/>
  <c r="S341" i="1" s="1"/>
  <c r="P341" i="1"/>
  <c r="Q341" i="1" s="1"/>
  <c r="N341" i="1"/>
  <c r="O341" i="1" s="1"/>
  <c r="L341" i="1"/>
  <c r="M341" i="1" s="1"/>
  <c r="V341" i="1"/>
  <c r="W341" i="1" s="1"/>
  <c r="T341" i="1"/>
  <c r="U341" i="1" s="1"/>
  <c r="P340" i="1"/>
  <c r="Q340" i="1" s="1"/>
  <c r="N340" i="1"/>
  <c r="O340" i="1" s="1"/>
  <c r="V340" i="1"/>
  <c r="W340" i="1" s="1"/>
  <c r="T340" i="1"/>
  <c r="U340" i="1" s="1"/>
  <c r="R340" i="1"/>
  <c r="S340" i="1" s="1"/>
  <c r="G339" i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L294" i="1"/>
  <c r="M294" i="1" s="1"/>
  <c r="J294" i="1"/>
  <c r="K294" i="1" s="1"/>
  <c r="P294" i="1"/>
  <c r="Q294" i="1" s="1"/>
  <c r="V294" i="1"/>
  <c r="W294" i="1" s="1"/>
  <c r="H294" i="1"/>
  <c r="I294" i="1" s="1"/>
  <c r="T294" i="1"/>
  <c r="U294" i="1" s="1"/>
  <c r="N294" i="1"/>
  <c r="O294" i="1" s="1"/>
  <c r="R294" i="1"/>
  <c r="S294" i="1" s="1"/>
  <c r="G344" i="1"/>
  <c r="G341" i="1"/>
  <c r="G294" i="1"/>
  <c r="W10" i="1" l="1"/>
  <c r="U10" i="1"/>
  <c r="S10" i="1"/>
  <c r="Q10" i="1"/>
  <c r="O10" i="1"/>
  <c r="F336" i="1" l="1"/>
  <c r="F243" i="1"/>
  <c r="F244" i="1"/>
  <c r="F246" i="1"/>
  <c r="F425" i="1"/>
  <c r="F422" i="1"/>
  <c r="F420" i="1"/>
  <c r="F442" i="1"/>
  <c r="F128" i="1"/>
  <c r="W434" i="1"/>
  <c r="U434" i="1"/>
  <c r="S434" i="1"/>
  <c r="Q434" i="1"/>
  <c r="O434" i="1"/>
  <c r="W435" i="1"/>
  <c r="U435" i="1"/>
  <c r="S435" i="1"/>
  <c r="Q435" i="1"/>
  <c r="O435" i="1"/>
  <c r="W433" i="1"/>
  <c r="U433" i="1"/>
  <c r="S433" i="1"/>
  <c r="Q433" i="1"/>
  <c r="O433" i="1"/>
  <c r="T420" i="1" l="1"/>
  <c r="U420" i="1" s="1"/>
  <c r="V420" i="1"/>
  <c r="W420" i="1" s="1"/>
  <c r="R420" i="1"/>
  <c r="S420" i="1" s="1"/>
  <c r="P420" i="1"/>
  <c r="Q420" i="1" s="1"/>
  <c r="H420" i="1"/>
  <c r="I420" i="1" s="1"/>
  <c r="N420" i="1"/>
  <c r="O420" i="1" s="1"/>
  <c r="L420" i="1"/>
  <c r="M420" i="1" s="1"/>
  <c r="J420" i="1"/>
  <c r="K420" i="1" s="1"/>
  <c r="J422" i="1"/>
  <c r="K422" i="1" s="1"/>
  <c r="L422" i="1"/>
  <c r="M422" i="1" s="1"/>
  <c r="H422" i="1"/>
  <c r="I422" i="1" s="1"/>
  <c r="P422" i="1"/>
  <c r="Q422" i="1" s="1"/>
  <c r="N422" i="1"/>
  <c r="O422" i="1" s="1"/>
  <c r="T422" i="1"/>
  <c r="U422" i="1" s="1"/>
  <c r="V422" i="1"/>
  <c r="W422" i="1" s="1"/>
  <c r="R422" i="1"/>
  <c r="S422" i="1" s="1"/>
  <c r="V442" i="1"/>
  <c r="W442" i="1" s="1"/>
  <c r="J442" i="1"/>
  <c r="K442" i="1" s="1"/>
  <c r="T442" i="1"/>
  <c r="U442" i="1" s="1"/>
  <c r="L442" i="1"/>
  <c r="M442" i="1" s="1"/>
  <c r="H442" i="1"/>
  <c r="I442" i="1" s="1"/>
  <c r="R442" i="1"/>
  <c r="S442" i="1" s="1"/>
  <c r="P442" i="1"/>
  <c r="Q442" i="1" s="1"/>
  <c r="N442" i="1"/>
  <c r="O442" i="1" s="1"/>
  <c r="V425" i="1"/>
  <c r="W425" i="1" s="1"/>
  <c r="J425" i="1"/>
  <c r="K425" i="1" s="1"/>
  <c r="T425" i="1"/>
  <c r="U425" i="1" s="1"/>
  <c r="R425" i="1"/>
  <c r="S425" i="1" s="1"/>
  <c r="L425" i="1"/>
  <c r="M425" i="1" s="1"/>
  <c r="P425" i="1"/>
  <c r="Q425" i="1" s="1"/>
  <c r="H425" i="1"/>
  <c r="I425" i="1" s="1"/>
  <c r="N425" i="1"/>
  <c r="O425" i="1" s="1"/>
  <c r="L128" i="1"/>
  <c r="M128" i="1" s="1"/>
  <c r="N128" i="1"/>
  <c r="O128" i="1" s="1"/>
  <c r="J128" i="1"/>
  <c r="P128" i="1"/>
  <c r="Q128" i="1" s="1"/>
  <c r="V128" i="1"/>
  <c r="W128" i="1" s="1"/>
  <c r="T128" i="1"/>
  <c r="U128" i="1" s="1"/>
  <c r="R128" i="1"/>
  <c r="S128" i="1" s="1"/>
  <c r="R246" i="1"/>
  <c r="S246" i="1" s="1"/>
  <c r="T246" i="1"/>
  <c r="U246" i="1" s="1"/>
  <c r="V246" i="1"/>
  <c r="W246" i="1" s="1"/>
  <c r="H246" i="1"/>
  <c r="I246" i="1" s="1"/>
  <c r="J246" i="1"/>
  <c r="K246" i="1" s="1"/>
  <c r="L246" i="1"/>
  <c r="M246" i="1" s="1"/>
  <c r="N246" i="1"/>
  <c r="O246" i="1" s="1"/>
  <c r="P246" i="1"/>
  <c r="Q246" i="1" s="1"/>
  <c r="V243" i="1"/>
  <c r="W243" i="1" s="1"/>
  <c r="H243" i="1"/>
  <c r="I243" i="1" s="1"/>
  <c r="J243" i="1"/>
  <c r="K243" i="1" s="1"/>
  <c r="L243" i="1"/>
  <c r="M243" i="1" s="1"/>
  <c r="N243" i="1"/>
  <c r="O243" i="1" s="1"/>
  <c r="P243" i="1"/>
  <c r="Q243" i="1" s="1"/>
  <c r="R243" i="1"/>
  <c r="S243" i="1" s="1"/>
  <c r="T243" i="1"/>
  <c r="U243" i="1" s="1"/>
  <c r="T244" i="1"/>
  <c r="U244" i="1" s="1"/>
  <c r="V244" i="1"/>
  <c r="W244" i="1" s="1"/>
  <c r="H244" i="1"/>
  <c r="I244" i="1" s="1"/>
  <c r="J244" i="1"/>
  <c r="K244" i="1" s="1"/>
  <c r="L244" i="1"/>
  <c r="M244" i="1" s="1"/>
  <c r="N244" i="1"/>
  <c r="O244" i="1" s="1"/>
  <c r="P244" i="1"/>
  <c r="Q244" i="1" s="1"/>
  <c r="R244" i="1"/>
  <c r="S244" i="1" s="1"/>
  <c r="R336" i="1"/>
  <c r="S336" i="1" s="1"/>
  <c r="P336" i="1"/>
  <c r="Q336" i="1" s="1"/>
  <c r="N336" i="1"/>
  <c r="O336" i="1" s="1"/>
  <c r="L336" i="1"/>
  <c r="M336" i="1" s="1"/>
  <c r="V336" i="1"/>
  <c r="W336" i="1" s="1"/>
  <c r="T336" i="1"/>
  <c r="U336" i="1" s="1"/>
  <c r="G336" i="1"/>
  <c r="G244" i="1"/>
  <c r="K128" i="1"/>
  <c r="G425" i="1"/>
  <c r="G422" i="1"/>
  <c r="G128" i="1"/>
  <c r="G442" i="1"/>
  <c r="F299" i="1" l="1"/>
  <c r="N299" i="1" l="1"/>
  <c r="O299" i="1" s="1"/>
  <c r="L299" i="1"/>
  <c r="M299" i="1" s="1"/>
  <c r="T299" i="1"/>
  <c r="U299" i="1" s="1"/>
  <c r="V299" i="1"/>
  <c r="W299" i="1" s="1"/>
  <c r="P299" i="1"/>
  <c r="Q299" i="1" s="1"/>
  <c r="R299" i="1"/>
  <c r="S299" i="1" s="1"/>
  <c r="F354" i="1"/>
  <c r="T354" i="1" l="1"/>
  <c r="U354" i="1" s="1"/>
  <c r="V354" i="1"/>
  <c r="W354" i="1" s="1"/>
  <c r="L354" i="1"/>
  <c r="M354" i="1" s="1"/>
  <c r="N354" i="1"/>
  <c r="O354" i="1" s="1"/>
  <c r="P354" i="1"/>
  <c r="Q354" i="1" s="1"/>
  <c r="R354" i="1"/>
  <c r="S354" i="1" s="1"/>
  <c r="F194" i="1"/>
  <c r="F286" i="1"/>
  <c r="P286" i="1" l="1"/>
  <c r="Q286" i="1" s="1"/>
  <c r="N286" i="1"/>
  <c r="O286" i="1" s="1"/>
  <c r="L286" i="1"/>
  <c r="M286" i="1" s="1"/>
  <c r="J286" i="1"/>
  <c r="K286" i="1" s="1"/>
  <c r="H286" i="1"/>
  <c r="I286" i="1" s="1"/>
  <c r="V286" i="1"/>
  <c r="W286" i="1" s="1"/>
  <c r="T286" i="1"/>
  <c r="U286" i="1" s="1"/>
  <c r="R286" i="1"/>
  <c r="S286" i="1" s="1"/>
  <c r="P194" i="1"/>
  <c r="Q194" i="1" s="1"/>
  <c r="N194" i="1"/>
  <c r="O194" i="1" s="1"/>
  <c r="L194" i="1"/>
  <c r="M194" i="1" s="1"/>
  <c r="V194" i="1"/>
  <c r="W194" i="1" s="1"/>
  <c r="T194" i="1"/>
  <c r="U194" i="1" s="1"/>
  <c r="R194" i="1"/>
  <c r="S194" i="1" s="1"/>
  <c r="J194" i="1"/>
  <c r="K194" i="1" s="1"/>
  <c r="G340" i="1"/>
  <c r="G194" i="1"/>
  <c r="F623" i="1" l="1"/>
  <c r="F283" i="1" l="1"/>
  <c r="V283" i="1" l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J283" i="1"/>
  <c r="K283" i="1" s="1"/>
  <c r="H283" i="1"/>
  <c r="I283" i="1" s="1"/>
  <c r="G283" i="1"/>
  <c r="L144" i="1"/>
  <c r="M144" i="1" s="1"/>
  <c r="J144" i="1"/>
  <c r="K144" i="1" s="1"/>
  <c r="V144" i="1"/>
  <c r="W144" i="1" s="1"/>
  <c r="T144" i="1"/>
  <c r="U144" i="1" s="1"/>
  <c r="R144" i="1"/>
  <c r="S144" i="1" s="1"/>
  <c r="P144" i="1"/>
  <c r="Q144" i="1" s="1"/>
  <c r="N144" i="1"/>
  <c r="O144" i="1" s="1"/>
  <c r="V140" i="1"/>
  <c r="T140" i="1"/>
  <c r="R140" i="1"/>
  <c r="P140" i="1"/>
  <c r="N140" i="1"/>
  <c r="L140" i="1"/>
  <c r="J140" i="1"/>
  <c r="J147" i="1" l="1"/>
  <c r="L147" i="1"/>
  <c r="N147" i="1"/>
  <c r="P147" i="1"/>
  <c r="F197" i="1" l="1"/>
  <c r="L197" i="1" l="1"/>
  <c r="M197" i="1" s="1"/>
  <c r="J197" i="1"/>
  <c r="K197" i="1" s="1"/>
  <c r="V197" i="1"/>
  <c r="W197" i="1" s="1"/>
  <c r="T197" i="1"/>
  <c r="U197" i="1" s="1"/>
  <c r="R197" i="1"/>
  <c r="S197" i="1" s="1"/>
  <c r="P197" i="1"/>
  <c r="Q197" i="1" s="1"/>
  <c r="H197" i="1"/>
  <c r="I197" i="1" s="1"/>
  <c r="N197" i="1"/>
  <c r="O197" i="1" s="1"/>
  <c r="G197" i="1"/>
  <c r="W293" i="1"/>
  <c r="U293" i="1"/>
  <c r="S293" i="1"/>
  <c r="Q293" i="1"/>
  <c r="O293" i="1"/>
  <c r="M293" i="1"/>
  <c r="K293" i="1"/>
  <c r="I293" i="1"/>
  <c r="W292" i="1"/>
  <c r="U292" i="1"/>
  <c r="S292" i="1"/>
  <c r="Q292" i="1"/>
  <c r="O292" i="1"/>
  <c r="M292" i="1"/>
  <c r="K292" i="1"/>
  <c r="I292" i="1"/>
  <c r="W122" i="1"/>
  <c r="U122" i="1"/>
  <c r="S122" i="1"/>
  <c r="Q122" i="1"/>
  <c r="O122" i="1"/>
  <c r="M122" i="1"/>
  <c r="W117" i="1"/>
  <c r="U117" i="1"/>
  <c r="S117" i="1"/>
  <c r="Q117" i="1"/>
  <c r="O117" i="1"/>
  <c r="M117" i="1"/>
  <c r="W121" i="1"/>
  <c r="U121" i="1"/>
  <c r="S121" i="1"/>
  <c r="Q121" i="1"/>
  <c r="O121" i="1"/>
  <c r="M121" i="1"/>
  <c r="W116" i="1"/>
  <c r="U116" i="1"/>
  <c r="S116" i="1"/>
  <c r="Q116" i="1"/>
  <c r="O116" i="1"/>
  <c r="M116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41" i="1"/>
  <c r="U41" i="1"/>
  <c r="S41" i="1"/>
  <c r="Q41" i="1"/>
  <c r="O41" i="1"/>
  <c r="W36" i="1"/>
  <c r="U36" i="1"/>
  <c r="S36" i="1"/>
  <c r="Q36" i="1"/>
  <c r="O36" i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126" i="1"/>
  <c r="U126" i="1"/>
  <c r="S126" i="1"/>
  <c r="Q126" i="1"/>
  <c r="O126" i="1"/>
  <c r="W68" i="1"/>
  <c r="U68" i="1"/>
  <c r="S68" i="1"/>
  <c r="Q68" i="1"/>
  <c r="O68" i="1"/>
  <c r="M68" i="1"/>
  <c r="K68" i="1"/>
  <c r="V63" i="1"/>
  <c r="T63" i="1"/>
  <c r="R63" i="1"/>
  <c r="P63" i="1"/>
  <c r="N63" i="1"/>
  <c r="L63" i="1"/>
  <c r="J63" i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L59" i="1"/>
  <c r="M59" i="1" s="1"/>
  <c r="V59" i="1"/>
  <c r="T59" i="1"/>
  <c r="R59" i="1"/>
  <c r="P59" i="1"/>
  <c r="N59" i="1"/>
  <c r="F463" i="1"/>
  <c r="T408" i="1"/>
  <c r="R408" i="1"/>
  <c r="P408" i="1"/>
  <c r="N408" i="1"/>
  <c r="L408" i="1"/>
  <c r="F388" i="1"/>
  <c r="F387" i="1"/>
  <c r="F295" i="1"/>
  <c r="F284" i="1"/>
  <c r="F275" i="1"/>
  <c r="F272" i="1"/>
  <c r="F267" i="1"/>
  <c r="F270" i="1"/>
  <c r="F240" i="1"/>
  <c r="P272" i="1" l="1"/>
  <c r="Q272" i="1" s="1"/>
  <c r="N272" i="1"/>
  <c r="O272" i="1" s="1"/>
  <c r="L272" i="1"/>
  <c r="M272" i="1" s="1"/>
  <c r="J272" i="1"/>
  <c r="K272" i="1" s="1"/>
  <c r="H272" i="1"/>
  <c r="I272" i="1" s="1"/>
  <c r="V272" i="1"/>
  <c r="W272" i="1" s="1"/>
  <c r="T272" i="1"/>
  <c r="U272" i="1" s="1"/>
  <c r="R272" i="1"/>
  <c r="S272" i="1" s="1"/>
  <c r="V270" i="1"/>
  <c r="W270" i="1" s="1"/>
  <c r="T270" i="1"/>
  <c r="U270" i="1" s="1"/>
  <c r="R270" i="1"/>
  <c r="S270" i="1" s="1"/>
  <c r="P270" i="1"/>
  <c r="Q270" i="1" s="1"/>
  <c r="N270" i="1"/>
  <c r="O270" i="1" s="1"/>
  <c r="L270" i="1"/>
  <c r="M270" i="1" s="1"/>
  <c r="J270" i="1"/>
  <c r="K270" i="1" s="1"/>
  <c r="H270" i="1"/>
  <c r="I270" i="1" s="1"/>
  <c r="L267" i="1"/>
  <c r="M267" i="1" s="1"/>
  <c r="J267" i="1"/>
  <c r="K267" i="1" s="1"/>
  <c r="H267" i="1"/>
  <c r="I267" i="1" s="1"/>
  <c r="V267" i="1"/>
  <c r="W267" i="1" s="1"/>
  <c r="T267" i="1"/>
  <c r="U267" i="1" s="1"/>
  <c r="N267" i="1"/>
  <c r="O267" i="1" s="1"/>
  <c r="R267" i="1"/>
  <c r="S267" i="1" s="1"/>
  <c r="P267" i="1"/>
  <c r="Q267" i="1" s="1"/>
  <c r="V295" i="1"/>
  <c r="J295" i="1"/>
  <c r="T295" i="1"/>
  <c r="R295" i="1"/>
  <c r="P295" i="1"/>
  <c r="N295" i="1"/>
  <c r="H295" i="1"/>
  <c r="L295" i="1"/>
  <c r="V387" i="1"/>
  <c r="W387" i="1" s="1"/>
  <c r="T387" i="1"/>
  <c r="U387" i="1" s="1"/>
  <c r="R387" i="1"/>
  <c r="S387" i="1" s="1"/>
  <c r="P387" i="1"/>
  <c r="Q387" i="1" s="1"/>
  <c r="N387" i="1"/>
  <c r="O387" i="1" s="1"/>
  <c r="L387" i="1"/>
  <c r="M387" i="1" s="1"/>
  <c r="J387" i="1"/>
  <c r="K387" i="1" s="1"/>
  <c r="H387" i="1"/>
  <c r="I387" i="1" s="1"/>
  <c r="H240" i="1"/>
  <c r="I240" i="1" s="1"/>
  <c r="V240" i="1"/>
  <c r="W240" i="1" s="1"/>
  <c r="T240" i="1"/>
  <c r="U240" i="1" s="1"/>
  <c r="R240" i="1"/>
  <c r="S240" i="1" s="1"/>
  <c r="P240" i="1"/>
  <c r="Q240" i="1" s="1"/>
  <c r="N240" i="1"/>
  <c r="O240" i="1" s="1"/>
  <c r="L240" i="1"/>
  <c r="M240" i="1" s="1"/>
  <c r="J240" i="1"/>
  <c r="K240" i="1" s="1"/>
  <c r="P388" i="1"/>
  <c r="T388" i="1"/>
  <c r="U388" i="1" s="1"/>
  <c r="V388" i="1"/>
  <c r="W388" i="1" s="1"/>
  <c r="N388" i="1"/>
  <c r="O388" i="1" s="1"/>
  <c r="L388" i="1"/>
  <c r="M388" i="1" s="1"/>
  <c r="J388" i="1"/>
  <c r="K388" i="1" s="1"/>
  <c r="H388" i="1"/>
  <c r="I388" i="1" s="1"/>
  <c r="R388" i="1"/>
  <c r="S388" i="1" s="1"/>
  <c r="V284" i="1"/>
  <c r="W284" i="1" s="1"/>
  <c r="T284" i="1"/>
  <c r="U284" i="1" s="1"/>
  <c r="R284" i="1"/>
  <c r="S284" i="1" s="1"/>
  <c r="P284" i="1"/>
  <c r="Q284" i="1" s="1"/>
  <c r="H284" i="1"/>
  <c r="I284" i="1" s="1"/>
  <c r="N284" i="1"/>
  <c r="O284" i="1" s="1"/>
  <c r="L284" i="1"/>
  <c r="M284" i="1" s="1"/>
  <c r="J284" i="1"/>
  <c r="K284" i="1" s="1"/>
  <c r="V275" i="1"/>
  <c r="W275" i="1" s="1"/>
  <c r="T275" i="1"/>
  <c r="U275" i="1" s="1"/>
  <c r="R275" i="1"/>
  <c r="S275" i="1" s="1"/>
  <c r="P275" i="1"/>
  <c r="Q275" i="1" s="1"/>
  <c r="N275" i="1"/>
  <c r="O275" i="1" s="1"/>
  <c r="L275" i="1"/>
  <c r="M275" i="1" s="1"/>
  <c r="J275" i="1"/>
  <c r="K275" i="1" s="1"/>
  <c r="H275" i="1"/>
  <c r="I275" i="1" s="1"/>
  <c r="Q388" i="1"/>
  <c r="G284" i="1"/>
  <c r="G240" i="1"/>
  <c r="F24" i="1" l="1"/>
  <c r="F27" i="1"/>
  <c r="U26" i="1"/>
  <c r="S26" i="1"/>
  <c r="Q26" i="1"/>
  <c r="O26" i="1"/>
  <c r="M26" i="1"/>
  <c r="J27" i="1" l="1"/>
  <c r="N27" i="1"/>
  <c r="O27" i="1" s="1"/>
  <c r="T27" i="1"/>
  <c r="U27" i="1" s="1"/>
  <c r="L27" i="1"/>
  <c r="M27" i="1" s="1"/>
  <c r="R27" i="1"/>
  <c r="S27" i="1" s="1"/>
  <c r="P27" i="1"/>
  <c r="Q27" i="1" s="1"/>
  <c r="T24" i="1"/>
  <c r="U24" i="1" s="1"/>
  <c r="R24" i="1"/>
  <c r="S24" i="1" s="1"/>
  <c r="P24" i="1"/>
  <c r="Q24" i="1" s="1"/>
  <c r="L24" i="1"/>
  <c r="M24" i="1" s="1"/>
  <c r="N24" i="1"/>
  <c r="O24" i="1" s="1"/>
  <c r="F249" i="1"/>
  <c r="G249" i="1" l="1"/>
  <c r="L249" i="1"/>
  <c r="M249" i="1" s="1"/>
  <c r="N249" i="1"/>
  <c r="O249" i="1" s="1"/>
  <c r="P249" i="1"/>
  <c r="Q249" i="1" s="1"/>
  <c r="R249" i="1"/>
  <c r="S249" i="1" s="1"/>
  <c r="T249" i="1"/>
  <c r="U249" i="1" s="1"/>
  <c r="V249" i="1"/>
  <c r="W249" i="1" s="1"/>
  <c r="H249" i="1"/>
  <c r="I249" i="1" s="1"/>
  <c r="J249" i="1"/>
  <c r="K249" i="1" s="1"/>
  <c r="G246" i="1"/>
  <c r="T412" i="1" l="1"/>
  <c r="U412" i="1" s="1"/>
  <c r="R412" i="1"/>
  <c r="S412" i="1" s="1"/>
  <c r="P412" i="1"/>
  <c r="Q412" i="1" s="1"/>
  <c r="N412" i="1"/>
  <c r="O412" i="1" s="1"/>
  <c r="L412" i="1"/>
  <c r="M412" i="1" s="1"/>
  <c r="T411" i="1"/>
  <c r="U411" i="1" s="1"/>
  <c r="R411" i="1"/>
  <c r="S411" i="1" s="1"/>
  <c r="P411" i="1"/>
  <c r="Q411" i="1" s="1"/>
  <c r="N411" i="1"/>
  <c r="O411" i="1" s="1"/>
  <c r="L411" i="1"/>
  <c r="M411" i="1" s="1"/>
  <c r="T410" i="1"/>
  <c r="U410" i="1" s="1"/>
  <c r="R410" i="1"/>
  <c r="S410" i="1" s="1"/>
  <c r="P410" i="1"/>
  <c r="Q410" i="1" s="1"/>
  <c r="N410" i="1"/>
  <c r="O410" i="1" s="1"/>
  <c r="L410" i="1"/>
  <c r="M410" i="1" s="1"/>
  <c r="T409" i="1"/>
  <c r="R409" i="1"/>
  <c r="P409" i="1"/>
  <c r="N409" i="1"/>
  <c r="L409" i="1"/>
  <c r="J408" i="1"/>
  <c r="T407" i="1"/>
  <c r="P407" i="1"/>
  <c r="R407" i="1"/>
  <c r="N407" i="1"/>
  <c r="L407" i="1"/>
  <c r="F548" i="1" l="1"/>
  <c r="F543" i="1"/>
  <c r="F542" i="1"/>
  <c r="F533" i="1"/>
  <c r="F528" i="1"/>
  <c r="F527" i="1"/>
  <c r="F524" i="1"/>
  <c r="F324" i="1"/>
  <c r="F490" i="1"/>
  <c r="F489" i="1"/>
  <c r="F153" i="1"/>
  <c r="F241" i="1"/>
  <c r="F202" i="1"/>
  <c r="F356" i="1"/>
  <c r="T527" i="1" l="1"/>
  <c r="U527" i="1" s="1"/>
  <c r="H527" i="1"/>
  <c r="I527" i="1" s="1"/>
  <c r="J527" i="1"/>
  <c r="K527" i="1" s="1"/>
  <c r="V527" i="1"/>
  <c r="W527" i="1" s="1"/>
  <c r="L527" i="1"/>
  <c r="M527" i="1" s="1"/>
  <c r="N527" i="1"/>
  <c r="O527" i="1" s="1"/>
  <c r="P527" i="1"/>
  <c r="Q527" i="1" s="1"/>
  <c r="R527" i="1"/>
  <c r="S527" i="1" s="1"/>
  <c r="T542" i="1"/>
  <c r="U542" i="1" s="1"/>
  <c r="J542" i="1"/>
  <c r="K542" i="1" s="1"/>
  <c r="V542" i="1"/>
  <c r="W542" i="1" s="1"/>
  <c r="L542" i="1"/>
  <c r="M542" i="1" s="1"/>
  <c r="P542" i="1"/>
  <c r="Q542" i="1" s="1"/>
  <c r="H542" i="1"/>
  <c r="I542" i="1" s="1"/>
  <c r="N542" i="1"/>
  <c r="O542" i="1" s="1"/>
  <c r="R542" i="1"/>
  <c r="S542" i="1" s="1"/>
  <c r="H524" i="1"/>
  <c r="I524" i="1" s="1"/>
  <c r="J524" i="1"/>
  <c r="K524" i="1" s="1"/>
  <c r="V524" i="1"/>
  <c r="W524" i="1" s="1"/>
  <c r="L524" i="1"/>
  <c r="M524" i="1" s="1"/>
  <c r="P524" i="1"/>
  <c r="Q524" i="1" s="1"/>
  <c r="R524" i="1"/>
  <c r="S524" i="1" s="1"/>
  <c r="N524" i="1"/>
  <c r="O524" i="1" s="1"/>
  <c r="T524" i="1"/>
  <c r="U524" i="1" s="1"/>
  <c r="R543" i="1"/>
  <c r="S543" i="1" s="1"/>
  <c r="T543" i="1"/>
  <c r="U543" i="1" s="1"/>
  <c r="J543" i="1"/>
  <c r="K543" i="1" s="1"/>
  <c r="L543" i="1"/>
  <c r="M543" i="1" s="1"/>
  <c r="N543" i="1"/>
  <c r="O543" i="1" s="1"/>
  <c r="H543" i="1"/>
  <c r="I543" i="1" s="1"/>
  <c r="V543" i="1"/>
  <c r="W543" i="1" s="1"/>
  <c r="P543" i="1"/>
  <c r="Q543" i="1" s="1"/>
  <c r="P533" i="1"/>
  <c r="Q533" i="1" s="1"/>
  <c r="R533" i="1"/>
  <c r="S533" i="1" s="1"/>
  <c r="T533" i="1"/>
  <c r="U533" i="1" s="1"/>
  <c r="V533" i="1"/>
  <c r="W533" i="1" s="1"/>
  <c r="J533" i="1"/>
  <c r="K533" i="1" s="1"/>
  <c r="H533" i="1"/>
  <c r="I533" i="1" s="1"/>
  <c r="L533" i="1"/>
  <c r="M533" i="1" s="1"/>
  <c r="N533" i="1"/>
  <c r="O533" i="1" s="1"/>
  <c r="P544" i="1"/>
  <c r="Q544" i="1" s="1"/>
  <c r="T544" i="1"/>
  <c r="U544" i="1" s="1"/>
  <c r="R544" i="1"/>
  <c r="S544" i="1" s="1"/>
  <c r="J544" i="1"/>
  <c r="K544" i="1" s="1"/>
  <c r="V544" i="1"/>
  <c r="W544" i="1" s="1"/>
  <c r="L544" i="1"/>
  <c r="M544" i="1" s="1"/>
  <c r="H544" i="1"/>
  <c r="I544" i="1" s="1"/>
  <c r="N544" i="1"/>
  <c r="O544" i="1" s="1"/>
  <c r="R528" i="1"/>
  <c r="S528" i="1" s="1"/>
  <c r="T528" i="1"/>
  <c r="U528" i="1" s="1"/>
  <c r="V528" i="1"/>
  <c r="W528" i="1" s="1"/>
  <c r="J528" i="1"/>
  <c r="K528" i="1" s="1"/>
  <c r="L528" i="1"/>
  <c r="M528" i="1" s="1"/>
  <c r="N528" i="1"/>
  <c r="O528" i="1" s="1"/>
  <c r="P528" i="1"/>
  <c r="Q528" i="1" s="1"/>
  <c r="H528" i="1"/>
  <c r="I528" i="1" s="1"/>
  <c r="T548" i="1"/>
  <c r="U548" i="1" s="1"/>
  <c r="J548" i="1"/>
  <c r="K548" i="1" s="1"/>
  <c r="V548" i="1"/>
  <c r="W548" i="1" s="1"/>
  <c r="H548" i="1"/>
  <c r="I548" i="1" s="1"/>
  <c r="L548" i="1"/>
  <c r="M548" i="1" s="1"/>
  <c r="N548" i="1"/>
  <c r="O548" i="1" s="1"/>
  <c r="P548" i="1"/>
  <c r="Q548" i="1" s="1"/>
  <c r="R548" i="1"/>
  <c r="S548" i="1" s="1"/>
  <c r="T489" i="1"/>
  <c r="U489" i="1" s="1"/>
  <c r="R489" i="1"/>
  <c r="S489" i="1" s="1"/>
  <c r="P489" i="1"/>
  <c r="Q489" i="1" s="1"/>
  <c r="H489" i="1"/>
  <c r="I489" i="1" s="1"/>
  <c r="N489" i="1"/>
  <c r="O489" i="1" s="1"/>
  <c r="L489" i="1"/>
  <c r="M489" i="1" s="1"/>
  <c r="V489" i="1"/>
  <c r="W489" i="1" s="1"/>
  <c r="J489" i="1"/>
  <c r="K489" i="1" s="1"/>
  <c r="H490" i="1"/>
  <c r="I490" i="1" s="1"/>
  <c r="J490" i="1"/>
  <c r="K490" i="1" s="1"/>
  <c r="R490" i="1"/>
  <c r="S490" i="1" s="1"/>
  <c r="N490" i="1"/>
  <c r="O490" i="1" s="1"/>
  <c r="L490" i="1"/>
  <c r="M490" i="1" s="1"/>
  <c r="V490" i="1"/>
  <c r="W490" i="1" s="1"/>
  <c r="T490" i="1"/>
  <c r="U490" i="1" s="1"/>
  <c r="P490" i="1"/>
  <c r="Q490" i="1" s="1"/>
  <c r="R153" i="1"/>
  <c r="S153" i="1" s="1"/>
  <c r="P153" i="1"/>
  <c r="Q153" i="1" s="1"/>
  <c r="T153" i="1"/>
  <c r="U153" i="1" s="1"/>
  <c r="N153" i="1"/>
  <c r="O153" i="1" s="1"/>
  <c r="L153" i="1"/>
  <c r="M153" i="1" s="1"/>
  <c r="V153" i="1"/>
  <c r="W153" i="1" s="1"/>
  <c r="R202" i="1"/>
  <c r="S202" i="1" s="1"/>
  <c r="P202" i="1"/>
  <c r="Q202" i="1" s="1"/>
  <c r="L202" i="1"/>
  <c r="M202" i="1" s="1"/>
  <c r="J202" i="1"/>
  <c r="K202" i="1" s="1"/>
  <c r="V202" i="1"/>
  <c r="W202" i="1" s="1"/>
  <c r="T202" i="1"/>
  <c r="U202" i="1" s="1"/>
  <c r="N202" i="1"/>
  <c r="O202" i="1" s="1"/>
  <c r="H202" i="1"/>
  <c r="I202" i="1" s="1"/>
  <c r="P324" i="1"/>
  <c r="Q324" i="1" s="1"/>
  <c r="R324" i="1"/>
  <c r="S324" i="1" s="1"/>
  <c r="T324" i="1"/>
  <c r="U324" i="1" s="1"/>
  <c r="V324" i="1"/>
  <c r="W324" i="1" s="1"/>
  <c r="L324" i="1"/>
  <c r="M324" i="1" s="1"/>
  <c r="N324" i="1"/>
  <c r="O324" i="1" s="1"/>
  <c r="L356" i="1"/>
  <c r="M356" i="1" s="1"/>
  <c r="N356" i="1"/>
  <c r="O356" i="1" s="1"/>
  <c r="P356" i="1"/>
  <c r="Q356" i="1" s="1"/>
  <c r="R356" i="1"/>
  <c r="S356" i="1" s="1"/>
  <c r="T356" i="1"/>
  <c r="U356" i="1" s="1"/>
  <c r="V356" i="1"/>
  <c r="W356" i="1" s="1"/>
  <c r="L241" i="1"/>
  <c r="M241" i="1" s="1"/>
  <c r="J241" i="1"/>
  <c r="K241" i="1" s="1"/>
  <c r="H241" i="1"/>
  <c r="I241" i="1" s="1"/>
  <c r="V241" i="1"/>
  <c r="W241" i="1" s="1"/>
  <c r="T241" i="1"/>
  <c r="U241" i="1" s="1"/>
  <c r="R241" i="1"/>
  <c r="S241" i="1" s="1"/>
  <c r="P241" i="1"/>
  <c r="Q241" i="1" s="1"/>
  <c r="N241" i="1"/>
  <c r="O241" i="1" s="1"/>
  <c r="F405" i="1"/>
  <c r="H405" i="1" s="1"/>
  <c r="I405" i="1" s="1"/>
  <c r="G405" i="1" l="1"/>
  <c r="W115" i="1" l="1"/>
  <c r="U115" i="1"/>
  <c r="S115" i="1"/>
  <c r="Q115" i="1"/>
  <c r="O115" i="1"/>
  <c r="M115" i="1"/>
  <c r="W120" i="1"/>
  <c r="U120" i="1"/>
  <c r="S120" i="1"/>
  <c r="Q120" i="1"/>
  <c r="O120" i="1"/>
  <c r="M120" i="1"/>
  <c r="S118" i="1"/>
  <c r="F62" i="1" l="1"/>
  <c r="T62" i="1" l="1"/>
  <c r="R62" i="1"/>
  <c r="S62" i="1" s="1"/>
  <c r="P62" i="1"/>
  <c r="Q62" i="1" s="1"/>
  <c r="N62" i="1"/>
  <c r="O62" i="1" s="1"/>
  <c r="L62" i="1"/>
  <c r="J62" i="1"/>
  <c r="K62" i="1" s="1"/>
  <c r="V62" i="1"/>
  <c r="W62" i="1" s="1"/>
  <c r="G62" i="1"/>
  <c r="M62" i="1"/>
  <c r="U62" i="1"/>
  <c r="G63" i="1" l="1"/>
  <c r="K63" i="1"/>
  <c r="M63" i="1"/>
  <c r="O63" i="1"/>
  <c r="Q63" i="1"/>
  <c r="S63" i="1"/>
  <c r="U63" i="1"/>
  <c r="W63" i="1"/>
  <c r="V124" i="1" l="1"/>
  <c r="W124" i="1" s="1"/>
  <c r="U124" i="1"/>
  <c r="S124" i="1"/>
  <c r="Q124" i="1"/>
  <c r="O124" i="1"/>
  <c r="M124" i="1"/>
  <c r="G124" i="1"/>
  <c r="G439" i="1" l="1"/>
  <c r="L460" i="1"/>
  <c r="J460" i="1"/>
  <c r="G279" i="1"/>
  <c r="G278" i="1"/>
  <c r="G61" i="1" l="1"/>
  <c r="F333" i="1" l="1"/>
  <c r="V333" i="1" l="1"/>
  <c r="W333" i="1" s="1"/>
  <c r="T333" i="1"/>
  <c r="U333" i="1" s="1"/>
  <c r="R333" i="1"/>
  <c r="S333" i="1" s="1"/>
  <c r="P333" i="1"/>
  <c r="Q333" i="1" s="1"/>
  <c r="N333" i="1"/>
  <c r="O333" i="1" s="1"/>
  <c r="L333" i="1"/>
  <c r="M333" i="1" s="1"/>
  <c r="F383" i="1"/>
  <c r="V383" i="1" l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J383" i="1"/>
  <c r="K383" i="1" s="1"/>
  <c r="H383" i="1"/>
  <c r="I383" i="1" s="1"/>
  <c r="J539" i="1" l="1"/>
  <c r="K539" i="1" s="1"/>
  <c r="H539" i="1"/>
  <c r="I539" i="1" s="1"/>
  <c r="L539" i="1"/>
  <c r="M539" i="1" s="1"/>
  <c r="N539" i="1"/>
  <c r="O539" i="1" s="1"/>
  <c r="P539" i="1"/>
  <c r="Q539" i="1" s="1"/>
  <c r="R539" i="1"/>
  <c r="S539" i="1" s="1"/>
  <c r="V539" i="1"/>
  <c r="W539" i="1" s="1"/>
  <c r="T539" i="1"/>
  <c r="U539" i="1" s="1"/>
  <c r="G539" i="1"/>
  <c r="F14" i="1"/>
  <c r="L14" i="1" l="1"/>
  <c r="H14" i="1"/>
  <c r="J14" i="1"/>
  <c r="T14" i="1"/>
  <c r="R14" i="1"/>
  <c r="P14" i="1"/>
  <c r="N14" i="1"/>
  <c r="F389" i="1"/>
  <c r="V389" i="1" l="1"/>
  <c r="W389" i="1" s="1"/>
  <c r="T389" i="1"/>
  <c r="U389" i="1" s="1"/>
  <c r="R389" i="1"/>
  <c r="S389" i="1" s="1"/>
  <c r="P389" i="1"/>
  <c r="Q389" i="1" s="1"/>
  <c r="N389" i="1"/>
  <c r="O389" i="1" s="1"/>
  <c r="L389" i="1"/>
  <c r="M389" i="1" s="1"/>
  <c r="J389" i="1"/>
  <c r="K389" i="1" s="1"/>
  <c r="H389" i="1"/>
  <c r="I389" i="1" s="1"/>
  <c r="F438" i="1"/>
  <c r="F437" i="1"/>
  <c r="J437" i="1" l="1"/>
  <c r="K437" i="1" s="1"/>
  <c r="H437" i="1"/>
  <c r="I437" i="1" s="1"/>
  <c r="R437" i="1"/>
  <c r="S437" i="1" s="1"/>
  <c r="P437" i="1"/>
  <c r="Q437" i="1" s="1"/>
  <c r="N437" i="1"/>
  <c r="O437" i="1" s="1"/>
  <c r="L437" i="1"/>
  <c r="M437" i="1" s="1"/>
  <c r="V437" i="1"/>
  <c r="W437" i="1" s="1"/>
  <c r="T437" i="1"/>
  <c r="U437" i="1" s="1"/>
  <c r="N438" i="1"/>
  <c r="O438" i="1" s="1"/>
  <c r="L438" i="1"/>
  <c r="M438" i="1" s="1"/>
  <c r="J438" i="1"/>
  <c r="K438" i="1" s="1"/>
  <c r="H438" i="1"/>
  <c r="I438" i="1" s="1"/>
  <c r="V438" i="1"/>
  <c r="W438" i="1" s="1"/>
  <c r="T438" i="1"/>
  <c r="U438" i="1" s="1"/>
  <c r="P438" i="1"/>
  <c r="Q438" i="1" s="1"/>
  <c r="R438" i="1"/>
  <c r="S438" i="1" s="1"/>
  <c r="F495" i="1"/>
  <c r="F496" i="1"/>
  <c r="R496" i="1" l="1"/>
  <c r="S496" i="1" s="1"/>
  <c r="V496" i="1"/>
  <c r="W496" i="1" s="1"/>
  <c r="P496" i="1"/>
  <c r="Q496" i="1" s="1"/>
  <c r="N496" i="1"/>
  <c r="O496" i="1" s="1"/>
  <c r="T496" i="1"/>
  <c r="U496" i="1" s="1"/>
  <c r="L496" i="1"/>
  <c r="M496" i="1" s="1"/>
  <c r="J496" i="1"/>
  <c r="K496" i="1" s="1"/>
  <c r="H496" i="1"/>
  <c r="I496" i="1" s="1"/>
  <c r="H495" i="1"/>
  <c r="I495" i="1" s="1"/>
  <c r="V495" i="1"/>
  <c r="W495" i="1" s="1"/>
  <c r="N495" i="1"/>
  <c r="O495" i="1" s="1"/>
  <c r="L495" i="1"/>
  <c r="M495" i="1" s="1"/>
  <c r="T495" i="1"/>
  <c r="U495" i="1" s="1"/>
  <c r="R495" i="1"/>
  <c r="S495" i="1" s="1"/>
  <c r="P495" i="1"/>
  <c r="Q495" i="1" s="1"/>
  <c r="J495" i="1"/>
  <c r="K495" i="1" s="1"/>
  <c r="G496" i="1"/>
  <c r="G495" i="1"/>
  <c r="F370" i="1"/>
  <c r="L370" i="1" l="1"/>
  <c r="M370" i="1" s="1"/>
  <c r="N370" i="1"/>
  <c r="O370" i="1" s="1"/>
  <c r="P370" i="1"/>
  <c r="Q370" i="1" s="1"/>
  <c r="R370" i="1"/>
  <c r="S370" i="1" s="1"/>
  <c r="T370" i="1"/>
  <c r="U370" i="1" s="1"/>
  <c r="V370" i="1"/>
  <c r="W370" i="1" s="1"/>
  <c r="F392" i="1"/>
  <c r="F393" i="1"/>
  <c r="R392" i="1" l="1"/>
  <c r="S392" i="1" s="1"/>
  <c r="P392" i="1"/>
  <c r="Q392" i="1" s="1"/>
  <c r="N392" i="1"/>
  <c r="O392" i="1" s="1"/>
  <c r="L392" i="1"/>
  <c r="M392" i="1" s="1"/>
  <c r="J392" i="1"/>
  <c r="K392" i="1" s="1"/>
  <c r="H392" i="1"/>
  <c r="I392" i="1" s="1"/>
  <c r="V392" i="1"/>
  <c r="W392" i="1" s="1"/>
  <c r="T392" i="1"/>
  <c r="U392" i="1" s="1"/>
  <c r="V393" i="1"/>
  <c r="W393" i="1" s="1"/>
  <c r="T393" i="1"/>
  <c r="U393" i="1" s="1"/>
  <c r="R393" i="1"/>
  <c r="S393" i="1" s="1"/>
  <c r="P393" i="1"/>
  <c r="Q393" i="1" s="1"/>
  <c r="N393" i="1"/>
  <c r="O393" i="1" s="1"/>
  <c r="L393" i="1"/>
  <c r="M393" i="1" s="1"/>
  <c r="J393" i="1"/>
  <c r="K393" i="1" s="1"/>
  <c r="H393" i="1"/>
  <c r="I393" i="1" s="1"/>
  <c r="G393" i="1"/>
  <c r="V57" i="1" l="1"/>
  <c r="T57" i="1"/>
  <c r="R57" i="1"/>
  <c r="P57" i="1"/>
  <c r="H629" i="1" l="1"/>
  <c r="I629" i="1" s="1"/>
  <c r="H630" i="1"/>
  <c r="I630" i="1" s="1"/>
  <c r="T630" i="1" l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G630" i="1"/>
  <c r="F519" i="1" l="1"/>
  <c r="T519" i="1" l="1"/>
  <c r="U519" i="1" s="1"/>
  <c r="V519" i="1"/>
  <c r="W519" i="1" s="1"/>
  <c r="J519" i="1"/>
  <c r="K519" i="1" s="1"/>
  <c r="L519" i="1"/>
  <c r="M519" i="1" s="1"/>
  <c r="N519" i="1"/>
  <c r="O519" i="1" s="1"/>
  <c r="P519" i="1"/>
  <c r="Q519" i="1" s="1"/>
  <c r="R519" i="1"/>
  <c r="S519" i="1" s="1"/>
  <c r="G519" i="1"/>
  <c r="N173" i="1"/>
  <c r="O173" i="1" s="1"/>
  <c r="P173" i="1"/>
  <c r="Q173" i="1" s="1"/>
  <c r="R173" i="1"/>
  <c r="S173" i="1" s="1"/>
  <c r="T173" i="1"/>
  <c r="U173" i="1" s="1"/>
  <c r="V173" i="1"/>
  <c r="N174" i="1"/>
  <c r="O174" i="1" s="1"/>
  <c r="P174" i="1"/>
  <c r="Q174" i="1" s="1"/>
  <c r="R174" i="1"/>
  <c r="S174" i="1" s="1"/>
  <c r="T174" i="1"/>
  <c r="U174" i="1" s="1"/>
  <c r="V174" i="1"/>
  <c r="N175" i="1"/>
  <c r="O175" i="1" s="1"/>
  <c r="P175" i="1"/>
  <c r="Q175" i="1" s="1"/>
  <c r="R175" i="1"/>
  <c r="S175" i="1" s="1"/>
  <c r="T175" i="1"/>
  <c r="U175" i="1" s="1"/>
  <c r="V175" i="1"/>
  <c r="V172" i="1"/>
  <c r="T172" i="1"/>
  <c r="R172" i="1"/>
  <c r="P172" i="1"/>
  <c r="N172" i="1"/>
  <c r="F592" i="1" l="1"/>
  <c r="V592" i="1" l="1"/>
  <c r="W592" i="1" s="1"/>
  <c r="L592" i="1" l="1"/>
  <c r="M592" i="1" s="1"/>
  <c r="N592" i="1"/>
  <c r="O592" i="1" s="1"/>
  <c r="G592" i="1"/>
  <c r="P592" i="1"/>
  <c r="Q592" i="1" s="1"/>
  <c r="R592" i="1"/>
  <c r="S592" i="1" s="1"/>
  <c r="H592" i="1"/>
  <c r="I592" i="1" s="1"/>
  <c r="T592" i="1"/>
  <c r="U592" i="1" s="1"/>
  <c r="J592" i="1"/>
  <c r="K592" i="1" s="1"/>
  <c r="U482" i="1" l="1"/>
  <c r="W481" i="1"/>
  <c r="O481" i="1" l="1"/>
  <c r="I481" i="1"/>
  <c r="K481" i="1"/>
  <c r="M481" i="1"/>
  <c r="Q481" i="1"/>
  <c r="S481" i="1"/>
  <c r="U481" i="1"/>
  <c r="W482" i="1"/>
  <c r="M482" i="1"/>
  <c r="O482" i="1"/>
  <c r="K482" i="1"/>
  <c r="Q482" i="1"/>
  <c r="S482" i="1"/>
  <c r="G482" i="1"/>
  <c r="I482" i="1"/>
  <c r="G481" i="1"/>
  <c r="F526" i="1" l="1"/>
  <c r="G526" i="1" l="1"/>
  <c r="J526" i="1"/>
  <c r="K526" i="1" s="1"/>
  <c r="V526" i="1"/>
  <c r="W526" i="1" s="1"/>
  <c r="L526" i="1"/>
  <c r="M526" i="1" s="1"/>
  <c r="N526" i="1"/>
  <c r="O526" i="1" s="1"/>
  <c r="H526" i="1"/>
  <c r="I526" i="1" s="1"/>
  <c r="P526" i="1"/>
  <c r="Q526" i="1" s="1"/>
  <c r="R526" i="1"/>
  <c r="S526" i="1" s="1"/>
  <c r="T526" i="1"/>
  <c r="U526" i="1" s="1"/>
  <c r="F549" i="1"/>
  <c r="F218" i="1"/>
  <c r="F430" i="1"/>
  <c r="F440" i="1"/>
  <c r="R549" i="1" l="1"/>
  <c r="S549" i="1" s="1"/>
  <c r="J549" i="1"/>
  <c r="K549" i="1" s="1"/>
  <c r="T549" i="1"/>
  <c r="U549" i="1" s="1"/>
  <c r="N549" i="1"/>
  <c r="O549" i="1" s="1"/>
  <c r="H549" i="1"/>
  <c r="I549" i="1" s="1"/>
  <c r="L549" i="1"/>
  <c r="M549" i="1" s="1"/>
  <c r="V549" i="1"/>
  <c r="W549" i="1" s="1"/>
  <c r="P549" i="1"/>
  <c r="Q549" i="1" s="1"/>
  <c r="P550" i="1"/>
  <c r="Q550" i="1" s="1"/>
  <c r="R550" i="1"/>
  <c r="S550" i="1" s="1"/>
  <c r="J550" i="1"/>
  <c r="K550" i="1" s="1"/>
  <c r="V550" i="1"/>
  <c r="W550" i="1" s="1"/>
  <c r="L550" i="1"/>
  <c r="M550" i="1" s="1"/>
  <c r="H550" i="1"/>
  <c r="I550" i="1" s="1"/>
  <c r="N550" i="1"/>
  <c r="O550" i="1" s="1"/>
  <c r="T550" i="1"/>
  <c r="U550" i="1" s="1"/>
  <c r="T440" i="1"/>
  <c r="U440" i="1" s="1"/>
  <c r="R440" i="1"/>
  <c r="S440" i="1" s="1"/>
  <c r="P440" i="1"/>
  <c r="Q440" i="1" s="1"/>
  <c r="H440" i="1"/>
  <c r="I440" i="1" s="1"/>
  <c r="N440" i="1"/>
  <c r="O440" i="1" s="1"/>
  <c r="L440" i="1"/>
  <c r="M440" i="1" s="1"/>
  <c r="J440" i="1"/>
  <c r="K440" i="1" s="1"/>
  <c r="V440" i="1"/>
  <c r="W440" i="1" s="1"/>
  <c r="P430" i="1"/>
  <c r="Q430" i="1" s="1"/>
  <c r="L430" i="1"/>
  <c r="M430" i="1" s="1"/>
  <c r="J430" i="1"/>
  <c r="K430" i="1" s="1"/>
  <c r="V430" i="1"/>
  <c r="W430" i="1" s="1"/>
  <c r="T430" i="1"/>
  <c r="U430" i="1" s="1"/>
  <c r="R430" i="1"/>
  <c r="S430" i="1" s="1"/>
  <c r="N430" i="1"/>
  <c r="O430" i="1" s="1"/>
  <c r="R218" i="1"/>
  <c r="S218" i="1" s="1"/>
  <c r="P218" i="1"/>
  <c r="Q218" i="1" s="1"/>
  <c r="L218" i="1"/>
  <c r="M218" i="1" s="1"/>
  <c r="J218" i="1"/>
  <c r="K218" i="1" s="1"/>
  <c r="T218" i="1"/>
  <c r="U218" i="1" s="1"/>
  <c r="V218" i="1"/>
  <c r="W218" i="1" s="1"/>
  <c r="N218" i="1"/>
  <c r="O218" i="1" s="1"/>
  <c r="G550" i="1"/>
  <c r="G549" i="1"/>
  <c r="P532" i="1" l="1"/>
  <c r="Q532" i="1" s="1"/>
  <c r="R532" i="1"/>
  <c r="S532" i="1" s="1"/>
  <c r="T532" i="1"/>
  <c r="U532" i="1" s="1"/>
  <c r="V532" i="1"/>
  <c r="W532" i="1" s="1"/>
  <c r="H532" i="1"/>
  <c r="I532" i="1" s="1"/>
  <c r="J532" i="1"/>
  <c r="K532" i="1" s="1"/>
  <c r="L532" i="1"/>
  <c r="M532" i="1" s="1"/>
  <c r="N532" i="1"/>
  <c r="O532" i="1" s="1"/>
  <c r="V620" i="1"/>
  <c r="W620" i="1" s="1"/>
  <c r="T620" i="1"/>
  <c r="U620" i="1" s="1"/>
  <c r="R620" i="1"/>
  <c r="S620" i="1" s="1"/>
  <c r="P620" i="1"/>
  <c r="Q620" i="1" s="1"/>
  <c r="N620" i="1"/>
  <c r="O620" i="1" s="1"/>
  <c r="L620" i="1"/>
  <c r="M620" i="1" s="1"/>
  <c r="J620" i="1"/>
  <c r="K620" i="1" s="1"/>
  <c r="H620" i="1"/>
  <c r="I620" i="1" s="1"/>
  <c r="V619" i="1"/>
  <c r="W619" i="1" s="1"/>
  <c r="T619" i="1"/>
  <c r="U619" i="1" s="1"/>
  <c r="R619" i="1"/>
  <c r="S619" i="1" s="1"/>
  <c r="P619" i="1"/>
  <c r="Q619" i="1" s="1"/>
  <c r="N619" i="1"/>
  <c r="O619" i="1" s="1"/>
  <c r="L619" i="1"/>
  <c r="M619" i="1" s="1"/>
  <c r="J619" i="1"/>
  <c r="H619" i="1"/>
  <c r="I619" i="1" s="1"/>
  <c r="F552" i="1" l="1"/>
  <c r="G552" i="1" l="1"/>
  <c r="H552" i="1"/>
  <c r="I552" i="1" s="1"/>
  <c r="L552" i="1"/>
  <c r="M552" i="1" s="1"/>
  <c r="N552" i="1"/>
  <c r="O552" i="1" s="1"/>
  <c r="R552" i="1"/>
  <c r="S552" i="1" s="1"/>
  <c r="T552" i="1"/>
  <c r="U552" i="1" s="1"/>
  <c r="P552" i="1"/>
  <c r="Q552" i="1" s="1"/>
  <c r="J552" i="1"/>
  <c r="K552" i="1" s="1"/>
  <c r="V552" i="1"/>
  <c r="W552" i="1" s="1"/>
  <c r="G548" i="1"/>
  <c r="V601" i="1"/>
  <c r="V618" i="1"/>
  <c r="W618" i="1" s="1"/>
  <c r="P601" i="1" l="1"/>
  <c r="Q601" i="1" s="1"/>
  <c r="H601" i="1"/>
  <c r="I601" i="1" s="1"/>
  <c r="R601" i="1"/>
  <c r="S601" i="1" s="1"/>
  <c r="J601" i="1"/>
  <c r="K601" i="1" s="1"/>
  <c r="T601" i="1"/>
  <c r="U601" i="1" s="1"/>
  <c r="N601" i="1"/>
  <c r="O601" i="1" s="1"/>
  <c r="L601" i="1"/>
  <c r="M601" i="1" s="1"/>
  <c r="G601" i="1"/>
  <c r="W601" i="1"/>
  <c r="L618" i="1"/>
  <c r="M618" i="1" s="1"/>
  <c r="P618" i="1"/>
  <c r="Q618" i="1" s="1"/>
  <c r="T618" i="1"/>
  <c r="U618" i="1" s="1"/>
  <c r="G618" i="1"/>
  <c r="J618" i="1"/>
  <c r="K618" i="1" s="1"/>
  <c r="N618" i="1"/>
  <c r="O618" i="1" s="1"/>
  <c r="R618" i="1"/>
  <c r="S618" i="1" s="1"/>
  <c r="V616" i="1" l="1"/>
  <c r="W616" i="1" s="1"/>
  <c r="R616" i="1"/>
  <c r="S616" i="1" s="1"/>
  <c r="N616" i="1"/>
  <c r="O616" i="1" s="1"/>
  <c r="J616" i="1"/>
  <c r="K616" i="1" s="1"/>
  <c r="G616" i="1"/>
  <c r="L616" i="1" l="1"/>
  <c r="M616" i="1" s="1"/>
  <c r="P616" i="1"/>
  <c r="Q616" i="1" s="1"/>
  <c r="T616" i="1"/>
  <c r="U616" i="1" s="1"/>
  <c r="F252" i="1"/>
  <c r="V252" i="1" l="1"/>
  <c r="W252" i="1" s="1"/>
  <c r="H252" i="1"/>
  <c r="I252" i="1" s="1"/>
  <c r="J252" i="1"/>
  <c r="K252" i="1" s="1"/>
  <c r="L252" i="1"/>
  <c r="M252" i="1" s="1"/>
  <c r="N252" i="1"/>
  <c r="O252" i="1" s="1"/>
  <c r="P252" i="1"/>
  <c r="Q252" i="1" s="1"/>
  <c r="R252" i="1"/>
  <c r="S252" i="1" s="1"/>
  <c r="T252" i="1"/>
  <c r="U252" i="1" s="1"/>
  <c r="G252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F596" i="1"/>
  <c r="F595" i="1"/>
  <c r="H595" i="1" s="1"/>
  <c r="I595" i="1" s="1"/>
  <c r="F622" i="1"/>
  <c r="F551" i="1"/>
  <c r="F546" i="1"/>
  <c r="F545" i="1"/>
  <c r="L546" i="1" l="1"/>
  <c r="M546" i="1" s="1"/>
  <c r="P546" i="1"/>
  <c r="Q546" i="1" s="1"/>
  <c r="H546" i="1"/>
  <c r="I546" i="1" s="1"/>
  <c r="N546" i="1"/>
  <c r="O546" i="1" s="1"/>
  <c r="R546" i="1"/>
  <c r="S546" i="1" s="1"/>
  <c r="T546" i="1"/>
  <c r="U546" i="1" s="1"/>
  <c r="J546" i="1"/>
  <c r="K546" i="1" s="1"/>
  <c r="V546" i="1"/>
  <c r="W546" i="1" s="1"/>
  <c r="H545" i="1"/>
  <c r="I545" i="1" s="1"/>
  <c r="N545" i="1"/>
  <c r="O545" i="1" s="1"/>
  <c r="P545" i="1"/>
  <c r="Q545" i="1" s="1"/>
  <c r="T545" i="1"/>
  <c r="U545" i="1" s="1"/>
  <c r="J545" i="1"/>
  <c r="K545" i="1" s="1"/>
  <c r="V545" i="1"/>
  <c r="W545" i="1" s="1"/>
  <c r="R545" i="1"/>
  <c r="S545" i="1" s="1"/>
  <c r="L545" i="1"/>
  <c r="M545" i="1" s="1"/>
  <c r="N551" i="1"/>
  <c r="O551" i="1" s="1"/>
  <c r="P551" i="1"/>
  <c r="Q551" i="1" s="1"/>
  <c r="R551" i="1"/>
  <c r="S551" i="1" s="1"/>
  <c r="T551" i="1"/>
  <c r="U551" i="1" s="1"/>
  <c r="V551" i="1"/>
  <c r="W551" i="1" s="1"/>
  <c r="J551" i="1"/>
  <c r="K551" i="1" s="1"/>
  <c r="H551" i="1"/>
  <c r="I551" i="1" s="1"/>
  <c r="L551" i="1"/>
  <c r="M551" i="1" s="1"/>
  <c r="P597" i="1"/>
  <c r="Q597" i="1" s="1"/>
  <c r="H597" i="1"/>
  <c r="I597" i="1" s="1"/>
  <c r="G596" i="1"/>
  <c r="H596" i="1"/>
  <c r="I596" i="1" s="1"/>
  <c r="R595" i="1"/>
  <c r="S595" i="1" s="1"/>
  <c r="J595" i="1"/>
  <c r="K595" i="1" s="1"/>
  <c r="P595" i="1"/>
  <c r="Q595" i="1" s="1"/>
  <c r="T595" i="1"/>
  <c r="U595" i="1" s="1"/>
  <c r="V595" i="1"/>
  <c r="W595" i="1" s="1"/>
  <c r="L595" i="1"/>
  <c r="M595" i="1" s="1"/>
  <c r="N595" i="1"/>
  <c r="O595" i="1" s="1"/>
  <c r="R597" i="1"/>
  <c r="S597" i="1" s="1"/>
  <c r="V597" i="1"/>
  <c r="W597" i="1" s="1"/>
  <c r="T597" i="1"/>
  <c r="U597" i="1" s="1"/>
  <c r="J597" i="1"/>
  <c r="K597" i="1" s="1"/>
  <c r="L597" i="1"/>
  <c r="M597" i="1" s="1"/>
  <c r="N597" i="1"/>
  <c r="O597" i="1" s="1"/>
  <c r="G597" i="1"/>
  <c r="J596" i="1"/>
  <c r="K596" i="1" s="1"/>
  <c r="G595" i="1"/>
  <c r="F498" i="1"/>
  <c r="F494" i="1"/>
  <c r="F485" i="1"/>
  <c r="F484" i="1"/>
  <c r="V483" i="1" l="1"/>
  <c r="W483" i="1" s="1"/>
  <c r="T483" i="1"/>
  <c r="U483" i="1" s="1"/>
  <c r="R483" i="1"/>
  <c r="S483" i="1" s="1"/>
  <c r="H483" i="1"/>
  <c r="I483" i="1" s="1"/>
  <c r="J483" i="1"/>
  <c r="K483" i="1" s="1"/>
  <c r="P483" i="1"/>
  <c r="Q483" i="1" s="1"/>
  <c r="N483" i="1"/>
  <c r="O483" i="1" s="1"/>
  <c r="L483" i="1"/>
  <c r="M483" i="1" s="1"/>
  <c r="P484" i="1"/>
  <c r="Q484" i="1" s="1"/>
  <c r="N484" i="1"/>
  <c r="O484" i="1" s="1"/>
  <c r="L484" i="1"/>
  <c r="M484" i="1" s="1"/>
  <c r="J484" i="1"/>
  <c r="K484" i="1" s="1"/>
  <c r="R484" i="1"/>
  <c r="S484" i="1" s="1"/>
  <c r="T484" i="1"/>
  <c r="U484" i="1" s="1"/>
  <c r="H484" i="1"/>
  <c r="I484" i="1" s="1"/>
  <c r="V484" i="1"/>
  <c r="W484" i="1" s="1"/>
  <c r="T498" i="1"/>
  <c r="U498" i="1" s="1"/>
  <c r="R498" i="1"/>
  <c r="S498" i="1" s="1"/>
  <c r="P498" i="1"/>
  <c r="Q498" i="1" s="1"/>
  <c r="H498" i="1"/>
  <c r="I498" i="1" s="1"/>
  <c r="N498" i="1"/>
  <c r="O498" i="1" s="1"/>
  <c r="J498" i="1"/>
  <c r="K498" i="1" s="1"/>
  <c r="V498" i="1"/>
  <c r="W498" i="1" s="1"/>
  <c r="L498" i="1"/>
  <c r="M498" i="1" s="1"/>
  <c r="H504" i="1"/>
  <c r="I504" i="1" s="1"/>
  <c r="V504" i="1"/>
  <c r="W504" i="1" s="1"/>
  <c r="P504" i="1"/>
  <c r="Q504" i="1" s="1"/>
  <c r="T504" i="1"/>
  <c r="U504" i="1" s="1"/>
  <c r="L504" i="1"/>
  <c r="M504" i="1" s="1"/>
  <c r="R504" i="1"/>
  <c r="S504" i="1" s="1"/>
  <c r="N504" i="1"/>
  <c r="O504" i="1" s="1"/>
  <c r="J504" i="1"/>
  <c r="K504" i="1" s="1"/>
  <c r="V491" i="1"/>
  <c r="W491" i="1" s="1"/>
  <c r="T491" i="1"/>
  <c r="U491" i="1" s="1"/>
  <c r="N491" i="1"/>
  <c r="O491" i="1" s="1"/>
  <c r="L491" i="1"/>
  <c r="M491" i="1" s="1"/>
  <c r="H491" i="1"/>
  <c r="I491" i="1" s="1"/>
  <c r="R491" i="1"/>
  <c r="S491" i="1" s="1"/>
  <c r="J491" i="1"/>
  <c r="K491" i="1" s="1"/>
  <c r="P491" i="1"/>
  <c r="Q491" i="1" s="1"/>
  <c r="L492" i="1"/>
  <c r="M492" i="1" s="1"/>
  <c r="J492" i="1"/>
  <c r="K492" i="1" s="1"/>
  <c r="H492" i="1"/>
  <c r="I492" i="1" s="1"/>
  <c r="V492" i="1"/>
  <c r="W492" i="1" s="1"/>
  <c r="R492" i="1"/>
  <c r="S492" i="1" s="1"/>
  <c r="P492" i="1"/>
  <c r="Q492" i="1" s="1"/>
  <c r="T492" i="1"/>
  <c r="U492" i="1" s="1"/>
  <c r="N492" i="1"/>
  <c r="O492" i="1" s="1"/>
  <c r="V485" i="1"/>
  <c r="W485" i="1" s="1"/>
  <c r="T485" i="1"/>
  <c r="U485" i="1" s="1"/>
  <c r="N485" i="1"/>
  <c r="O485" i="1" s="1"/>
  <c r="L485" i="1"/>
  <c r="M485" i="1" s="1"/>
  <c r="R485" i="1"/>
  <c r="S485" i="1" s="1"/>
  <c r="H485" i="1"/>
  <c r="I485" i="1" s="1"/>
  <c r="P485" i="1"/>
  <c r="Q485" i="1" s="1"/>
  <c r="J485" i="1"/>
  <c r="K485" i="1" s="1"/>
  <c r="P494" i="1"/>
  <c r="Q494" i="1" s="1"/>
  <c r="N494" i="1"/>
  <c r="O494" i="1" s="1"/>
  <c r="R494" i="1"/>
  <c r="S494" i="1" s="1"/>
  <c r="L494" i="1"/>
  <c r="M494" i="1" s="1"/>
  <c r="J494" i="1"/>
  <c r="K494" i="1" s="1"/>
  <c r="V494" i="1"/>
  <c r="W494" i="1" s="1"/>
  <c r="T494" i="1"/>
  <c r="U494" i="1" s="1"/>
  <c r="H494" i="1"/>
  <c r="I494" i="1" s="1"/>
  <c r="F401" i="1"/>
  <c r="F400" i="1"/>
  <c r="F391" i="1"/>
  <c r="F390" i="1"/>
  <c r="F378" i="1"/>
  <c r="F343" i="1"/>
  <c r="F342" i="1"/>
  <c r="F332" i="1"/>
  <c r="F289" i="1"/>
  <c r="H289" i="1" s="1"/>
  <c r="F288" i="1"/>
  <c r="F274" i="1"/>
  <c r="F271" i="1"/>
  <c r="F229" i="1"/>
  <c r="F228" i="1"/>
  <c r="F227" i="1"/>
  <c r="F211" i="1"/>
  <c r="V211" i="1" s="1"/>
  <c r="F193" i="1"/>
  <c r="F186" i="1"/>
  <c r="V274" i="1" l="1"/>
  <c r="W274" i="1" s="1"/>
  <c r="T274" i="1"/>
  <c r="U274" i="1" s="1"/>
  <c r="R274" i="1"/>
  <c r="S274" i="1" s="1"/>
  <c r="P274" i="1"/>
  <c r="Q274" i="1" s="1"/>
  <c r="N274" i="1"/>
  <c r="O274" i="1" s="1"/>
  <c r="L274" i="1"/>
  <c r="M274" i="1" s="1"/>
  <c r="J274" i="1"/>
  <c r="K274" i="1" s="1"/>
  <c r="H274" i="1"/>
  <c r="I274" i="1" s="1"/>
  <c r="T288" i="1"/>
  <c r="U288" i="1" s="1"/>
  <c r="R288" i="1"/>
  <c r="S288" i="1" s="1"/>
  <c r="P288" i="1"/>
  <c r="Q288" i="1" s="1"/>
  <c r="N288" i="1"/>
  <c r="O288" i="1" s="1"/>
  <c r="L288" i="1"/>
  <c r="M288" i="1" s="1"/>
  <c r="V288" i="1"/>
  <c r="W288" i="1" s="1"/>
  <c r="J288" i="1"/>
  <c r="K288" i="1" s="1"/>
  <c r="H288" i="1"/>
  <c r="I288" i="1" s="1"/>
  <c r="T342" i="1"/>
  <c r="U342" i="1" s="1"/>
  <c r="V342" i="1"/>
  <c r="W342" i="1" s="1"/>
  <c r="L342" i="1"/>
  <c r="M342" i="1" s="1"/>
  <c r="N342" i="1"/>
  <c r="O342" i="1" s="1"/>
  <c r="P342" i="1"/>
  <c r="Q342" i="1" s="1"/>
  <c r="R342" i="1"/>
  <c r="S342" i="1" s="1"/>
  <c r="V227" i="1"/>
  <c r="W227" i="1" s="1"/>
  <c r="R227" i="1"/>
  <c r="S227" i="1" s="1"/>
  <c r="N227" i="1"/>
  <c r="O227" i="1" s="1"/>
  <c r="T227" i="1"/>
  <c r="U227" i="1" s="1"/>
  <c r="P227" i="1"/>
  <c r="Q227" i="1" s="1"/>
  <c r="L227" i="1"/>
  <c r="M227" i="1" s="1"/>
  <c r="H227" i="1"/>
  <c r="I227" i="1" s="1"/>
  <c r="J227" i="1"/>
  <c r="K227" i="1" s="1"/>
  <c r="V343" i="1"/>
  <c r="W343" i="1" s="1"/>
  <c r="L343" i="1"/>
  <c r="M343" i="1" s="1"/>
  <c r="N343" i="1"/>
  <c r="O343" i="1" s="1"/>
  <c r="P343" i="1"/>
  <c r="Q343" i="1" s="1"/>
  <c r="R343" i="1"/>
  <c r="S343" i="1" s="1"/>
  <c r="T343" i="1"/>
  <c r="U343" i="1" s="1"/>
  <c r="H400" i="1"/>
  <c r="I400" i="1" s="1"/>
  <c r="V400" i="1"/>
  <c r="W400" i="1" s="1"/>
  <c r="T400" i="1"/>
  <c r="U400" i="1" s="1"/>
  <c r="R400" i="1"/>
  <c r="S400" i="1" s="1"/>
  <c r="P400" i="1"/>
  <c r="Q400" i="1" s="1"/>
  <c r="N400" i="1"/>
  <c r="O400" i="1" s="1"/>
  <c r="L400" i="1"/>
  <c r="M400" i="1" s="1"/>
  <c r="J400" i="1"/>
  <c r="K400" i="1" s="1"/>
  <c r="H271" i="1"/>
  <c r="I271" i="1" s="1"/>
  <c r="V271" i="1"/>
  <c r="W271" i="1" s="1"/>
  <c r="T271" i="1"/>
  <c r="U271" i="1" s="1"/>
  <c r="R271" i="1"/>
  <c r="S271" i="1" s="1"/>
  <c r="P271" i="1"/>
  <c r="Q271" i="1" s="1"/>
  <c r="N271" i="1"/>
  <c r="O271" i="1" s="1"/>
  <c r="J271" i="1"/>
  <c r="K271" i="1" s="1"/>
  <c r="L271" i="1"/>
  <c r="M271" i="1" s="1"/>
  <c r="T332" i="1"/>
  <c r="U332" i="1" s="1"/>
  <c r="R332" i="1"/>
  <c r="S332" i="1" s="1"/>
  <c r="P332" i="1"/>
  <c r="Q332" i="1" s="1"/>
  <c r="N332" i="1"/>
  <c r="O332" i="1" s="1"/>
  <c r="L332" i="1"/>
  <c r="M332" i="1" s="1"/>
  <c r="V332" i="1"/>
  <c r="W332" i="1" s="1"/>
  <c r="H186" i="1"/>
  <c r="V186" i="1"/>
  <c r="W186" i="1" s="1"/>
  <c r="T186" i="1"/>
  <c r="U186" i="1" s="1"/>
  <c r="R186" i="1"/>
  <c r="S186" i="1" s="1"/>
  <c r="N186" i="1"/>
  <c r="O186" i="1" s="1"/>
  <c r="J186" i="1"/>
  <c r="P186" i="1"/>
  <c r="Q186" i="1" s="1"/>
  <c r="L186" i="1"/>
  <c r="M186" i="1" s="1"/>
  <c r="V193" i="1"/>
  <c r="W193" i="1" s="1"/>
  <c r="R193" i="1"/>
  <c r="S193" i="1" s="1"/>
  <c r="L193" i="1"/>
  <c r="M193" i="1" s="1"/>
  <c r="J193" i="1"/>
  <c r="K193" i="1" s="1"/>
  <c r="N193" i="1"/>
  <c r="O193" i="1" s="1"/>
  <c r="P193" i="1"/>
  <c r="Q193" i="1" s="1"/>
  <c r="T193" i="1"/>
  <c r="U193" i="1" s="1"/>
  <c r="N378" i="1"/>
  <c r="O378" i="1" s="1"/>
  <c r="L378" i="1"/>
  <c r="M378" i="1" s="1"/>
  <c r="V378" i="1"/>
  <c r="W378" i="1" s="1"/>
  <c r="T378" i="1"/>
  <c r="U378" i="1" s="1"/>
  <c r="R378" i="1"/>
  <c r="S378" i="1" s="1"/>
  <c r="P378" i="1"/>
  <c r="Q378" i="1" s="1"/>
  <c r="L390" i="1"/>
  <c r="M390" i="1" s="1"/>
  <c r="J390" i="1"/>
  <c r="K390" i="1" s="1"/>
  <c r="H390" i="1"/>
  <c r="I390" i="1" s="1"/>
  <c r="V390" i="1"/>
  <c r="W390" i="1" s="1"/>
  <c r="T390" i="1"/>
  <c r="U390" i="1" s="1"/>
  <c r="R390" i="1"/>
  <c r="S390" i="1" s="1"/>
  <c r="P390" i="1"/>
  <c r="Q390" i="1" s="1"/>
  <c r="N390" i="1"/>
  <c r="O390" i="1" s="1"/>
  <c r="N391" i="1"/>
  <c r="O391" i="1" s="1"/>
  <c r="L391" i="1"/>
  <c r="M391" i="1" s="1"/>
  <c r="J391" i="1"/>
  <c r="K391" i="1" s="1"/>
  <c r="H391" i="1"/>
  <c r="I391" i="1" s="1"/>
  <c r="V391" i="1"/>
  <c r="W391" i="1" s="1"/>
  <c r="T391" i="1"/>
  <c r="U391" i="1" s="1"/>
  <c r="R391" i="1"/>
  <c r="S391" i="1" s="1"/>
  <c r="P391" i="1"/>
  <c r="Q391" i="1" s="1"/>
  <c r="J228" i="1"/>
  <c r="K228" i="1" s="1"/>
  <c r="H228" i="1"/>
  <c r="I228" i="1" s="1"/>
  <c r="T228" i="1"/>
  <c r="U228" i="1" s="1"/>
  <c r="P228" i="1"/>
  <c r="Q228" i="1" s="1"/>
  <c r="N228" i="1"/>
  <c r="O228" i="1" s="1"/>
  <c r="L228" i="1"/>
  <c r="M228" i="1" s="1"/>
  <c r="V228" i="1"/>
  <c r="W228" i="1" s="1"/>
  <c r="R228" i="1"/>
  <c r="S228" i="1" s="1"/>
  <c r="N229" i="1"/>
  <c r="O229" i="1" s="1"/>
  <c r="L229" i="1"/>
  <c r="M229" i="1" s="1"/>
  <c r="H229" i="1"/>
  <c r="I229" i="1" s="1"/>
  <c r="R229" i="1"/>
  <c r="S229" i="1" s="1"/>
  <c r="P229" i="1"/>
  <c r="Q229" i="1" s="1"/>
  <c r="J229" i="1"/>
  <c r="K229" i="1" s="1"/>
  <c r="V229" i="1"/>
  <c r="W229" i="1" s="1"/>
  <c r="T229" i="1"/>
  <c r="U229" i="1" s="1"/>
  <c r="H401" i="1"/>
  <c r="I401" i="1" s="1"/>
  <c r="V401" i="1"/>
  <c r="W401" i="1" s="1"/>
  <c r="T401" i="1"/>
  <c r="U401" i="1" s="1"/>
  <c r="R401" i="1"/>
  <c r="S401" i="1" s="1"/>
  <c r="P401" i="1"/>
  <c r="Q401" i="1" s="1"/>
  <c r="N401" i="1"/>
  <c r="O401" i="1" s="1"/>
  <c r="L401" i="1"/>
  <c r="M401" i="1" s="1"/>
  <c r="J401" i="1"/>
  <c r="K401" i="1" s="1"/>
  <c r="I289" i="1"/>
  <c r="H211" i="1"/>
  <c r="I211" i="1" s="1"/>
  <c r="P211" i="1"/>
  <c r="R211" i="1"/>
  <c r="J211" i="1"/>
  <c r="N211" i="1"/>
  <c r="T211" i="1"/>
  <c r="L211" i="1"/>
  <c r="G14" i="1"/>
  <c r="U14" i="1" l="1"/>
  <c r="S14" i="1"/>
  <c r="Q14" i="1"/>
  <c r="O14" i="1"/>
  <c r="M14" i="1"/>
  <c r="K14" i="1"/>
  <c r="I14" i="1"/>
  <c r="F348" i="1" l="1"/>
  <c r="T348" i="1" l="1"/>
  <c r="U348" i="1" s="1"/>
  <c r="V348" i="1"/>
  <c r="W348" i="1" s="1"/>
  <c r="L348" i="1"/>
  <c r="M348" i="1" s="1"/>
  <c r="N348" i="1"/>
  <c r="O348" i="1" s="1"/>
  <c r="P348" i="1"/>
  <c r="Q348" i="1" s="1"/>
  <c r="R348" i="1"/>
  <c r="S348" i="1" s="1"/>
  <c r="G28" i="1"/>
  <c r="F625" i="1"/>
  <c r="F547" i="1"/>
  <c r="F534" i="1"/>
  <c r="F499" i="1"/>
  <c r="F497" i="1"/>
  <c r="F493" i="1"/>
  <c r="F488" i="1"/>
  <c r="F487" i="1"/>
  <c r="R531" i="1" l="1"/>
  <c r="S531" i="1" s="1"/>
  <c r="T531" i="1"/>
  <c r="U531" i="1" s="1"/>
  <c r="V531" i="1"/>
  <c r="W531" i="1" s="1"/>
  <c r="H531" i="1"/>
  <c r="I531" i="1" s="1"/>
  <c r="J531" i="1"/>
  <c r="K531" i="1" s="1"/>
  <c r="L531" i="1"/>
  <c r="M531" i="1" s="1"/>
  <c r="N531" i="1"/>
  <c r="O531" i="1" s="1"/>
  <c r="P531" i="1"/>
  <c r="Q531" i="1" s="1"/>
  <c r="J547" i="1"/>
  <c r="K547" i="1" s="1"/>
  <c r="V547" i="1"/>
  <c r="W547" i="1" s="1"/>
  <c r="L547" i="1"/>
  <c r="M547" i="1" s="1"/>
  <c r="H547" i="1"/>
  <c r="I547" i="1" s="1"/>
  <c r="N547" i="1"/>
  <c r="O547" i="1" s="1"/>
  <c r="P547" i="1"/>
  <c r="Q547" i="1" s="1"/>
  <c r="R547" i="1"/>
  <c r="S547" i="1" s="1"/>
  <c r="T547" i="1"/>
  <c r="U547" i="1" s="1"/>
  <c r="N534" i="1"/>
  <c r="O534" i="1" s="1"/>
  <c r="P534" i="1"/>
  <c r="Q534" i="1" s="1"/>
  <c r="R534" i="1"/>
  <c r="S534" i="1" s="1"/>
  <c r="T534" i="1"/>
  <c r="U534" i="1" s="1"/>
  <c r="V534" i="1"/>
  <c r="W534" i="1" s="1"/>
  <c r="J534" i="1"/>
  <c r="K534" i="1" s="1"/>
  <c r="H534" i="1"/>
  <c r="I534" i="1" s="1"/>
  <c r="L534" i="1"/>
  <c r="M534" i="1" s="1"/>
  <c r="N511" i="1"/>
  <c r="O511" i="1" s="1"/>
  <c r="J511" i="1"/>
  <c r="K511" i="1" s="1"/>
  <c r="L511" i="1"/>
  <c r="M511" i="1" s="1"/>
  <c r="H511" i="1"/>
  <c r="I511" i="1" s="1"/>
  <c r="R487" i="1"/>
  <c r="S487" i="1" s="1"/>
  <c r="P487" i="1"/>
  <c r="Q487" i="1" s="1"/>
  <c r="V487" i="1"/>
  <c r="W487" i="1" s="1"/>
  <c r="T487" i="1"/>
  <c r="U487" i="1" s="1"/>
  <c r="N487" i="1"/>
  <c r="O487" i="1" s="1"/>
  <c r="L487" i="1"/>
  <c r="M487" i="1" s="1"/>
  <c r="J487" i="1"/>
  <c r="K487" i="1" s="1"/>
  <c r="H487" i="1"/>
  <c r="I487" i="1" s="1"/>
  <c r="H488" i="1"/>
  <c r="I488" i="1" s="1"/>
  <c r="V488" i="1"/>
  <c r="W488" i="1" s="1"/>
  <c r="L488" i="1"/>
  <c r="M488" i="1" s="1"/>
  <c r="T488" i="1"/>
  <c r="U488" i="1" s="1"/>
  <c r="N488" i="1"/>
  <c r="O488" i="1" s="1"/>
  <c r="J488" i="1"/>
  <c r="K488" i="1" s="1"/>
  <c r="R488" i="1"/>
  <c r="S488" i="1" s="1"/>
  <c r="P488" i="1"/>
  <c r="Q488" i="1" s="1"/>
  <c r="L493" i="1"/>
  <c r="M493" i="1" s="1"/>
  <c r="J493" i="1"/>
  <c r="K493" i="1" s="1"/>
  <c r="H493" i="1"/>
  <c r="I493" i="1" s="1"/>
  <c r="N493" i="1"/>
  <c r="O493" i="1" s="1"/>
  <c r="R493" i="1"/>
  <c r="S493" i="1" s="1"/>
  <c r="V493" i="1"/>
  <c r="W493" i="1" s="1"/>
  <c r="T493" i="1"/>
  <c r="U493" i="1" s="1"/>
  <c r="P493" i="1"/>
  <c r="Q493" i="1" s="1"/>
  <c r="H497" i="1"/>
  <c r="I497" i="1" s="1"/>
  <c r="V497" i="1"/>
  <c r="W497" i="1" s="1"/>
  <c r="L497" i="1"/>
  <c r="M497" i="1" s="1"/>
  <c r="T497" i="1"/>
  <c r="U497" i="1" s="1"/>
  <c r="P497" i="1"/>
  <c r="Q497" i="1" s="1"/>
  <c r="N497" i="1"/>
  <c r="O497" i="1" s="1"/>
  <c r="J497" i="1"/>
  <c r="K497" i="1" s="1"/>
  <c r="R497" i="1"/>
  <c r="S497" i="1" s="1"/>
  <c r="V499" i="1"/>
  <c r="W499" i="1" s="1"/>
  <c r="T499" i="1"/>
  <c r="U499" i="1" s="1"/>
  <c r="R499" i="1"/>
  <c r="S499" i="1" s="1"/>
  <c r="N499" i="1"/>
  <c r="O499" i="1" s="1"/>
  <c r="L499" i="1"/>
  <c r="M499" i="1" s="1"/>
  <c r="J499" i="1"/>
  <c r="K499" i="1" s="1"/>
  <c r="H499" i="1"/>
  <c r="I499" i="1" s="1"/>
  <c r="P499" i="1"/>
  <c r="Q499" i="1" s="1"/>
  <c r="P503" i="1"/>
  <c r="Q503" i="1" s="1"/>
  <c r="N503" i="1"/>
  <c r="O503" i="1" s="1"/>
  <c r="T503" i="1"/>
  <c r="U503" i="1" s="1"/>
  <c r="L503" i="1"/>
  <c r="M503" i="1" s="1"/>
  <c r="J503" i="1"/>
  <c r="K503" i="1" s="1"/>
  <c r="R503" i="1"/>
  <c r="S503" i="1" s="1"/>
  <c r="H503" i="1"/>
  <c r="I503" i="1" s="1"/>
  <c r="V503" i="1"/>
  <c r="W503" i="1" s="1"/>
  <c r="L510" i="1"/>
  <c r="M510" i="1" s="1"/>
  <c r="J510" i="1"/>
  <c r="K510" i="1" s="1"/>
  <c r="H510" i="1"/>
  <c r="I510" i="1" s="1"/>
  <c r="V510" i="1"/>
  <c r="W510" i="1" s="1"/>
  <c r="P510" i="1"/>
  <c r="Q510" i="1" s="1"/>
  <c r="R510" i="1"/>
  <c r="S510" i="1" s="1"/>
  <c r="T510" i="1"/>
  <c r="U510" i="1" s="1"/>
  <c r="N510" i="1"/>
  <c r="O510" i="1" s="1"/>
  <c r="G483" i="1"/>
  <c r="F429" i="1"/>
  <c r="F382" i="1"/>
  <c r="F379" i="1"/>
  <c r="F375" i="1"/>
  <c r="F373" i="1"/>
  <c r="F372" i="1"/>
  <c r="F368" i="1"/>
  <c r="V382" i="1" l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J382" i="1"/>
  <c r="K382" i="1" s="1"/>
  <c r="H382" i="1"/>
  <c r="I382" i="1" s="1"/>
  <c r="N375" i="1"/>
  <c r="O375" i="1" s="1"/>
  <c r="P375" i="1"/>
  <c r="Q375" i="1" s="1"/>
  <c r="R375" i="1"/>
  <c r="S375" i="1" s="1"/>
  <c r="T375" i="1"/>
  <c r="U375" i="1" s="1"/>
  <c r="V375" i="1"/>
  <c r="W375" i="1" s="1"/>
  <c r="L375" i="1"/>
  <c r="M375" i="1" s="1"/>
  <c r="V429" i="1"/>
  <c r="W429" i="1" s="1"/>
  <c r="T429" i="1"/>
  <c r="U429" i="1" s="1"/>
  <c r="R429" i="1"/>
  <c r="S429" i="1" s="1"/>
  <c r="P429" i="1"/>
  <c r="Q429" i="1" s="1"/>
  <c r="N429" i="1"/>
  <c r="O429" i="1" s="1"/>
  <c r="L429" i="1"/>
  <c r="M429" i="1" s="1"/>
  <c r="J429" i="1"/>
  <c r="K429" i="1" s="1"/>
  <c r="J379" i="1"/>
  <c r="K379" i="1" s="1"/>
  <c r="H379" i="1"/>
  <c r="I379" i="1" s="1"/>
  <c r="R368" i="1"/>
  <c r="S368" i="1" s="1"/>
  <c r="T368" i="1"/>
  <c r="U368" i="1" s="1"/>
  <c r="V368" i="1"/>
  <c r="W368" i="1" s="1"/>
  <c r="L368" i="1"/>
  <c r="M368" i="1" s="1"/>
  <c r="N368" i="1"/>
  <c r="O368" i="1" s="1"/>
  <c r="P368" i="1"/>
  <c r="Q368" i="1" s="1"/>
  <c r="R372" i="1"/>
  <c r="S372" i="1" s="1"/>
  <c r="T372" i="1"/>
  <c r="U372" i="1" s="1"/>
  <c r="V372" i="1"/>
  <c r="W372" i="1" s="1"/>
  <c r="L372" i="1"/>
  <c r="M372" i="1" s="1"/>
  <c r="N372" i="1"/>
  <c r="O372" i="1" s="1"/>
  <c r="P372" i="1"/>
  <c r="Q372" i="1" s="1"/>
  <c r="V373" i="1"/>
  <c r="W373" i="1" s="1"/>
  <c r="L373" i="1"/>
  <c r="M373" i="1" s="1"/>
  <c r="N373" i="1"/>
  <c r="O373" i="1" s="1"/>
  <c r="P373" i="1"/>
  <c r="Q373" i="1" s="1"/>
  <c r="R373" i="1"/>
  <c r="S373" i="1" s="1"/>
  <c r="T373" i="1"/>
  <c r="U373" i="1" s="1"/>
  <c r="F367" i="1"/>
  <c r="F364" i="1"/>
  <c r="F362" i="1"/>
  <c r="F358" i="1"/>
  <c r="F357" i="1"/>
  <c r="F355" i="1"/>
  <c r="F338" i="1"/>
  <c r="F337" i="1"/>
  <c r="F335" i="1"/>
  <c r="F329" i="1"/>
  <c r="F327" i="1"/>
  <c r="F326" i="1"/>
  <c r="F325" i="1"/>
  <c r="F323" i="1"/>
  <c r="F322" i="1"/>
  <c r="F321" i="1"/>
  <c r="F320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6" i="1"/>
  <c r="F287" i="1"/>
  <c r="F255" i="1"/>
  <c r="H255" i="1" s="1"/>
  <c r="I255" i="1" s="1"/>
  <c r="F254" i="1"/>
  <c r="F253" i="1"/>
  <c r="F251" i="1"/>
  <c r="F233" i="1"/>
  <c r="F231" i="1"/>
  <c r="F219" i="1"/>
  <c r="F216" i="1"/>
  <c r="F215" i="1"/>
  <c r="F214" i="1"/>
  <c r="F185" i="1"/>
  <c r="F164" i="1"/>
  <c r="F161" i="1"/>
  <c r="F160" i="1"/>
  <c r="F145" i="1"/>
  <c r="F103" i="1"/>
  <c r="F102" i="1"/>
  <c r="F101" i="1"/>
  <c r="F100" i="1"/>
  <c r="F99" i="1"/>
  <c r="F98" i="1"/>
  <c r="F95" i="1"/>
  <c r="L145" i="1" l="1"/>
  <c r="J145" i="1"/>
  <c r="H145" i="1"/>
  <c r="R161" i="1"/>
  <c r="P161" i="1"/>
  <c r="N161" i="1"/>
  <c r="L161" i="1"/>
  <c r="J161" i="1"/>
  <c r="H161" i="1"/>
  <c r="N99" i="1"/>
  <c r="O99" i="1" s="1"/>
  <c r="L99" i="1"/>
  <c r="M99" i="1" s="1"/>
  <c r="J99" i="1"/>
  <c r="K99" i="1" s="1"/>
  <c r="H99" i="1"/>
  <c r="I99" i="1" s="1"/>
  <c r="P99" i="1"/>
  <c r="Q99" i="1" s="1"/>
  <c r="T99" i="1"/>
  <c r="U99" i="1" s="1"/>
  <c r="R99" i="1"/>
  <c r="S99" i="1" s="1"/>
  <c r="V99" i="1"/>
  <c r="W99" i="1" s="1"/>
  <c r="L357" i="1"/>
  <c r="M357" i="1" s="1"/>
  <c r="N357" i="1"/>
  <c r="O357" i="1" s="1"/>
  <c r="P357" i="1"/>
  <c r="Q357" i="1" s="1"/>
  <c r="R357" i="1"/>
  <c r="S357" i="1" s="1"/>
  <c r="T357" i="1"/>
  <c r="U357" i="1" s="1"/>
  <c r="V357" i="1"/>
  <c r="W357" i="1" s="1"/>
  <c r="V101" i="1"/>
  <c r="W101" i="1" s="1"/>
  <c r="T101" i="1"/>
  <c r="U101" i="1" s="1"/>
  <c r="R101" i="1"/>
  <c r="S101" i="1" s="1"/>
  <c r="P101" i="1"/>
  <c r="Q101" i="1" s="1"/>
  <c r="N101" i="1"/>
  <c r="O101" i="1" s="1"/>
  <c r="H101" i="1"/>
  <c r="I101" i="1" s="1"/>
  <c r="L101" i="1"/>
  <c r="M101" i="1" s="1"/>
  <c r="J101" i="1"/>
  <c r="K101" i="1" s="1"/>
  <c r="R231" i="1"/>
  <c r="S231" i="1" s="1"/>
  <c r="P231" i="1"/>
  <c r="Q231" i="1" s="1"/>
  <c r="L231" i="1"/>
  <c r="M231" i="1" s="1"/>
  <c r="H231" i="1"/>
  <c r="I231" i="1" s="1"/>
  <c r="N231" i="1"/>
  <c r="O231" i="1" s="1"/>
  <c r="J231" i="1"/>
  <c r="K231" i="1" s="1"/>
  <c r="V231" i="1"/>
  <c r="W231" i="1" s="1"/>
  <c r="T231" i="1"/>
  <c r="U231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T321" i="1"/>
  <c r="U321" i="1" s="1"/>
  <c r="V321" i="1"/>
  <c r="W321" i="1" s="1"/>
  <c r="L321" i="1"/>
  <c r="M321" i="1" s="1"/>
  <c r="N321" i="1"/>
  <c r="O321" i="1" s="1"/>
  <c r="P321" i="1"/>
  <c r="Q321" i="1" s="1"/>
  <c r="R321" i="1"/>
  <c r="S321" i="1" s="1"/>
  <c r="N358" i="1"/>
  <c r="L358" i="1"/>
  <c r="J358" i="1"/>
  <c r="H358" i="1"/>
  <c r="I358" i="1" s="1"/>
  <c r="V358" i="1"/>
  <c r="W358" i="1" s="1"/>
  <c r="T358" i="1"/>
  <c r="R358" i="1"/>
  <c r="P358" i="1"/>
  <c r="Q358" i="1" s="1"/>
  <c r="J98" i="1"/>
  <c r="K98" i="1" s="1"/>
  <c r="H98" i="1"/>
  <c r="I98" i="1" s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L313" i="1"/>
  <c r="M313" i="1" s="1"/>
  <c r="N313" i="1"/>
  <c r="O313" i="1" s="1"/>
  <c r="P313" i="1"/>
  <c r="Q313" i="1" s="1"/>
  <c r="R313" i="1"/>
  <c r="S313" i="1" s="1"/>
  <c r="T313" i="1"/>
  <c r="U313" i="1" s="1"/>
  <c r="V313" i="1"/>
  <c r="W313" i="1" s="1"/>
  <c r="N314" i="1"/>
  <c r="O314" i="1" s="1"/>
  <c r="P314" i="1"/>
  <c r="Q314" i="1" s="1"/>
  <c r="R314" i="1"/>
  <c r="S314" i="1" s="1"/>
  <c r="T314" i="1"/>
  <c r="U314" i="1" s="1"/>
  <c r="V314" i="1"/>
  <c r="W314" i="1" s="1"/>
  <c r="L314" i="1"/>
  <c r="M314" i="1" s="1"/>
  <c r="L322" i="1"/>
  <c r="M322" i="1" s="1"/>
  <c r="N322" i="1"/>
  <c r="O322" i="1" s="1"/>
  <c r="P322" i="1"/>
  <c r="Q322" i="1" s="1"/>
  <c r="R322" i="1"/>
  <c r="S322" i="1" s="1"/>
  <c r="T322" i="1"/>
  <c r="U322" i="1" s="1"/>
  <c r="V322" i="1"/>
  <c r="W322" i="1" s="1"/>
  <c r="H103" i="1"/>
  <c r="I103" i="1" s="1"/>
  <c r="V103" i="1"/>
  <c r="W103" i="1" s="1"/>
  <c r="T103" i="1"/>
  <c r="U103" i="1" s="1"/>
  <c r="L103" i="1"/>
  <c r="M103" i="1" s="1"/>
  <c r="R103" i="1"/>
  <c r="S103" i="1" s="1"/>
  <c r="N103" i="1"/>
  <c r="O103" i="1" s="1"/>
  <c r="P103" i="1"/>
  <c r="Q103" i="1" s="1"/>
  <c r="J103" i="1"/>
  <c r="K103" i="1" s="1"/>
  <c r="T216" i="1"/>
  <c r="U216" i="1" s="1"/>
  <c r="R216" i="1"/>
  <c r="S216" i="1" s="1"/>
  <c r="P216" i="1"/>
  <c r="Q216" i="1" s="1"/>
  <c r="N216" i="1"/>
  <c r="O216" i="1" s="1"/>
  <c r="L216" i="1"/>
  <c r="M216" i="1" s="1"/>
  <c r="J216" i="1"/>
  <c r="K216" i="1" s="1"/>
  <c r="V216" i="1"/>
  <c r="W216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V364" i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T100" i="1"/>
  <c r="U100" i="1" s="1"/>
  <c r="V100" i="1"/>
  <c r="W100" i="1" s="1"/>
  <c r="V102" i="1"/>
  <c r="W102" i="1" s="1"/>
  <c r="H102" i="1"/>
  <c r="I102" i="1" s="1"/>
  <c r="T102" i="1"/>
  <c r="U102" i="1" s="1"/>
  <c r="R102" i="1"/>
  <c r="S102" i="1" s="1"/>
  <c r="P102" i="1"/>
  <c r="Q102" i="1" s="1"/>
  <c r="J102" i="1"/>
  <c r="K102" i="1" s="1"/>
  <c r="N102" i="1"/>
  <c r="O102" i="1" s="1"/>
  <c r="L102" i="1"/>
  <c r="M102" i="1" s="1"/>
  <c r="N323" i="1"/>
  <c r="O323" i="1" s="1"/>
  <c r="P323" i="1"/>
  <c r="Q323" i="1" s="1"/>
  <c r="R323" i="1"/>
  <c r="S323" i="1" s="1"/>
  <c r="T323" i="1"/>
  <c r="U323" i="1" s="1"/>
  <c r="V323" i="1"/>
  <c r="W323" i="1" s="1"/>
  <c r="L323" i="1"/>
  <c r="M323" i="1" s="1"/>
  <c r="V325" i="1"/>
  <c r="W325" i="1" s="1"/>
  <c r="L325" i="1"/>
  <c r="M325" i="1" s="1"/>
  <c r="N325" i="1"/>
  <c r="O325" i="1" s="1"/>
  <c r="P325" i="1"/>
  <c r="Q325" i="1" s="1"/>
  <c r="R325" i="1"/>
  <c r="S325" i="1" s="1"/>
  <c r="T325" i="1"/>
  <c r="U325" i="1" s="1"/>
  <c r="L309" i="1"/>
  <c r="M309" i="1" s="1"/>
  <c r="N309" i="1"/>
  <c r="O309" i="1" s="1"/>
  <c r="P309" i="1"/>
  <c r="Q309" i="1" s="1"/>
  <c r="R309" i="1"/>
  <c r="S309" i="1" s="1"/>
  <c r="T309" i="1"/>
  <c r="U309" i="1" s="1"/>
  <c r="V309" i="1"/>
  <c r="W309" i="1" s="1"/>
  <c r="N327" i="1"/>
  <c r="O327" i="1" s="1"/>
  <c r="P327" i="1"/>
  <c r="Q327" i="1" s="1"/>
  <c r="R327" i="1"/>
  <c r="S327" i="1" s="1"/>
  <c r="T327" i="1"/>
  <c r="U327" i="1" s="1"/>
  <c r="V327" i="1"/>
  <c r="W327" i="1" s="1"/>
  <c r="L327" i="1"/>
  <c r="M327" i="1" s="1"/>
  <c r="R362" i="1"/>
  <c r="S362" i="1" s="1"/>
  <c r="P362" i="1"/>
  <c r="Q362" i="1" s="1"/>
  <c r="N362" i="1"/>
  <c r="O362" i="1" s="1"/>
  <c r="L362" i="1"/>
  <c r="M362" i="1" s="1"/>
  <c r="V362" i="1"/>
  <c r="W362" i="1" s="1"/>
  <c r="T362" i="1"/>
  <c r="U362" i="1" s="1"/>
  <c r="N367" i="1"/>
  <c r="O367" i="1" s="1"/>
  <c r="P367" i="1"/>
  <c r="Q367" i="1" s="1"/>
  <c r="R367" i="1"/>
  <c r="S367" i="1" s="1"/>
  <c r="T367" i="1"/>
  <c r="U367" i="1" s="1"/>
  <c r="V367" i="1"/>
  <c r="W367" i="1" s="1"/>
  <c r="L367" i="1"/>
  <c r="M367" i="1" s="1"/>
  <c r="L287" i="1"/>
  <c r="M287" i="1" s="1"/>
  <c r="J287" i="1"/>
  <c r="K287" i="1" s="1"/>
  <c r="H287" i="1"/>
  <c r="I287" i="1" s="1"/>
  <c r="V287" i="1"/>
  <c r="W287" i="1" s="1"/>
  <c r="T287" i="1"/>
  <c r="U287" i="1" s="1"/>
  <c r="R287" i="1"/>
  <c r="S287" i="1" s="1"/>
  <c r="P287" i="1"/>
  <c r="Q287" i="1" s="1"/>
  <c r="N287" i="1"/>
  <c r="O287" i="1" s="1"/>
  <c r="R329" i="1"/>
  <c r="S329" i="1" s="1"/>
  <c r="P329" i="1"/>
  <c r="Q329" i="1" s="1"/>
  <c r="N329" i="1"/>
  <c r="O329" i="1" s="1"/>
  <c r="L329" i="1"/>
  <c r="M329" i="1" s="1"/>
  <c r="J329" i="1"/>
  <c r="K329" i="1" s="1"/>
  <c r="H329" i="1"/>
  <c r="I329" i="1" s="1"/>
  <c r="V329" i="1"/>
  <c r="W329" i="1" s="1"/>
  <c r="T329" i="1"/>
  <c r="U329" i="1" s="1"/>
  <c r="T215" i="1"/>
  <c r="U215" i="1" s="1"/>
  <c r="R215" i="1"/>
  <c r="S215" i="1" s="1"/>
  <c r="N215" i="1"/>
  <c r="O215" i="1" s="1"/>
  <c r="L215" i="1"/>
  <c r="M215" i="1" s="1"/>
  <c r="J215" i="1"/>
  <c r="K215" i="1" s="1"/>
  <c r="P215" i="1"/>
  <c r="Q215" i="1" s="1"/>
  <c r="V215" i="1"/>
  <c r="W215" i="1" s="1"/>
  <c r="T338" i="1"/>
  <c r="U338" i="1" s="1"/>
  <c r="R338" i="1"/>
  <c r="S338" i="1" s="1"/>
  <c r="P338" i="1"/>
  <c r="Q338" i="1" s="1"/>
  <c r="N338" i="1"/>
  <c r="O338" i="1" s="1"/>
  <c r="L338" i="1"/>
  <c r="M338" i="1" s="1"/>
  <c r="V338" i="1"/>
  <c r="W338" i="1" s="1"/>
  <c r="R302" i="1"/>
  <c r="S302" i="1" s="1"/>
  <c r="P302" i="1"/>
  <c r="Q302" i="1" s="1"/>
  <c r="N302" i="1"/>
  <c r="O302" i="1" s="1"/>
  <c r="L302" i="1"/>
  <c r="M302" i="1" s="1"/>
  <c r="V302" i="1"/>
  <c r="W302" i="1" s="1"/>
  <c r="T302" i="1"/>
  <c r="U302" i="1" s="1"/>
  <c r="P320" i="1"/>
  <c r="Q320" i="1" s="1"/>
  <c r="R320" i="1"/>
  <c r="S320" i="1" s="1"/>
  <c r="T320" i="1"/>
  <c r="U320" i="1" s="1"/>
  <c r="V320" i="1"/>
  <c r="W320" i="1" s="1"/>
  <c r="L320" i="1"/>
  <c r="M320" i="1" s="1"/>
  <c r="N320" i="1"/>
  <c r="O320" i="1" s="1"/>
  <c r="P305" i="1"/>
  <c r="Q305" i="1" s="1"/>
  <c r="N305" i="1"/>
  <c r="O305" i="1" s="1"/>
  <c r="L305" i="1"/>
  <c r="M305" i="1" s="1"/>
  <c r="V305" i="1"/>
  <c r="W305" i="1" s="1"/>
  <c r="T305" i="1"/>
  <c r="U305" i="1" s="1"/>
  <c r="R305" i="1"/>
  <c r="S305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T253" i="1"/>
  <c r="U253" i="1" s="1"/>
  <c r="V253" i="1"/>
  <c r="W253" i="1" s="1"/>
  <c r="H253" i="1"/>
  <c r="I253" i="1" s="1"/>
  <c r="J253" i="1"/>
  <c r="K253" i="1" s="1"/>
  <c r="L253" i="1"/>
  <c r="M253" i="1" s="1"/>
  <c r="N253" i="1"/>
  <c r="O253" i="1" s="1"/>
  <c r="P253" i="1"/>
  <c r="Q253" i="1" s="1"/>
  <c r="R253" i="1"/>
  <c r="S253" i="1" s="1"/>
  <c r="L160" i="1"/>
  <c r="M160" i="1" s="1"/>
  <c r="J160" i="1"/>
  <c r="K160" i="1" s="1"/>
  <c r="T160" i="1"/>
  <c r="U160" i="1" s="1"/>
  <c r="R160" i="1"/>
  <c r="S160" i="1" s="1"/>
  <c r="P160" i="1"/>
  <c r="Q160" i="1" s="1"/>
  <c r="V160" i="1"/>
  <c r="W160" i="1" s="1"/>
  <c r="N160" i="1"/>
  <c r="O160" i="1" s="1"/>
  <c r="N310" i="1"/>
  <c r="O310" i="1" s="1"/>
  <c r="P310" i="1"/>
  <c r="Q310" i="1" s="1"/>
  <c r="R310" i="1"/>
  <c r="S310" i="1" s="1"/>
  <c r="T310" i="1"/>
  <c r="U310" i="1" s="1"/>
  <c r="V310" i="1"/>
  <c r="W310" i="1" s="1"/>
  <c r="L310" i="1"/>
  <c r="M310" i="1" s="1"/>
  <c r="N185" i="1"/>
  <c r="O185" i="1" s="1"/>
  <c r="L185" i="1"/>
  <c r="M185" i="1" s="1"/>
  <c r="P185" i="1"/>
  <c r="Q185" i="1" s="1"/>
  <c r="V185" i="1"/>
  <c r="W185" i="1" s="1"/>
  <c r="T185" i="1"/>
  <c r="U185" i="1" s="1"/>
  <c r="R185" i="1"/>
  <c r="S185" i="1" s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P311" i="1"/>
  <c r="Q311" i="1" s="1"/>
  <c r="R311" i="1"/>
  <c r="S311" i="1" s="1"/>
  <c r="T311" i="1"/>
  <c r="U311" i="1" s="1"/>
  <c r="V311" i="1"/>
  <c r="W311" i="1" s="1"/>
  <c r="L311" i="1"/>
  <c r="M311" i="1" s="1"/>
  <c r="N311" i="1"/>
  <c r="O311" i="1" s="1"/>
  <c r="V335" i="1"/>
  <c r="T335" i="1"/>
  <c r="U335" i="1" s="1"/>
  <c r="R335" i="1"/>
  <c r="S335" i="1" s="1"/>
  <c r="P335" i="1"/>
  <c r="Q335" i="1" s="1"/>
  <c r="N335" i="1"/>
  <c r="O335" i="1" s="1"/>
  <c r="L335" i="1"/>
  <c r="M335" i="1" s="1"/>
  <c r="T301" i="1"/>
  <c r="U301" i="1" s="1"/>
  <c r="V301" i="1"/>
  <c r="W301" i="1" s="1"/>
  <c r="P301" i="1"/>
  <c r="Q301" i="1" s="1"/>
  <c r="L301" i="1"/>
  <c r="M301" i="1" s="1"/>
  <c r="N301" i="1"/>
  <c r="O301" i="1" s="1"/>
  <c r="R301" i="1"/>
  <c r="V355" i="1"/>
  <c r="W355" i="1" s="1"/>
  <c r="L355" i="1"/>
  <c r="M355" i="1" s="1"/>
  <c r="N355" i="1"/>
  <c r="O355" i="1" s="1"/>
  <c r="P355" i="1"/>
  <c r="Q355" i="1" s="1"/>
  <c r="R355" i="1"/>
  <c r="S355" i="1" s="1"/>
  <c r="T355" i="1"/>
  <c r="U355" i="1" s="1"/>
  <c r="T219" i="1"/>
  <c r="U219" i="1" s="1"/>
  <c r="P219" i="1"/>
  <c r="Q219" i="1" s="1"/>
  <c r="N219" i="1"/>
  <c r="O219" i="1" s="1"/>
  <c r="L219" i="1"/>
  <c r="M219" i="1" s="1"/>
  <c r="V219" i="1"/>
  <c r="W219" i="1" s="1"/>
  <c r="R219" i="1"/>
  <c r="S219" i="1" s="1"/>
  <c r="J219" i="1"/>
  <c r="K219" i="1" s="1"/>
  <c r="V233" i="1"/>
  <c r="W233" i="1" s="1"/>
  <c r="R233" i="1"/>
  <c r="S233" i="1" s="1"/>
  <c r="P233" i="1"/>
  <c r="Q233" i="1" s="1"/>
  <c r="N233" i="1"/>
  <c r="O233" i="1" s="1"/>
  <c r="L233" i="1"/>
  <c r="M233" i="1" s="1"/>
  <c r="H233" i="1"/>
  <c r="I233" i="1" s="1"/>
  <c r="J233" i="1"/>
  <c r="K233" i="1" s="1"/>
  <c r="T233" i="1"/>
  <c r="U233" i="1" s="1"/>
  <c r="J251" i="1"/>
  <c r="K251" i="1" s="1"/>
  <c r="L251" i="1"/>
  <c r="M251" i="1" s="1"/>
  <c r="N251" i="1"/>
  <c r="O251" i="1" s="1"/>
  <c r="P251" i="1"/>
  <c r="Q251" i="1" s="1"/>
  <c r="R251" i="1"/>
  <c r="S251" i="1" s="1"/>
  <c r="T251" i="1"/>
  <c r="U251" i="1" s="1"/>
  <c r="H251" i="1"/>
  <c r="I251" i="1" s="1"/>
  <c r="V251" i="1"/>
  <c r="W251" i="1" s="1"/>
  <c r="N307" i="1"/>
  <c r="O307" i="1" s="1"/>
  <c r="L307" i="1"/>
  <c r="M307" i="1" s="1"/>
  <c r="T254" i="1"/>
  <c r="U254" i="1" s="1"/>
  <c r="H254" i="1"/>
  <c r="I254" i="1" s="1"/>
  <c r="V254" i="1"/>
  <c r="W254" i="1" s="1"/>
  <c r="J254" i="1"/>
  <c r="K254" i="1" s="1"/>
  <c r="L254" i="1"/>
  <c r="M254" i="1" s="1"/>
  <c r="N254" i="1"/>
  <c r="O254" i="1" s="1"/>
  <c r="P254" i="1"/>
  <c r="Q254" i="1" s="1"/>
  <c r="R254" i="1"/>
  <c r="S254" i="1" s="1"/>
  <c r="L326" i="1"/>
  <c r="M326" i="1" s="1"/>
  <c r="N326" i="1"/>
  <c r="O326" i="1" s="1"/>
  <c r="P326" i="1"/>
  <c r="Q326" i="1" s="1"/>
  <c r="R326" i="1"/>
  <c r="S326" i="1" s="1"/>
  <c r="T326" i="1"/>
  <c r="U326" i="1" s="1"/>
  <c r="V326" i="1"/>
  <c r="W326" i="1" s="1"/>
  <c r="P164" i="1"/>
  <c r="Q164" i="1" s="1"/>
  <c r="J164" i="1"/>
  <c r="K164" i="1" s="1"/>
  <c r="H164" i="1"/>
  <c r="V164" i="1"/>
  <c r="W164" i="1" s="1"/>
  <c r="T164" i="1"/>
  <c r="U164" i="1" s="1"/>
  <c r="N164" i="1"/>
  <c r="O164" i="1" s="1"/>
  <c r="R164" i="1"/>
  <c r="S164" i="1" s="1"/>
  <c r="L164" i="1"/>
  <c r="M164" i="1" s="1"/>
  <c r="V95" i="1"/>
  <c r="W95" i="1" s="1"/>
  <c r="T95" i="1"/>
  <c r="U95" i="1" s="1"/>
  <c r="R95" i="1"/>
  <c r="S95" i="1" s="1"/>
  <c r="P95" i="1"/>
  <c r="Q95" i="1" s="1"/>
  <c r="N95" i="1"/>
  <c r="O95" i="1" s="1"/>
  <c r="L95" i="1"/>
  <c r="M95" i="1" s="1"/>
  <c r="J95" i="1"/>
  <c r="K95" i="1" s="1"/>
  <c r="P214" i="1"/>
  <c r="Q214" i="1" s="1"/>
  <c r="N214" i="1"/>
  <c r="O214" i="1" s="1"/>
  <c r="J214" i="1"/>
  <c r="K214" i="1" s="1"/>
  <c r="R214" i="1"/>
  <c r="S214" i="1" s="1"/>
  <c r="L214" i="1"/>
  <c r="M214" i="1" s="1"/>
  <c r="V214" i="1"/>
  <c r="W214" i="1" s="1"/>
  <c r="T214" i="1"/>
  <c r="U214" i="1" s="1"/>
  <c r="V300" i="1"/>
  <c r="W300" i="1" s="1"/>
  <c r="T300" i="1"/>
  <c r="U300" i="1" s="1"/>
  <c r="N300" i="1"/>
  <c r="O300" i="1" s="1"/>
  <c r="R300" i="1"/>
  <c r="S300" i="1" s="1"/>
  <c r="P300" i="1"/>
  <c r="Q300" i="1" s="1"/>
  <c r="L300" i="1"/>
  <c r="M300" i="1" s="1"/>
  <c r="T312" i="1"/>
  <c r="U312" i="1" s="1"/>
  <c r="V312" i="1"/>
  <c r="W312" i="1" s="1"/>
  <c r="L312" i="1"/>
  <c r="M312" i="1" s="1"/>
  <c r="N312" i="1"/>
  <c r="O312" i="1" s="1"/>
  <c r="P312" i="1"/>
  <c r="Q312" i="1" s="1"/>
  <c r="R312" i="1"/>
  <c r="S312" i="1" s="1"/>
  <c r="P337" i="1"/>
  <c r="Q337" i="1" s="1"/>
  <c r="N337" i="1"/>
  <c r="O337" i="1" s="1"/>
  <c r="L337" i="1"/>
  <c r="M337" i="1" s="1"/>
  <c r="V337" i="1"/>
  <c r="W337" i="1" s="1"/>
  <c r="T337" i="1"/>
  <c r="U337" i="1" s="1"/>
  <c r="R337" i="1"/>
  <c r="S337" i="1" s="1"/>
  <c r="K145" i="1"/>
  <c r="I145" i="1"/>
  <c r="N145" i="1"/>
  <c r="T145" i="1"/>
  <c r="U145" i="1" s="1"/>
  <c r="P145" i="1"/>
  <c r="Q145" i="1" s="1"/>
  <c r="V145" i="1"/>
  <c r="W145" i="1" s="1"/>
  <c r="M145" i="1"/>
  <c r="R145" i="1"/>
  <c r="S145" i="1" s="1"/>
  <c r="K358" i="1"/>
  <c r="U358" i="1"/>
  <c r="S358" i="1"/>
  <c r="O358" i="1"/>
  <c r="M358" i="1"/>
  <c r="S301" i="1"/>
  <c r="O145" i="1"/>
  <c r="T161" i="1"/>
  <c r="V161" i="1"/>
  <c r="F621" i="1"/>
  <c r="F555" i="1" l="1"/>
  <c r="G555" i="1" l="1"/>
  <c r="T555" i="1"/>
  <c r="U555" i="1" s="1"/>
  <c r="J555" i="1"/>
  <c r="K555" i="1" s="1"/>
  <c r="V555" i="1"/>
  <c r="W555" i="1" s="1"/>
  <c r="H555" i="1"/>
  <c r="I555" i="1" s="1"/>
  <c r="L555" i="1"/>
  <c r="M555" i="1" s="1"/>
  <c r="N555" i="1"/>
  <c r="O555" i="1" s="1"/>
  <c r="P555" i="1"/>
  <c r="Q555" i="1" s="1"/>
  <c r="R555" i="1"/>
  <c r="S555" i="1" s="1"/>
  <c r="G333" i="1"/>
  <c r="G332" i="1" l="1"/>
  <c r="F224" i="1"/>
  <c r="F245" i="1"/>
  <c r="R530" i="1" l="1"/>
  <c r="S530" i="1" s="1"/>
  <c r="H530" i="1"/>
  <c r="I530" i="1" s="1"/>
  <c r="T530" i="1"/>
  <c r="U530" i="1" s="1"/>
  <c r="V530" i="1"/>
  <c r="W530" i="1" s="1"/>
  <c r="J530" i="1"/>
  <c r="K530" i="1" s="1"/>
  <c r="L530" i="1"/>
  <c r="M530" i="1" s="1"/>
  <c r="N530" i="1"/>
  <c r="O530" i="1" s="1"/>
  <c r="P530" i="1"/>
  <c r="Q530" i="1" s="1"/>
  <c r="T245" i="1"/>
  <c r="U245" i="1" s="1"/>
  <c r="H245" i="1"/>
  <c r="I245" i="1" s="1"/>
  <c r="V245" i="1"/>
  <c r="W245" i="1" s="1"/>
  <c r="J245" i="1"/>
  <c r="K245" i="1" s="1"/>
  <c r="L245" i="1"/>
  <c r="M245" i="1" s="1"/>
  <c r="N245" i="1"/>
  <c r="O245" i="1" s="1"/>
  <c r="P245" i="1"/>
  <c r="Q245" i="1" s="1"/>
  <c r="R245" i="1"/>
  <c r="S245" i="1" s="1"/>
  <c r="L224" i="1"/>
  <c r="M224" i="1" s="1"/>
  <c r="J224" i="1"/>
  <c r="K224" i="1" s="1"/>
  <c r="H224" i="1"/>
  <c r="I224" i="1" s="1"/>
  <c r="V224" i="1"/>
  <c r="W224" i="1" s="1"/>
  <c r="R224" i="1"/>
  <c r="S224" i="1" s="1"/>
  <c r="P224" i="1"/>
  <c r="Q224" i="1" s="1"/>
  <c r="T224" i="1"/>
  <c r="U224" i="1" s="1"/>
  <c r="N224" i="1"/>
  <c r="O224" i="1" s="1"/>
  <c r="G391" i="1"/>
  <c r="G392" i="1"/>
  <c r="G389" i="1"/>
  <c r="G390" i="1"/>
  <c r="G224" i="1"/>
  <c r="J11" i="1" l="1"/>
  <c r="G11" i="1"/>
  <c r="H408" i="1" l="1"/>
  <c r="I408" i="1" s="1"/>
  <c r="G227" i="1" l="1"/>
  <c r="G228" i="1" l="1"/>
  <c r="F331" i="1"/>
  <c r="N331" i="1" l="1"/>
  <c r="O331" i="1" s="1"/>
  <c r="L331" i="1"/>
  <c r="M331" i="1" s="1"/>
  <c r="V331" i="1"/>
  <c r="W331" i="1" s="1"/>
  <c r="T331" i="1"/>
  <c r="U331" i="1" s="1"/>
  <c r="R331" i="1"/>
  <c r="S331" i="1" s="1"/>
  <c r="P331" i="1"/>
  <c r="Q331" i="1" s="1"/>
  <c r="G331" i="1"/>
  <c r="G370" i="1"/>
  <c r="V463" i="1" l="1"/>
  <c r="W463" i="1" s="1"/>
  <c r="L463" i="1" l="1"/>
  <c r="M463" i="1" s="1"/>
  <c r="R463" i="1"/>
  <c r="S463" i="1" s="1"/>
  <c r="T463" i="1"/>
  <c r="U463" i="1" s="1"/>
  <c r="N463" i="1"/>
  <c r="O463" i="1" s="1"/>
  <c r="P463" i="1"/>
  <c r="Q463" i="1" s="1"/>
  <c r="G463" i="1"/>
  <c r="H463" i="1"/>
  <c r="I463" i="1" s="1"/>
  <c r="J463" i="1"/>
  <c r="K463" i="1" s="1"/>
  <c r="F234" i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T627" i="1"/>
  <c r="R627" i="1"/>
  <c r="P627" i="1"/>
  <c r="N627" i="1"/>
  <c r="L627" i="1"/>
  <c r="J627" i="1"/>
  <c r="L629" i="1"/>
  <c r="J629" i="1"/>
  <c r="L628" i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H565" i="1"/>
  <c r="H566" i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V563" i="1"/>
  <c r="T563" i="1"/>
  <c r="R563" i="1"/>
  <c r="P563" i="1"/>
  <c r="N563" i="1"/>
  <c r="L563" i="1"/>
  <c r="J563" i="1"/>
  <c r="J234" i="1" l="1"/>
  <c r="K234" i="1" s="1"/>
  <c r="H234" i="1"/>
  <c r="I234" i="1" s="1"/>
  <c r="T234" i="1"/>
  <c r="U234" i="1" s="1"/>
  <c r="R234" i="1"/>
  <c r="S234" i="1" s="1"/>
  <c r="P234" i="1"/>
  <c r="Q234" i="1" s="1"/>
  <c r="L234" i="1"/>
  <c r="M234" i="1" s="1"/>
  <c r="N234" i="1"/>
  <c r="O234" i="1" s="1"/>
  <c r="V234" i="1"/>
  <c r="W234" i="1" s="1"/>
  <c r="W416" i="1"/>
  <c r="U416" i="1"/>
  <c r="S416" i="1"/>
  <c r="Q416" i="1"/>
  <c r="O416" i="1"/>
  <c r="M416" i="1"/>
  <c r="K416" i="1"/>
  <c r="W258" i="1" l="1"/>
  <c r="U258" i="1"/>
  <c r="S258" i="1"/>
  <c r="Q258" i="1"/>
  <c r="O258" i="1"/>
  <c r="M258" i="1"/>
  <c r="K258" i="1"/>
  <c r="W223" i="1"/>
  <c r="U223" i="1"/>
  <c r="S223" i="1"/>
  <c r="Q223" i="1"/>
  <c r="O223" i="1"/>
  <c r="M223" i="1"/>
  <c r="K223" i="1"/>
  <c r="I223" i="1"/>
  <c r="W211" i="1"/>
  <c r="U211" i="1"/>
  <c r="S211" i="1"/>
  <c r="Q211" i="1"/>
  <c r="O211" i="1"/>
  <c r="M211" i="1"/>
  <c r="K211" i="1"/>
  <c r="U177" i="1"/>
  <c r="S177" i="1"/>
  <c r="Q177" i="1"/>
  <c r="O177" i="1"/>
  <c r="M177" i="1"/>
  <c r="J10" i="1"/>
  <c r="W28" i="1"/>
  <c r="U28" i="1"/>
  <c r="S28" i="1"/>
  <c r="Q28" i="1"/>
  <c r="O28" i="1"/>
  <c r="M28" i="1"/>
  <c r="W59" i="1"/>
  <c r="U59" i="1"/>
  <c r="S59" i="1"/>
  <c r="Q59" i="1"/>
  <c r="O59" i="1"/>
  <c r="I68" i="1"/>
  <c r="W259" i="1"/>
  <c r="U259" i="1"/>
  <c r="S259" i="1"/>
  <c r="Q259" i="1"/>
  <c r="O259" i="1"/>
  <c r="F347" i="1" l="1"/>
  <c r="R347" i="1" l="1"/>
  <c r="S347" i="1" s="1"/>
  <c r="T347" i="1"/>
  <c r="U347" i="1" s="1"/>
  <c r="V347" i="1"/>
  <c r="W347" i="1" s="1"/>
  <c r="L347" i="1"/>
  <c r="M347" i="1" s="1"/>
  <c r="N347" i="1"/>
  <c r="O347" i="1" s="1"/>
  <c r="P347" i="1"/>
  <c r="Q347" i="1" s="1"/>
  <c r="F376" i="1"/>
  <c r="F377" i="1"/>
  <c r="F350" i="1"/>
  <c r="F384" i="1"/>
  <c r="F385" i="1"/>
  <c r="F404" i="1"/>
  <c r="F403" i="1"/>
  <c r="T403" i="1" l="1"/>
  <c r="U403" i="1" s="1"/>
  <c r="R403" i="1"/>
  <c r="S403" i="1" s="1"/>
  <c r="N403" i="1"/>
  <c r="O403" i="1" s="1"/>
  <c r="L403" i="1"/>
  <c r="M403" i="1" s="1"/>
  <c r="J403" i="1"/>
  <c r="K403" i="1" s="1"/>
  <c r="V403" i="1"/>
  <c r="W403" i="1" s="1"/>
  <c r="P403" i="1"/>
  <c r="Q403" i="1" s="1"/>
  <c r="H403" i="1"/>
  <c r="I403" i="1" s="1"/>
  <c r="L350" i="1"/>
  <c r="M350" i="1" s="1"/>
  <c r="N350" i="1"/>
  <c r="O350" i="1" s="1"/>
  <c r="P350" i="1"/>
  <c r="Q350" i="1" s="1"/>
  <c r="R350" i="1"/>
  <c r="S350" i="1" s="1"/>
  <c r="T350" i="1"/>
  <c r="U350" i="1" s="1"/>
  <c r="V350" i="1"/>
  <c r="W350" i="1" s="1"/>
  <c r="V384" i="1"/>
  <c r="W384" i="1" s="1"/>
  <c r="T384" i="1"/>
  <c r="U384" i="1" s="1"/>
  <c r="R384" i="1"/>
  <c r="S384" i="1" s="1"/>
  <c r="P384" i="1"/>
  <c r="Q384" i="1" s="1"/>
  <c r="N384" i="1"/>
  <c r="O384" i="1" s="1"/>
  <c r="L384" i="1"/>
  <c r="M384" i="1" s="1"/>
  <c r="J384" i="1"/>
  <c r="K384" i="1" s="1"/>
  <c r="H384" i="1"/>
  <c r="I384" i="1" s="1"/>
  <c r="N404" i="1"/>
  <c r="L404" i="1"/>
  <c r="M404" i="1" s="1"/>
  <c r="J404" i="1"/>
  <c r="K404" i="1" s="1"/>
  <c r="H404" i="1"/>
  <c r="I404" i="1" s="1"/>
  <c r="L385" i="1"/>
  <c r="M385" i="1" s="1"/>
  <c r="J385" i="1"/>
  <c r="K385" i="1" s="1"/>
  <c r="H385" i="1"/>
  <c r="I385" i="1" s="1"/>
  <c r="V385" i="1"/>
  <c r="W385" i="1" s="1"/>
  <c r="T385" i="1"/>
  <c r="U385" i="1" s="1"/>
  <c r="R385" i="1"/>
  <c r="S385" i="1" s="1"/>
  <c r="P385" i="1"/>
  <c r="Q385" i="1" s="1"/>
  <c r="N385" i="1"/>
  <c r="O385" i="1" s="1"/>
  <c r="L377" i="1"/>
  <c r="M377" i="1" s="1"/>
  <c r="N377" i="1"/>
  <c r="O377" i="1" s="1"/>
  <c r="R376" i="1"/>
  <c r="S376" i="1" s="1"/>
  <c r="T376" i="1"/>
  <c r="U376" i="1" s="1"/>
  <c r="V376" i="1"/>
  <c r="W376" i="1" s="1"/>
  <c r="L376" i="1"/>
  <c r="M376" i="1" s="1"/>
  <c r="N376" i="1"/>
  <c r="O376" i="1" s="1"/>
  <c r="P376" i="1"/>
  <c r="Q376" i="1" s="1"/>
  <c r="G401" i="1"/>
  <c r="F635" i="1" l="1"/>
  <c r="F634" i="1"/>
  <c r="L634" i="1" l="1"/>
  <c r="M634" i="1" s="1"/>
  <c r="J634" i="1"/>
  <c r="K634" i="1" s="1"/>
  <c r="T634" i="1"/>
  <c r="U634" i="1" s="1"/>
  <c r="R634" i="1"/>
  <c r="S634" i="1" s="1"/>
  <c r="P634" i="1"/>
  <c r="Q634" i="1" s="1"/>
  <c r="N634" i="1"/>
  <c r="O634" i="1" s="1"/>
  <c r="R635" i="1"/>
  <c r="S635" i="1" s="1"/>
  <c r="P635" i="1"/>
  <c r="Q635" i="1" s="1"/>
  <c r="N635" i="1"/>
  <c r="O635" i="1" s="1"/>
  <c r="L635" i="1"/>
  <c r="M635" i="1" s="1"/>
  <c r="J635" i="1"/>
  <c r="K635" i="1" s="1"/>
  <c r="T635" i="1"/>
  <c r="U635" i="1" s="1"/>
  <c r="P632" i="1"/>
  <c r="Q632" i="1" s="1"/>
  <c r="N632" i="1"/>
  <c r="O632" i="1" s="1"/>
  <c r="L632" i="1"/>
  <c r="M632" i="1" s="1"/>
  <c r="J632" i="1"/>
  <c r="K632" i="1" s="1"/>
  <c r="R632" i="1"/>
  <c r="S632" i="1" s="1"/>
  <c r="T632" i="1"/>
  <c r="U632" i="1" s="1"/>
  <c r="F535" i="1"/>
  <c r="F518" i="1"/>
  <c r="H518" i="1" l="1"/>
  <c r="V518" i="1"/>
  <c r="T518" i="1"/>
  <c r="R518" i="1"/>
  <c r="P518" i="1"/>
  <c r="J518" i="1"/>
  <c r="N518" i="1"/>
  <c r="L518" i="1"/>
  <c r="H535" i="1"/>
  <c r="I535" i="1" s="1"/>
  <c r="N535" i="1"/>
  <c r="O535" i="1" s="1"/>
  <c r="P535" i="1"/>
  <c r="Q535" i="1" s="1"/>
  <c r="T535" i="1"/>
  <c r="U535" i="1" s="1"/>
  <c r="V535" i="1"/>
  <c r="W535" i="1" s="1"/>
  <c r="R535" i="1"/>
  <c r="S535" i="1" s="1"/>
  <c r="J535" i="1"/>
  <c r="K535" i="1" s="1"/>
  <c r="L535" i="1"/>
  <c r="M535" i="1" s="1"/>
  <c r="T505" i="1"/>
  <c r="U505" i="1" s="1"/>
  <c r="R505" i="1"/>
  <c r="S505" i="1" s="1"/>
  <c r="V505" i="1"/>
  <c r="W505" i="1" s="1"/>
  <c r="P505" i="1"/>
  <c r="Q505" i="1" s="1"/>
  <c r="N505" i="1"/>
  <c r="O505" i="1" s="1"/>
  <c r="L505" i="1"/>
  <c r="M505" i="1" s="1"/>
  <c r="H505" i="1"/>
  <c r="I505" i="1" s="1"/>
  <c r="J505" i="1"/>
  <c r="K505" i="1" s="1"/>
  <c r="U408" i="1"/>
  <c r="S408" i="1"/>
  <c r="Q408" i="1"/>
  <c r="O408" i="1"/>
  <c r="M408" i="1"/>
  <c r="K408" i="1"/>
  <c r="G408" i="1"/>
  <c r="G485" i="1" l="1"/>
  <c r="G484" i="1"/>
  <c r="U140" i="1"/>
  <c r="W140" i="1"/>
  <c r="S140" i="1"/>
  <c r="Q140" i="1"/>
  <c r="O140" i="1"/>
  <c r="M140" i="1"/>
  <c r="K140" i="1"/>
  <c r="W139" i="1"/>
  <c r="U139" i="1"/>
  <c r="S139" i="1"/>
  <c r="Q139" i="1"/>
  <c r="O139" i="1"/>
  <c r="M139" i="1"/>
  <c r="K139" i="1"/>
  <c r="G373" i="1" l="1"/>
  <c r="J57" i="1" l="1"/>
  <c r="L57" i="1"/>
  <c r="N57" i="1"/>
  <c r="G400" i="1" l="1"/>
  <c r="G498" i="1" l="1"/>
  <c r="G404" i="1" l="1"/>
  <c r="U448" i="1" l="1"/>
  <c r="Q448" i="1"/>
  <c r="O448" i="1"/>
  <c r="M448" i="1"/>
  <c r="U447" i="1"/>
  <c r="Q447" i="1"/>
  <c r="M447" i="1"/>
  <c r="U446" i="1"/>
  <c r="Q446" i="1"/>
  <c r="M446" i="1"/>
  <c r="U445" i="1"/>
  <c r="Q445" i="1"/>
  <c r="M445" i="1"/>
  <c r="U444" i="1"/>
  <c r="Q444" i="1"/>
  <c r="M444" i="1"/>
  <c r="U443" i="1"/>
  <c r="S443" i="1"/>
  <c r="Q443" i="1"/>
  <c r="M443" i="1"/>
  <c r="W456" i="1"/>
  <c r="K456" i="1"/>
  <c r="I456" i="1"/>
  <c r="W455" i="1"/>
  <c r="K455" i="1"/>
  <c r="I455" i="1"/>
  <c r="V453" i="1"/>
  <c r="W453" i="1" s="1"/>
  <c r="T453" i="1"/>
  <c r="U453" i="1" s="1"/>
  <c r="R453" i="1"/>
  <c r="S453" i="1" s="1"/>
  <c r="P453" i="1"/>
  <c r="Q453" i="1" s="1"/>
  <c r="N453" i="1"/>
  <c r="O453" i="1" s="1"/>
  <c r="L453" i="1"/>
  <c r="M453" i="1" s="1"/>
  <c r="J453" i="1"/>
  <c r="K453" i="1" s="1"/>
  <c r="H453" i="1"/>
  <c r="I453" i="1" s="1"/>
  <c r="V452" i="1"/>
  <c r="W452" i="1" s="1"/>
  <c r="T452" i="1"/>
  <c r="U452" i="1" s="1"/>
  <c r="R452" i="1"/>
  <c r="S452" i="1" s="1"/>
  <c r="P452" i="1"/>
  <c r="Q452" i="1" s="1"/>
  <c r="N452" i="1"/>
  <c r="O452" i="1" s="1"/>
  <c r="L452" i="1"/>
  <c r="M452" i="1" s="1"/>
  <c r="J452" i="1"/>
  <c r="K452" i="1" s="1"/>
  <c r="H452" i="1"/>
  <c r="I452" i="1" s="1"/>
  <c r="V451" i="1"/>
  <c r="W451" i="1" s="1"/>
  <c r="T451" i="1"/>
  <c r="U451" i="1" s="1"/>
  <c r="R451" i="1"/>
  <c r="S451" i="1" s="1"/>
  <c r="P451" i="1"/>
  <c r="Q451" i="1" s="1"/>
  <c r="N451" i="1"/>
  <c r="O451" i="1" s="1"/>
  <c r="L451" i="1"/>
  <c r="M451" i="1" s="1"/>
  <c r="J451" i="1"/>
  <c r="K451" i="1" s="1"/>
  <c r="H451" i="1"/>
  <c r="I451" i="1" s="1"/>
  <c r="V450" i="1"/>
  <c r="W450" i="1" s="1"/>
  <c r="T450" i="1"/>
  <c r="U450" i="1" s="1"/>
  <c r="R450" i="1"/>
  <c r="S450" i="1" s="1"/>
  <c r="P450" i="1"/>
  <c r="Q450" i="1" s="1"/>
  <c r="N450" i="1"/>
  <c r="O450" i="1" s="1"/>
  <c r="L450" i="1"/>
  <c r="M450" i="1" s="1"/>
  <c r="J450" i="1"/>
  <c r="K450" i="1" s="1"/>
  <c r="H450" i="1"/>
  <c r="I450" i="1" s="1"/>
  <c r="K459" i="1"/>
  <c r="I459" i="1"/>
  <c r="K458" i="1"/>
  <c r="I458" i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F553" i="1" l="1"/>
  <c r="G449" i="1"/>
  <c r="J553" i="1" l="1"/>
  <c r="K553" i="1" s="1"/>
  <c r="V553" i="1"/>
  <c r="W553" i="1" s="1"/>
  <c r="H553" i="1"/>
  <c r="I553" i="1" s="1"/>
  <c r="L553" i="1"/>
  <c r="M553" i="1" s="1"/>
  <c r="N553" i="1"/>
  <c r="O553" i="1" s="1"/>
  <c r="R553" i="1"/>
  <c r="S553" i="1" s="1"/>
  <c r="P553" i="1"/>
  <c r="Q553" i="1" s="1"/>
  <c r="T553" i="1"/>
  <c r="U553" i="1" s="1"/>
  <c r="P449" i="1"/>
  <c r="Q449" i="1" s="1"/>
  <c r="N449" i="1"/>
  <c r="O449" i="1" s="1"/>
  <c r="L449" i="1"/>
  <c r="M449" i="1" s="1"/>
  <c r="V449" i="1"/>
  <c r="W449" i="1" s="1"/>
  <c r="J449" i="1"/>
  <c r="K449" i="1" s="1"/>
  <c r="T449" i="1"/>
  <c r="U449" i="1" s="1"/>
  <c r="R449" i="1"/>
  <c r="S449" i="1" s="1"/>
  <c r="H449" i="1"/>
  <c r="I449" i="1" s="1"/>
  <c r="L622" i="1" l="1"/>
  <c r="L621" i="1"/>
  <c r="F369" i="1"/>
  <c r="V369" i="1" l="1"/>
  <c r="W369" i="1" s="1"/>
  <c r="L369" i="1"/>
  <c r="M369" i="1" s="1"/>
  <c r="N369" i="1"/>
  <c r="O369" i="1" s="1"/>
  <c r="P369" i="1"/>
  <c r="Q369" i="1" s="1"/>
  <c r="R369" i="1"/>
  <c r="S369" i="1" s="1"/>
  <c r="T369" i="1"/>
  <c r="U369" i="1" s="1"/>
  <c r="G384" i="1"/>
  <c r="F359" i="1"/>
  <c r="V359" i="1" l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F298" i="1"/>
  <c r="F538" i="1"/>
  <c r="F250" i="1"/>
  <c r="F232" i="1"/>
  <c r="F221" i="1"/>
  <c r="F217" i="1"/>
  <c r="F195" i="1"/>
  <c r="F184" i="1"/>
  <c r="F165" i="1"/>
  <c r="F162" i="1"/>
  <c r="F146" i="1"/>
  <c r="W428" i="1"/>
  <c r="U428" i="1"/>
  <c r="S428" i="1"/>
  <c r="Q428" i="1"/>
  <c r="O428" i="1"/>
  <c r="W427" i="1"/>
  <c r="U427" i="1"/>
  <c r="S427" i="1"/>
  <c r="Q427" i="1"/>
  <c r="O427" i="1"/>
  <c r="F15" i="1"/>
  <c r="H15" i="1" s="1"/>
  <c r="F16" i="1"/>
  <c r="H16" i="1" s="1"/>
  <c r="J538" i="1" l="1"/>
  <c r="K538" i="1" s="1"/>
  <c r="L538" i="1"/>
  <c r="M538" i="1" s="1"/>
  <c r="H538" i="1"/>
  <c r="I538" i="1" s="1"/>
  <c r="N538" i="1"/>
  <c r="O538" i="1" s="1"/>
  <c r="P538" i="1"/>
  <c r="Q538" i="1" s="1"/>
  <c r="R538" i="1"/>
  <c r="S538" i="1" s="1"/>
  <c r="T538" i="1"/>
  <c r="U538" i="1" s="1"/>
  <c r="V538" i="1"/>
  <c r="W538" i="1" s="1"/>
  <c r="T221" i="1"/>
  <c r="U221" i="1" s="1"/>
  <c r="R221" i="1"/>
  <c r="S221" i="1" s="1"/>
  <c r="P221" i="1"/>
  <c r="Q221" i="1" s="1"/>
  <c r="V221" i="1"/>
  <c r="W221" i="1" s="1"/>
  <c r="N221" i="1"/>
  <c r="O221" i="1" s="1"/>
  <c r="H221" i="1"/>
  <c r="I221" i="1" s="1"/>
  <c r="L221" i="1"/>
  <c r="M221" i="1" s="1"/>
  <c r="J221" i="1"/>
  <c r="K221" i="1" s="1"/>
  <c r="V165" i="1"/>
  <c r="W165" i="1" s="1"/>
  <c r="T165" i="1"/>
  <c r="U165" i="1" s="1"/>
  <c r="R165" i="1"/>
  <c r="S165" i="1" s="1"/>
  <c r="P165" i="1"/>
  <c r="Q165" i="1" s="1"/>
  <c r="N165" i="1"/>
  <c r="O165" i="1" s="1"/>
  <c r="L165" i="1"/>
  <c r="M165" i="1" s="1"/>
  <c r="J165" i="1"/>
  <c r="K165" i="1" s="1"/>
  <c r="H165" i="1"/>
  <c r="I165" i="1" s="1"/>
  <c r="J146" i="1"/>
  <c r="K146" i="1" s="1"/>
  <c r="H146" i="1"/>
  <c r="I146" i="1" s="1"/>
  <c r="L146" i="1"/>
  <c r="M146" i="1" s="1"/>
  <c r="V146" i="1"/>
  <c r="W146" i="1" s="1"/>
  <c r="T146" i="1"/>
  <c r="U146" i="1" s="1"/>
  <c r="R146" i="1"/>
  <c r="S146" i="1" s="1"/>
  <c r="N146" i="1"/>
  <c r="O146" i="1" s="1"/>
  <c r="P146" i="1"/>
  <c r="Q146" i="1" s="1"/>
  <c r="L250" i="1"/>
  <c r="M250" i="1" s="1"/>
  <c r="N250" i="1"/>
  <c r="O250" i="1" s="1"/>
  <c r="P250" i="1"/>
  <c r="Q250" i="1" s="1"/>
  <c r="R250" i="1"/>
  <c r="S250" i="1" s="1"/>
  <c r="T250" i="1"/>
  <c r="U250" i="1" s="1"/>
  <c r="V250" i="1"/>
  <c r="W250" i="1" s="1"/>
  <c r="H250" i="1"/>
  <c r="I250" i="1" s="1"/>
  <c r="J250" i="1"/>
  <c r="K250" i="1" s="1"/>
  <c r="N162" i="1"/>
  <c r="O162" i="1" s="1"/>
  <c r="L162" i="1"/>
  <c r="M162" i="1" s="1"/>
  <c r="P162" i="1"/>
  <c r="Q162" i="1" s="1"/>
  <c r="J162" i="1"/>
  <c r="K162" i="1" s="1"/>
  <c r="N217" i="1"/>
  <c r="O217" i="1" s="1"/>
  <c r="L217" i="1"/>
  <c r="M217" i="1" s="1"/>
  <c r="J217" i="1"/>
  <c r="K217" i="1" s="1"/>
  <c r="V217" i="1"/>
  <c r="W217" i="1" s="1"/>
  <c r="T217" i="1"/>
  <c r="U217" i="1" s="1"/>
  <c r="R217" i="1"/>
  <c r="S217" i="1" s="1"/>
  <c r="P217" i="1"/>
  <c r="Q217" i="1" s="1"/>
  <c r="T232" i="1"/>
  <c r="U232" i="1" s="1"/>
  <c r="R232" i="1"/>
  <c r="S232" i="1" s="1"/>
  <c r="N232" i="1"/>
  <c r="O232" i="1" s="1"/>
  <c r="J232" i="1"/>
  <c r="K232" i="1" s="1"/>
  <c r="V232" i="1"/>
  <c r="W232" i="1" s="1"/>
  <c r="P232" i="1"/>
  <c r="Q232" i="1" s="1"/>
  <c r="L232" i="1"/>
  <c r="M232" i="1" s="1"/>
  <c r="H232" i="1"/>
  <c r="I232" i="1" s="1"/>
  <c r="T184" i="1"/>
  <c r="U184" i="1" s="1"/>
  <c r="R184" i="1"/>
  <c r="S184" i="1" s="1"/>
  <c r="P184" i="1"/>
  <c r="Q184" i="1" s="1"/>
  <c r="N184" i="1"/>
  <c r="O184" i="1" s="1"/>
  <c r="L184" i="1"/>
  <c r="M184" i="1" s="1"/>
  <c r="V184" i="1"/>
  <c r="W184" i="1" s="1"/>
  <c r="R195" i="1"/>
  <c r="S195" i="1" s="1"/>
  <c r="N195" i="1"/>
  <c r="O195" i="1" s="1"/>
  <c r="J195" i="1"/>
  <c r="K195" i="1" s="1"/>
  <c r="T195" i="1"/>
  <c r="U195" i="1" s="1"/>
  <c r="P195" i="1"/>
  <c r="Q195" i="1" s="1"/>
  <c r="L195" i="1"/>
  <c r="M195" i="1" s="1"/>
  <c r="V195" i="1"/>
  <c r="W195" i="1" s="1"/>
  <c r="I161" i="1"/>
  <c r="W161" i="1"/>
  <c r="U161" i="1"/>
  <c r="S161" i="1"/>
  <c r="Q161" i="1"/>
  <c r="O161" i="1"/>
  <c r="M161" i="1"/>
  <c r="K161" i="1"/>
  <c r="G538" i="1"/>
  <c r="F380" i="1"/>
  <c r="T380" i="1" l="1"/>
  <c r="U380" i="1" s="1"/>
  <c r="R380" i="1"/>
  <c r="S380" i="1" s="1"/>
  <c r="P380" i="1"/>
  <c r="Q380" i="1" s="1"/>
  <c r="N380" i="1"/>
  <c r="O380" i="1" s="1"/>
  <c r="L380" i="1"/>
  <c r="M380" i="1" s="1"/>
  <c r="J380" i="1"/>
  <c r="K380" i="1" s="1"/>
  <c r="H380" i="1"/>
  <c r="I380" i="1" s="1"/>
  <c r="V380" i="1"/>
  <c r="W380" i="1" s="1"/>
  <c r="G380" i="1"/>
  <c r="F486" i="1" l="1"/>
  <c r="V486" i="1" l="1"/>
  <c r="W486" i="1" s="1"/>
  <c r="H486" i="1"/>
  <c r="I486" i="1" s="1"/>
  <c r="J486" i="1"/>
  <c r="K486" i="1" s="1"/>
  <c r="T486" i="1"/>
  <c r="U486" i="1" s="1"/>
  <c r="L486" i="1"/>
  <c r="M486" i="1" s="1"/>
  <c r="P486" i="1"/>
  <c r="Q486" i="1" s="1"/>
  <c r="R486" i="1"/>
  <c r="S486" i="1" s="1"/>
  <c r="N486" i="1"/>
  <c r="O486" i="1" s="1"/>
  <c r="G486" i="1"/>
  <c r="G355" i="1" l="1"/>
  <c r="F508" i="1" l="1"/>
  <c r="P508" i="1" l="1"/>
  <c r="Q508" i="1" s="1"/>
  <c r="N508" i="1"/>
  <c r="O508" i="1" s="1"/>
  <c r="L508" i="1"/>
  <c r="M508" i="1" s="1"/>
  <c r="J508" i="1"/>
  <c r="K508" i="1" s="1"/>
  <c r="T508" i="1"/>
  <c r="U508" i="1" s="1"/>
  <c r="R508" i="1"/>
  <c r="S508" i="1" s="1"/>
  <c r="H508" i="1"/>
  <c r="I508" i="1" s="1"/>
  <c r="V508" i="1"/>
  <c r="W508" i="1" s="1"/>
  <c r="G508" i="1"/>
  <c r="G357" i="1" l="1"/>
  <c r="F353" i="1"/>
  <c r="R353" i="1" l="1"/>
  <c r="S353" i="1" s="1"/>
  <c r="T353" i="1"/>
  <c r="U353" i="1" s="1"/>
  <c r="V353" i="1"/>
  <c r="W353" i="1" s="1"/>
  <c r="L353" i="1"/>
  <c r="M353" i="1" s="1"/>
  <c r="N353" i="1"/>
  <c r="O353" i="1" s="1"/>
  <c r="P353" i="1"/>
  <c r="Q353" i="1" s="1"/>
  <c r="G353" i="1"/>
  <c r="P622" i="1" l="1"/>
  <c r="Q622" i="1" s="1"/>
  <c r="F248" i="1"/>
  <c r="N248" i="1" l="1"/>
  <c r="O248" i="1" s="1"/>
  <c r="P248" i="1"/>
  <c r="Q248" i="1" s="1"/>
  <c r="R248" i="1"/>
  <c r="S248" i="1" s="1"/>
  <c r="T248" i="1"/>
  <c r="U248" i="1" s="1"/>
  <c r="H248" i="1"/>
  <c r="I248" i="1" s="1"/>
  <c r="V248" i="1"/>
  <c r="W248" i="1" s="1"/>
  <c r="J248" i="1"/>
  <c r="K248" i="1" s="1"/>
  <c r="L248" i="1"/>
  <c r="M248" i="1" s="1"/>
  <c r="M622" i="1"/>
  <c r="V622" i="1"/>
  <c r="W622" i="1" s="1"/>
  <c r="G622" i="1"/>
  <c r="R622" i="1"/>
  <c r="S622" i="1" s="1"/>
  <c r="N622" i="1"/>
  <c r="O622" i="1" s="1"/>
  <c r="T622" i="1"/>
  <c r="U622" i="1" s="1"/>
  <c r="G522" i="1"/>
  <c r="G551" i="1"/>
  <c r="G99" i="1"/>
  <c r="G146" i="1"/>
  <c r="R629" i="1" l="1"/>
  <c r="R628" i="1"/>
  <c r="P629" i="1"/>
  <c r="P628" i="1"/>
  <c r="N629" i="1"/>
  <c r="N628" i="1"/>
  <c r="T628" i="1"/>
  <c r="T629" i="1"/>
  <c r="G420" i="1" l="1"/>
  <c r="V621" i="1"/>
  <c r="W621" i="1" s="1"/>
  <c r="P621" i="1"/>
  <c r="Q621" i="1" s="1"/>
  <c r="R621" i="1"/>
  <c r="S621" i="1" s="1"/>
  <c r="N621" i="1"/>
  <c r="O621" i="1" s="1"/>
  <c r="T621" i="1"/>
  <c r="U621" i="1" s="1"/>
  <c r="G621" i="1"/>
  <c r="M621" i="1"/>
  <c r="F424" i="1"/>
  <c r="F421" i="1"/>
  <c r="F423" i="1"/>
  <c r="T424" i="1" l="1"/>
  <c r="U424" i="1" s="1"/>
  <c r="R424" i="1"/>
  <c r="S424" i="1" s="1"/>
  <c r="P424" i="1"/>
  <c r="Q424" i="1" s="1"/>
  <c r="J424" i="1"/>
  <c r="K424" i="1" s="1"/>
  <c r="H424" i="1"/>
  <c r="I424" i="1" s="1"/>
  <c r="N424" i="1"/>
  <c r="O424" i="1" s="1"/>
  <c r="L424" i="1"/>
  <c r="M424" i="1" s="1"/>
  <c r="V424" i="1"/>
  <c r="W424" i="1" s="1"/>
  <c r="P423" i="1"/>
  <c r="Q423" i="1" s="1"/>
  <c r="T423" i="1"/>
  <c r="U423" i="1" s="1"/>
  <c r="N423" i="1"/>
  <c r="O423" i="1" s="1"/>
  <c r="L423" i="1"/>
  <c r="M423" i="1" s="1"/>
  <c r="J423" i="1"/>
  <c r="K423" i="1" s="1"/>
  <c r="V423" i="1"/>
  <c r="W423" i="1" s="1"/>
  <c r="H423" i="1"/>
  <c r="I423" i="1" s="1"/>
  <c r="R423" i="1"/>
  <c r="S423" i="1" s="1"/>
  <c r="N421" i="1"/>
  <c r="O421" i="1" s="1"/>
  <c r="L421" i="1"/>
  <c r="M421" i="1" s="1"/>
  <c r="V421" i="1"/>
  <c r="W421" i="1" s="1"/>
  <c r="H421" i="1"/>
  <c r="I421" i="1" s="1"/>
  <c r="T421" i="1"/>
  <c r="U421" i="1" s="1"/>
  <c r="P421" i="1"/>
  <c r="Q421" i="1" s="1"/>
  <c r="R421" i="1"/>
  <c r="S421" i="1" s="1"/>
  <c r="J421" i="1"/>
  <c r="K421" i="1" s="1"/>
  <c r="G421" i="1"/>
  <c r="G423" i="1"/>
  <c r="G424" i="1"/>
  <c r="G354" i="1" l="1"/>
  <c r="I295" i="1" l="1"/>
  <c r="S295" i="1" l="1"/>
  <c r="Q295" i="1"/>
  <c r="O295" i="1"/>
  <c r="M295" i="1"/>
  <c r="K295" i="1"/>
  <c r="U295" i="1"/>
  <c r="W295" i="1"/>
  <c r="W147" i="1"/>
  <c r="U147" i="1"/>
  <c r="S147" i="1"/>
  <c r="Q147" i="1"/>
  <c r="O147" i="1"/>
  <c r="M147" i="1"/>
  <c r="K147" i="1"/>
  <c r="W436" i="1"/>
  <c r="W432" i="1"/>
  <c r="W431" i="1"/>
  <c r="U436" i="1"/>
  <c r="U432" i="1"/>
  <c r="U431" i="1"/>
  <c r="S436" i="1"/>
  <c r="S432" i="1"/>
  <c r="S431" i="1"/>
  <c r="Q436" i="1"/>
  <c r="Q432" i="1"/>
  <c r="Q431" i="1"/>
  <c r="O436" i="1"/>
  <c r="O432" i="1"/>
  <c r="O431" i="1"/>
  <c r="G434" i="1"/>
  <c r="G435" i="1"/>
  <c r="G436" i="1"/>
  <c r="G433" i="1"/>
  <c r="G432" i="1"/>
  <c r="G431" i="1"/>
  <c r="F366" i="1" l="1"/>
  <c r="L366" i="1" l="1"/>
  <c r="M366" i="1" s="1"/>
  <c r="N366" i="1"/>
  <c r="O366" i="1" s="1"/>
  <c r="P366" i="1"/>
  <c r="Q366" i="1" s="1"/>
  <c r="R366" i="1"/>
  <c r="S366" i="1" s="1"/>
  <c r="T366" i="1"/>
  <c r="U366" i="1" s="1"/>
  <c r="V366" i="1"/>
  <c r="W366" i="1" s="1"/>
  <c r="F351" i="1"/>
  <c r="F349" i="1"/>
  <c r="L351" i="1" l="1"/>
  <c r="M351" i="1" s="1"/>
  <c r="N351" i="1"/>
  <c r="O351" i="1" s="1"/>
  <c r="P351" i="1"/>
  <c r="Q351" i="1" s="1"/>
  <c r="R351" i="1"/>
  <c r="S351" i="1" s="1"/>
  <c r="T351" i="1"/>
  <c r="U351" i="1" s="1"/>
  <c r="V351" i="1"/>
  <c r="W351" i="1" s="1"/>
  <c r="V349" i="1"/>
  <c r="W349" i="1" s="1"/>
  <c r="L349" i="1"/>
  <c r="M349" i="1" s="1"/>
  <c r="N349" i="1"/>
  <c r="O349" i="1" s="1"/>
  <c r="P349" i="1"/>
  <c r="Q349" i="1" s="1"/>
  <c r="R349" i="1"/>
  <c r="S349" i="1" s="1"/>
  <c r="T349" i="1"/>
  <c r="U349" i="1" s="1"/>
  <c r="G323" i="1"/>
  <c r="F462" i="1" l="1"/>
  <c r="R462" i="1" l="1"/>
  <c r="J462" i="1"/>
  <c r="V462" i="1"/>
  <c r="N462" i="1"/>
  <c r="L462" i="1"/>
  <c r="T462" i="1"/>
  <c r="P462" i="1"/>
  <c r="H462" i="1"/>
  <c r="M126" i="1"/>
  <c r="F509" i="1" l="1"/>
  <c r="P509" i="1" l="1"/>
  <c r="Q509" i="1" s="1"/>
  <c r="N509" i="1"/>
  <c r="O509" i="1" s="1"/>
  <c r="L509" i="1"/>
  <c r="M509" i="1" s="1"/>
  <c r="J509" i="1"/>
  <c r="K509" i="1" s="1"/>
  <c r="V509" i="1"/>
  <c r="W509" i="1" s="1"/>
  <c r="R509" i="1"/>
  <c r="S509" i="1" s="1"/>
  <c r="H509" i="1"/>
  <c r="I509" i="1" s="1"/>
  <c r="T509" i="1"/>
  <c r="U509" i="1" s="1"/>
  <c r="F386" i="1"/>
  <c r="R386" i="1" l="1"/>
  <c r="S386" i="1" s="1"/>
  <c r="P386" i="1"/>
  <c r="Q386" i="1" s="1"/>
  <c r="N386" i="1"/>
  <c r="O386" i="1" s="1"/>
  <c r="L386" i="1"/>
  <c r="M386" i="1" s="1"/>
  <c r="J386" i="1"/>
  <c r="K386" i="1" s="1"/>
  <c r="H386" i="1"/>
  <c r="I386" i="1" s="1"/>
  <c r="V386" i="1"/>
  <c r="W386" i="1" s="1"/>
  <c r="T386" i="1"/>
  <c r="U386" i="1" s="1"/>
  <c r="G267" i="1"/>
  <c r="G286" i="1"/>
  <c r="J501" i="1" l="1"/>
  <c r="K501" i="1" s="1"/>
  <c r="H501" i="1"/>
  <c r="I501" i="1" s="1"/>
  <c r="N501" i="1"/>
  <c r="O501" i="1" s="1"/>
  <c r="V501" i="1"/>
  <c r="W501" i="1" s="1"/>
  <c r="T501" i="1"/>
  <c r="U501" i="1" s="1"/>
  <c r="R501" i="1"/>
  <c r="S501" i="1" s="1"/>
  <c r="P501" i="1"/>
  <c r="Q501" i="1" s="1"/>
  <c r="L501" i="1"/>
  <c r="M501" i="1" s="1"/>
  <c r="V502" i="1"/>
  <c r="W502" i="1" s="1"/>
  <c r="L502" i="1"/>
  <c r="M502" i="1" s="1"/>
  <c r="H502" i="1"/>
  <c r="I502" i="1" s="1"/>
  <c r="T502" i="1"/>
  <c r="U502" i="1" s="1"/>
  <c r="N502" i="1"/>
  <c r="O502" i="1" s="1"/>
  <c r="J502" i="1"/>
  <c r="K502" i="1" s="1"/>
  <c r="R502" i="1"/>
  <c r="S502" i="1" s="1"/>
  <c r="P502" i="1"/>
  <c r="Q502" i="1" s="1"/>
  <c r="T500" i="1"/>
  <c r="U500" i="1" s="1"/>
  <c r="V500" i="1"/>
  <c r="W500" i="1" s="1"/>
  <c r="R500" i="1"/>
  <c r="S500" i="1" s="1"/>
  <c r="N500" i="1"/>
  <c r="O500" i="1" s="1"/>
  <c r="L500" i="1"/>
  <c r="M500" i="1" s="1"/>
  <c r="H500" i="1"/>
  <c r="I500" i="1" s="1"/>
  <c r="P500" i="1"/>
  <c r="Q500" i="1" s="1"/>
  <c r="J500" i="1"/>
  <c r="K500" i="1" s="1"/>
  <c r="G500" i="1"/>
  <c r="G343" i="1"/>
  <c r="F365" i="1" l="1"/>
  <c r="F334" i="1"/>
  <c r="F171" i="1"/>
  <c r="F170" i="1"/>
  <c r="F169" i="1"/>
  <c r="F168" i="1"/>
  <c r="F167" i="1"/>
  <c r="F166" i="1"/>
  <c r="J166" i="1" l="1"/>
  <c r="K166" i="1" s="1"/>
  <c r="P166" i="1"/>
  <c r="Q166" i="1" s="1"/>
  <c r="L166" i="1"/>
  <c r="M166" i="1" s="1"/>
  <c r="N166" i="1"/>
  <c r="O166" i="1" s="1"/>
  <c r="H166" i="1"/>
  <c r="I166" i="1" s="1"/>
  <c r="R166" i="1"/>
  <c r="S166" i="1" s="1"/>
  <c r="T166" i="1"/>
  <c r="U166" i="1" s="1"/>
  <c r="R170" i="1"/>
  <c r="S170" i="1" s="1"/>
  <c r="T170" i="1"/>
  <c r="U170" i="1" s="1"/>
  <c r="P170" i="1"/>
  <c r="Q170" i="1" s="1"/>
  <c r="N170" i="1"/>
  <c r="O170" i="1" s="1"/>
  <c r="L170" i="1"/>
  <c r="M170" i="1" s="1"/>
  <c r="J170" i="1"/>
  <c r="K170" i="1" s="1"/>
  <c r="H170" i="1"/>
  <c r="I170" i="1" s="1"/>
  <c r="T167" i="1"/>
  <c r="U167" i="1" s="1"/>
  <c r="R167" i="1"/>
  <c r="S167" i="1" s="1"/>
  <c r="P167" i="1"/>
  <c r="Q167" i="1" s="1"/>
  <c r="N167" i="1"/>
  <c r="O167" i="1" s="1"/>
  <c r="L167" i="1"/>
  <c r="M167" i="1" s="1"/>
  <c r="J167" i="1"/>
  <c r="K167" i="1" s="1"/>
  <c r="H167" i="1"/>
  <c r="I167" i="1" s="1"/>
  <c r="J171" i="1"/>
  <c r="K171" i="1" s="1"/>
  <c r="H171" i="1"/>
  <c r="I171" i="1" s="1"/>
  <c r="N171" i="1"/>
  <c r="O171" i="1" s="1"/>
  <c r="L171" i="1"/>
  <c r="M171" i="1" s="1"/>
  <c r="T171" i="1"/>
  <c r="U171" i="1" s="1"/>
  <c r="R171" i="1"/>
  <c r="S171" i="1" s="1"/>
  <c r="P171" i="1"/>
  <c r="Q171" i="1" s="1"/>
  <c r="T169" i="1"/>
  <c r="U169" i="1" s="1"/>
  <c r="R169" i="1"/>
  <c r="S169" i="1" s="1"/>
  <c r="P169" i="1"/>
  <c r="Q169" i="1" s="1"/>
  <c r="J169" i="1"/>
  <c r="K169" i="1" s="1"/>
  <c r="N169" i="1"/>
  <c r="O169" i="1" s="1"/>
  <c r="L169" i="1"/>
  <c r="M169" i="1" s="1"/>
  <c r="T168" i="1"/>
  <c r="U168" i="1" s="1"/>
  <c r="R168" i="1"/>
  <c r="S168" i="1" s="1"/>
  <c r="P168" i="1"/>
  <c r="Q168" i="1" s="1"/>
  <c r="L168" i="1"/>
  <c r="M168" i="1" s="1"/>
  <c r="H168" i="1"/>
  <c r="I168" i="1" s="1"/>
  <c r="N168" i="1"/>
  <c r="O168" i="1" s="1"/>
  <c r="J168" i="1"/>
  <c r="K168" i="1" s="1"/>
  <c r="T334" i="1"/>
  <c r="U334" i="1" s="1"/>
  <c r="R334" i="1"/>
  <c r="S334" i="1" s="1"/>
  <c r="P334" i="1"/>
  <c r="Q334" i="1" s="1"/>
  <c r="N334" i="1"/>
  <c r="O334" i="1" s="1"/>
  <c r="L334" i="1"/>
  <c r="M334" i="1" s="1"/>
  <c r="V365" i="1"/>
  <c r="W365" i="1" s="1"/>
  <c r="L365" i="1"/>
  <c r="M365" i="1" s="1"/>
  <c r="N365" i="1"/>
  <c r="O365" i="1" s="1"/>
  <c r="P365" i="1"/>
  <c r="Q365" i="1" s="1"/>
  <c r="R365" i="1"/>
  <c r="S365" i="1" s="1"/>
  <c r="T365" i="1"/>
  <c r="U365" i="1" s="1"/>
  <c r="F363" i="1" l="1"/>
  <c r="V363" i="1" l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F257" i="1"/>
  <c r="F256" i="1"/>
  <c r="F247" i="1"/>
  <c r="F242" i="1"/>
  <c r="F163" i="1"/>
  <c r="H163" i="1" l="1"/>
  <c r="I163" i="1" s="1"/>
  <c r="J163" i="1"/>
  <c r="K163" i="1" s="1"/>
  <c r="P247" i="1"/>
  <c r="Q247" i="1" s="1"/>
  <c r="R247" i="1"/>
  <c r="S247" i="1" s="1"/>
  <c r="T247" i="1"/>
  <c r="U247" i="1" s="1"/>
  <c r="V247" i="1"/>
  <c r="W247" i="1" s="1"/>
  <c r="H247" i="1"/>
  <c r="I247" i="1" s="1"/>
  <c r="J247" i="1"/>
  <c r="K247" i="1" s="1"/>
  <c r="L247" i="1"/>
  <c r="M247" i="1" s="1"/>
  <c r="N247" i="1"/>
  <c r="O247" i="1" s="1"/>
  <c r="H242" i="1"/>
  <c r="I242" i="1" s="1"/>
  <c r="J242" i="1"/>
  <c r="K242" i="1" s="1"/>
  <c r="L242" i="1"/>
  <c r="M242" i="1" s="1"/>
  <c r="N242" i="1"/>
  <c r="O242" i="1" s="1"/>
  <c r="P242" i="1"/>
  <c r="Q242" i="1" s="1"/>
  <c r="R242" i="1"/>
  <c r="S242" i="1" s="1"/>
  <c r="T242" i="1"/>
  <c r="U242" i="1" s="1"/>
  <c r="V242" i="1"/>
  <c r="W242" i="1" s="1"/>
  <c r="P256" i="1"/>
  <c r="Q256" i="1" s="1"/>
  <c r="R256" i="1"/>
  <c r="S256" i="1" s="1"/>
  <c r="T256" i="1"/>
  <c r="U256" i="1" s="1"/>
  <c r="V256" i="1"/>
  <c r="W256" i="1" s="1"/>
  <c r="H256" i="1"/>
  <c r="I256" i="1" s="1"/>
  <c r="J256" i="1"/>
  <c r="K256" i="1" s="1"/>
  <c r="L256" i="1"/>
  <c r="M256" i="1" s="1"/>
  <c r="N256" i="1"/>
  <c r="O256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H257" i="1"/>
  <c r="I257" i="1" s="1"/>
  <c r="K220" i="1"/>
  <c r="I220" i="1"/>
  <c r="F127" i="1"/>
  <c r="F129" i="1"/>
  <c r="F633" i="1"/>
  <c r="F371" i="1"/>
  <c r="T129" i="1" l="1"/>
  <c r="U129" i="1" s="1"/>
  <c r="R129" i="1"/>
  <c r="S129" i="1" s="1"/>
  <c r="P129" i="1"/>
  <c r="Q129" i="1" s="1"/>
  <c r="V129" i="1"/>
  <c r="W129" i="1" s="1"/>
  <c r="N129" i="1"/>
  <c r="O129" i="1" s="1"/>
  <c r="L129" i="1"/>
  <c r="M129" i="1" s="1"/>
  <c r="J129" i="1"/>
  <c r="K129" i="1" s="1"/>
  <c r="N127" i="1"/>
  <c r="O127" i="1" s="1"/>
  <c r="L127" i="1"/>
  <c r="M127" i="1" s="1"/>
  <c r="J127" i="1"/>
  <c r="K127" i="1" s="1"/>
  <c r="N371" i="1"/>
  <c r="O371" i="1" s="1"/>
  <c r="P371" i="1"/>
  <c r="Q371" i="1" s="1"/>
  <c r="R371" i="1"/>
  <c r="S371" i="1" s="1"/>
  <c r="T371" i="1"/>
  <c r="U371" i="1" s="1"/>
  <c r="V371" i="1"/>
  <c r="W371" i="1" s="1"/>
  <c r="L371" i="1"/>
  <c r="M371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G369" i="1"/>
  <c r="L623" i="1"/>
  <c r="V623" i="1" l="1"/>
  <c r="T623" i="1"/>
  <c r="R623" i="1"/>
  <c r="P623" i="1"/>
  <c r="N623" i="1"/>
  <c r="F406" i="1"/>
  <c r="O649" i="1"/>
  <c r="L625" i="1"/>
  <c r="F554" i="1"/>
  <c r="T554" i="1" l="1"/>
  <c r="U554" i="1" s="1"/>
  <c r="L554" i="1"/>
  <c r="M554" i="1" s="1"/>
  <c r="H554" i="1"/>
  <c r="I554" i="1" s="1"/>
  <c r="J554" i="1"/>
  <c r="K554" i="1" s="1"/>
  <c r="V554" i="1"/>
  <c r="W554" i="1" s="1"/>
  <c r="N554" i="1"/>
  <c r="O554" i="1" s="1"/>
  <c r="P554" i="1"/>
  <c r="Q554" i="1" s="1"/>
  <c r="R554" i="1"/>
  <c r="S554" i="1" s="1"/>
  <c r="R406" i="1"/>
  <c r="S406" i="1" s="1"/>
  <c r="P406" i="1"/>
  <c r="Q406" i="1" s="1"/>
  <c r="N406" i="1"/>
  <c r="O406" i="1" s="1"/>
  <c r="L406" i="1"/>
  <c r="M406" i="1" s="1"/>
  <c r="J406" i="1"/>
  <c r="K406" i="1" s="1"/>
  <c r="T406" i="1"/>
  <c r="U406" i="1" s="1"/>
  <c r="V406" i="1"/>
  <c r="W406" i="1" s="1"/>
  <c r="K186" i="1"/>
  <c r="I186" i="1"/>
  <c r="T625" i="1"/>
  <c r="R625" i="1"/>
  <c r="P625" i="1"/>
  <c r="N625" i="1"/>
  <c r="G292" i="1" l="1"/>
  <c r="F183" i="1" l="1"/>
  <c r="R183" i="1" l="1"/>
  <c r="S183" i="1" s="1"/>
  <c r="P183" i="1"/>
  <c r="Q183" i="1" s="1"/>
  <c r="N183" i="1"/>
  <c r="O183" i="1" s="1"/>
  <c r="V183" i="1"/>
  <c r="W183" i="1" s="1"/>
  <c r="L183" i="1"/>
  <c r="M183" i="1" s="1"/>
  <c r="T183" i="1"/>
  <c r="U183" i="1" s="1"/>
  <c r="G291" i="1"/>
  <c r="F328" i="1" l="1"/>
  <c r="R328" i="1" l="1"/>
  <c r="S328" i="1" s="1"/>
  <c r="T328" i="1"/>
  <c r="U328" i="1" s="1"/>
  <c r="V328" i="1"/>
  <c r="W328" i="1" s="1"/>
  <c r="L328" i="1"/>
  <c r="M328" i="1" s="1"/>
  <c r="N328" i="1"/>
  <c r="O328" i="1" s="1"/>
  <c r="P328" i="1"/>
  <c r="Q328" i="1" s="1"/>
  <c r="G634" i="1"/>
  <c r="G504" i="1" l="1"/>
  <c r="G503" i="1" l="1"/>
  <c r="G493" i="1" l="1"/>
  <c r="G488" i="1"/>
  <c r="G487" i="1" l="1"/>
  <c r="G251" i="1" l="1"/>
  <c r="G248" i="1"/>
  <c r="G233" i="1" l="1"/>
  <c r="G229" i="1"/>
  <c r="G553" i="1" l="1"/>
  <c r="G554" i="1"/>
  <c r="G461" i="1" l="1"/>
  <c r="G196" i="1" l="1"/>
  <c r="G195" i="1" l="1"/>
  <c r="G211" i="1"/>
  <c r="G531" i="1" l="1"/>
  <c r="G530" i="1"/>
  <c r="G529" i="1"/>
  <c r="G342" i="1" l="1"/>
  <c r="F394" i="1"/>
  <c r="V394" i="1" l="1"/>
  <c r="W394" i="1" s="1"/>
  <c r="T394" i="1"/>
  <c r="U394" i="1" s="1"/>
  <c r="R394" i="1"/>
  <c r="S394" i="1" s="1"/>
  <c r="P394" i="1"/>
  <c r="Q394" i="1" s="1"/>
  <c r="N394" i="1"/>
  <c r="O394" i="1" s="1"/>
  <c r="L394" i="1"/>
  <c r="M394" i="1" s="1"/>
  <c r="J394" i="1"/>
  <c r="K394" i="1" s="1"/>
  <c r="H394" i="1"/>
  <c r="I394" i="1" s="1"/>
  <c r="G232" i="1"/>
  <c r="G356" i="1" l="1"/>
  <c r="G170" i="1" l="1"/>
  <c r="G171" i="1"/>
  <c r="G167" i="1" l="1"/>
  <c r="G169" i="1"/>
  <c r="G168" i="1"/>
  <c r="G166" i="1"/>
  <c r="G165" i="1"/>
  <c r="G164" i="1"/>
  <c r="I164" i="1"/>
  <c r="G403" i="1" l="1"/>
  <c r="G285" i="1" l="1"/>
  <c r="G536" i="1" l="1"/>
  <c r="W556" i="1" l="1"/>
  <c r="U556" i="1"/>
  <c r="S556" i="1"/>
  <c r="Q556" i="1"/>
  <c r="O556" i="1"/>
  <c r="M556" i="1"/>
  <c r="K556" i="1"/>
  <c r="I556" i="1"/>
  <c r="W513" i="1" l="1"/>
  <c r="U513" i="1"/>
  <c r="S513" i="1"/>
  <c r="Q513" i="1"/>
  <c r="O513" i="1"/>
  <c r="M513" i="1"/>
  <c r="K513" i="1"/>
  <c r="I513" i="1"/>
  <c r="W35" i="1" l="1"/>
  <c r="U35" i="1"/>
  <c r="S35" i="1"/>
  <c r="Q35" i="1"/>
  <c r="O35" i="1"/>
  <c r="G60" i="1"/>
  <c r="U13" i="1"/>
  <c r="S13" i="1"/>
  <c r="Q13" i="1"/>
  <c r="O13" i="1"/>
  <c r="M13" i="1"/>
  <c r="K13" i="1"/>
  <c r="K27" i="1" l="1"/>
  <c r="G394" i="1" l="1"/>
  <c r="G257" i="1"/>
  <c r="G245" i="1"/>
  <c r="G250" i="1" l="1"/>
  <c r="G492" i="1" l="1"/>
  <c r="G491" i="1" l="1"/>
  <c r="G181" i="1"/>
  <c r="G180" i="1"/>
  <c r="G177" i="1"/>
  <c r="G175" i="1"/>
  <c r="G174" i="1"/>
  <c r="G173" i="1"/>
  <c r="G172" i="1"/>
  <c r="W175" i="1"/>
  <c r="W174" i="1"/>
  <c r="W173" i="1"/>
  <c r="W172" i="1"/>
  <c r="U172" i="1"/>
  <c r="S172" i="1"/>
  <c r="Q172" i="1"/>
  <c r="O172" i="1"/>
  <c r="K619" i="1"/>
  <c r="G179" i="1" l="1"/>
  <c r="G178" i="1"/>
  <c r="W177" i="1"/>
  <c r="G182" i="1"/>
  <c r="G541" i="1"/>
  <c r="I652" i="1" l="1"/>
  <c r="I651" i="1"/>
  <c r="I649" i="1"/>
  <c r="I650" i="1"/>
  <c r="W649" i="1"/>
  <c r="U649" i="1"/>
  <c r="S649" i="1"/>
  <c r="Q649" i="1"/>
  <c r="M649" i="1"/>
  <c r="K649" i="1"/>
  <c r="W512" i="1" l="1"/>
  <c r="U512" i="1" l="1"/>
  <c r="I512" i="1"/>
  <c r="M512" i="1"/>
  <c r="Q512" i="1"/>
  <c r="K512" i="1"/>
  <c r="O512" i="1"/>
  <c r="S512" i="1"/>
  <c r="G490" i="1" l="1"/>
  <c r="G489" i="1"/>
  <c r="K297" i="1" l="1"/>
  <c r="T460" i="1" l="1"/>
  <c r="R460" i="1"/>
  <c r="P460" i="1"/>
  <c r="I460" i="1"/>
  <c r="W462" i="1"/>
  <c r="U462" i="1"/>
  <c r="S462" i="1"/>
  <c r="Q462" i="1"/>
  <c r="O462" i="1"/>
  <c r="M462" i="1"/>
  <c r="K462" i="1"/>
  <c r="I462" i="1"/>
  <c r="I566" i="1"/>
  <c r="G231" i="1" l="1"/>
  <c r="G537" i="1" l="1"/>
  <c r="G547" i="1" l="1"/>
  <c r="G544" i="1"/>
  <c r="G546" i="1"/>
  <c r="G525" i="1" l="1"/>
  <c r="S518" i="1" l="1"/>
  <c r="Q518" i="1"/>
  <c r="W518" i="1"/>
  <c r="O518" i="1"/>
  <c r="U518" i="1"/>
  <c r="M518" i="1"/>
  <c r="K518" i="1"/>
  <c r="G520" i="1"/>
  <c r="G528" i="1"/>
  <c r="G521" i="1" l="1"/>
  <c r="G527" i="1"/>
  <c r="G524" i="1"/>
  <c r="I518" i="1"/>
  <c r="G545" i="1"/>
  <c r="G543" i="1"/>
  <c r="G542" i="1"/>
  <c r="G535" i="1"/>
  <c r="G534" i="1"/>
  <c r="G533" i="1"/>
  <c r="G532" i="1"/>
  <c r="G523" i="1"/>
  <c r="G518" i="1"/>
  <c r="G269" i="1" l="1"/>
  <c r="G374" i="1" l="1"/>
  <c r="G268" i="1" l="1"/>
  <c r="G293" i="1"/>
  <c r="G282" i="1"/>
  <c r="G280" i="1"/>
  <c r="G281" i="1"/>
  <c r="I15" i="1"/>
  <c r="I16" i="1"/>
  <c r="G16" i="1"/>
  <c r="G15" i="1"/>
  <c r="N16" i="1"/>
  <c r="G45" i="1"/>
  <c r="G44" i="1"/>
  <c r="W43" i="1"/>
  <c r="U43" i="1"/>
  <c r="S43" i="1"/>
  <c r="Q43" i="1"/>
  <c r="O43" i="1"/>
  <c r="G43" i="1"/>
  <c r="G126" i="1"/>
  <c r="G154" i="1" l="1"/>
  <c r="G218" i="1" l="1"/>
  <c r="G378" i="1" l="1"/>
  <c r="G632" i="1" l="1"/>
  <c r="U627" i="1" l="1"/>
  <c r="K627" i="1"/>
  <c r="S627" i="1"/>
  <c r="Q627" i="1"/>
  <c r="O627" i="1"/>
  <c r="M627" i="1"/>
  <c r="G627" i="1"/>
  <c r="U629" i="1"/>
  <c r="S629" i="1"/>
  <c r="Q629" i="1"/>
  <c r="O629" i="1"/>
  <c r="M629" i="1"/>
  <c r="K629" i="1"/>
  <c r="G629" i="1"/>
  <c r="G412" i="1" l="1"/>
  <c r="G411" i="1"/>
  <c r="Q57" i="1" l="1"/>
  <c r="M57" i="1"/>
  <c r="K57" i="1"/>
  <c r="W57" i="1"/>
  <c r="U57" i="1"/>
  <c r="S57" i="1"/>
  <c r="O57" i="1"/>
  <c r="G57" i="1"/>
  <c r="G324" i="1" l="1"/>
  <c r="G220" i="1" l="1"/>
  <c r="G345" i="1" l="1"/>
  <c r="G277" i="1"/>
  <c r="G222" i="1" l="1"/>
  <c r="G223" i="1"/>
  <c r="G225" i="1" l="1"/>
  <c r="I645" i="1" l="1"/>
  <c r="K645" i="1"/>
  <c r="W645" i="1"/>
  <c r="U645" i="1"/>
  <c r="S645" i="1"/>
  <c r="Q645" i="1"/>
  <c r="O645" i="1"/>
  <c r="M645" i="1"/>
  <c r="W644" i="1"/>
  <c r="U644" i="1"/>
  <c r="S644" i="1"/>
  <c r="Q644" i="1"/>
  <c r="O644" i="1"/>
  <c r="M644" i="1"/>
  <c r="S650" i="1"/>
  <c r="U650" i="1"/>
  <c r="W650" i="1"/>
  <c r="S651" i="1"/>
  <c r="U651" i="1"/>
  <c r="W651" i="1"/>
  <c r="S652" i="1"/>
  <c r="U652" i="1"/>
  <c r="W652" i="1"/>
  <c r="Q652" i="1"/>
  <c r="O652" i="1"/>
  <c r="M652" i="1"/>
  <c r="K652" i="1"/>
  <c r="M123" i="1" l="1"/>
  <c r="M119" i="1"/>
  <c r="M118" i="1"/>
  <c r="M114" i="1"/>
  <c r="M113" i="1"/>
  <c r="O108" i="1"/>
  <c r="O107" i="1"/>
  <c r="Q74" i="1" l="1"/>
  <c r="Q73" i="1"/>
  <c r="Q71" i="1"/>
  <c r="Q69" i="1"/>
  <c r="Q70" i="1"/>
  <c r="U628" i="1" l="1"/>
  <c r="S628" i="1"/>
  <c r="Q628" i="1"/>
  <c r="O628" i="1"/>
  <c r="M628" i="1"/>
  <c r="W623" i="1"/>
  <c r="U623" i="1"/>
  <c r="S623" i="1"/>
  <c r="Q623" i="1"/>
  <c r="O623" i="1"/>
  <c r="M623" i="1"/>
  <c r="W460" i="1"/>
  <c r="U460" i="1"/>
  <c r="S460" i="1"/>
  <c r="Q460" i="1"/>
  <c r="O460" i="1"/>
  <c r="M460" i="1"/>
  <c r="K460" i="1"/>
  <c r="Q426" i="1"/>
  <c r="Q409" i="1"/>
  <c r="Q407" i="1"/>
  <c r="G620" i="1" l="1"/>
  <c r="G619" i="1"/>
  <c r="Q176" i="1" l="1"/>
  <c r="Q123" i="1" l="1"/>
  <c r="Q119" i="1"/>
  <c r="Q118" i="1"/>
  <c r="Q114" i="1"/>
  <c r="Q113" i="1"/>
  <c r="Q109" i="1"/>
  <c r="Q108" i="1"/>
  <c r="Q107" i="1"/>
  <c r="Q106" i="1"/>
  <c r="Q105" i="1"/>
  <c r="K53" i="1"/>
  <c r="Q53" i="1"/>
  <c r="Q125" i="1" l="1"/>
  <c r="Q46" i="1" l="1"/>
  <c r="Q40" i="1"/>
  <c r="Q38" i="1"/>
  <c r="Q37" i="1"/>
  <c r="Q34" i="1"/>
  <c r="Q29" i="1"/>
  <c r="G509" i="1" l="1"/>
  <c r="G219" i="1"/>
  <c r="G234" i="1" l="1"/>
  <c r="G206" i="1"/>
  <c r="G419" i="1" l="1"/>
  <c r="G372" i="1" l="1"/>
  <c r="G406" i="1"/>
  <c r="G274" i="1"/>
  <c r="G351" i="1"/>
  <c r="G350" i="1"/>
  <c r="Q142" i="1"/>
  <c r="Q141" i="1"/>
  <c r="W38" i="1"/>
  <c r="G129" i="1" l="1"/>
  <c r="G254" i="1" l="1"/>
  <c r="G185" i="1"/>
  <c r="G270" i="1" l="1"/>
  <c r="G371" i="1"/>
  <c r="O71" i="1" l="1"/>
  <c r="G201" i="1"/>
  <c r="G275" i="1" l="1"/>
  <c r="W69" i="1" l="1"/>
  <c r="U69" i="1"/>
  <c r="S69" i="1"/>
  <c r="O69" i="1"/>
  <c r="G271" i="1"/>
  <c r="G363" i="1" l="1"/>
  <c r="G162" i="1" l="1"/>
  <c r="G328" i="1" l="1"/>
  <c r="G633" i="1"/>
  <c r="G635" i="1"/>
  <c r="G416" i="1" l="1"/>
  <c r="G494" i="1" l="1"/>
  <c r="G39" i="1" l="1"/>
  <c r="U38" i="1"/>
  <c r="S38" i="1"/>
  <c r="O38" i="1"/>
  <c r="G38" i="1"/>
  <c r="G272" i="1" l="1"/>
  <c r="I565" i="1" l="1"/>
  <c r="G242" i="1" l="1"/>
  <c r="G247" i="1" l="1"/>
  <c r="G243" i="1"/>
  <c r="G163" i="1" l="1"/>
  <c r="V97" i="1" l="1"/>
  <c r="T97" i="1"/>
  <c r="R97" i="1"/>
  <c r="N97" i="1"/>
  <c r="K97" i="1"/>
  <c r="G383" i="1" l="1"/>
  <c r="G502" i="1" l="1"/>
  <c r="G202" i="1" l="1"/>
  <c r="G450" i="1" l="1"/>
  <c r="G386" i="1"/>
  <c r="I676" i="1" l="1"/>
  <c r="M125" i="1"/>
  <c r="W123" i="1"/>
  <c r="W119" i="1"/>
  <c r="W118" i="1"/>
  <c r="W114" i="1"/>
  <c r="W113" i="1"/>
  <c r="U123" i="1"/>
  <c r="U119" i="1"/>
  <c r="U118" i="1"/>
  <c r="U114" i="1"/>
  <c r="U113" i="1"/>
  <c r="S123" i="1"/>
  <c r="S119" i="1"/>
  <c r="S114" i="1"/>
  <c r="S113" i="1"/>
  <c r="O114" i="1"/>
  <c r="O118" i="1"/>
  <c r="O119" i="1"/>
  <c r="O123" i="1"/>
  <c r="O113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5" i="1" l="1"/>
  <c r="G511" i="1" l="1"/>
  <c r="G510" i="1"/>
  <c r="G497" i="1"/>
  <c r="G499" i="1"/>
  <c r="G507" i="1"/>
  <c r="G506" i="1"/>
  <c r="G443" i="1" l="1"/>
  <c r="G377" i="1" l="1"/>
  <c r="G273" i="1" l="1"/>
  <c r="G290" i="1"/>
  <c r="G276" i="1"/>
  <c r="G289" i="1" l="1"/>
  <c r="G288" i="1"/>
  <c r="G217" i="1" l="1"/>
  <c r="G10" i="1"/>
  <c r="G208" i="1" l="1"/>
  <c r="G623" i="1" l="1"/>
  <c r="G209" i="1" l="1"/>
  <c r="O34" i="1"/>
  <c r="G184" i="1" l="1"/>
  <c r="G259" i="1" l="1"/>
  <c r="G261" i="1"/>
  <c r="G260" i="1"/>
  <c r="G375" i="1" l="1"/>
  <c r="G376" i="1"/>
  <c r="S40" i="1" l="1"/>
  <c r="G110" i="1" l="1"/>
  <c r="G440" i="1" l="1"/>
  <c r="G631" i="1" l="1"/>
  <c r="G628" i="1"/>
  <c r="G258" i="1"/>
  <c r="G210" i="1"/>
  <c r="G207" i="1"/>
  <c r="G205" i="1"/>
  <c r="G199" i="1"/>
  <c r="G200" i="1"/>
  <c r="G198" i="1"/>
  <c r="G104" i="1"/>
  <c r="G64" i="1"/>
  <c r="G22" i="1"/>
  <c r="G20" i="1"/>
  <c r="G21" i="1"/>
  <c r="G368" i="1" l="1"/>
  <c r="U407" i="1" l="1"/>
  <c r="S407" i="1"/>
  <c r="M407" i="1"/>
  <c r="O407" i="1"/>
  <c r="G407" i="1"/>
  <c r="J448" i="1" l="1"/>
  <c r="J446" i="1"/>
  <c r="J445" i="1"/>
  <c r="J444" i="1"/>
  <c r="J447" i="1"/>
  <c r="J443" i="1"/>
  <c r="W109" i="1" l="1"/>
  <c r="U109" i="1"/>
  <c r="S109" i="1"/>
  <c r="O109" i="1"/>
  <c r="G19" i="1"/>
  <c r="G409" i="1"/>
  <c r="M409" i="1"/>
  <c r="O409" i="1"/>
  <c r="S409" i="1"/>
  <c r="U409" i="1"/>
  <c r="W335" i="1"/>
  <c r="G153" i="1"/>
  <c r="G24" i="1" l="1"/>
  <c r="G501" i="1" l="1"/>
  <c r="G54" i="1" l="1"/>
  <c r="G56" i="1"/>
  <c r="O29" i="1"/>
  <c r="G58" i="1"/>
  <c r="U29" i="1" l="1"/>
  <c r="G193" i="1"/>
  <c r="W563" i="1" l="1"/>
  <c r="U563" i="1"/>
  <c r="S563" i="1"/>
  <c r="Q563" i="1"/>
  <c r="O563" i="1"/>
  <c r="M563" i="1"/>
  <c r="K563" i="1"/>
  <c r="G27" i="1"/>
  <c r="G295" i="1"/>
  <c r="O125" i="1"/>
  <c r="S125" i="1"/>
  <c r="U125" i="1"/>
  <c r="G287" i="1" l="1"/>
  <c r="G13" i="1" l="1"/>
  <c r="G462" i="1" l="1"/>
  <c r="G145" i="1" l="1"/>
  <c r="G12" i="1"/>
  <c r="G18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O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3" i="1"/>
  <c r="M53" i="1"/>
  <c r="O53" i="1"/>
  <c r="S53" i="1"/>
  <c r="U53" i="1"/>
  <c r="W53" i="1"/>
  <c r="G55" i="1"/>
  <c r="G59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8" i="1"/>
  <c r="G100" i="1"/>
  <c r="G101" i="1"/>
  <c r="G102" i="1"/>
  <c r="G103" i="1"/>
  <c r="G109" i="1"/>
  <c r="G125" i="1"/>
  <c r="G127" i="1"/>
  <c r="G137" i="1"/>
  <c r="Q137" i="1"/>
  <c r="G138" i="1"/>
  <c r="Q138" i="1"/>
  <c r="G141" i="1"/>
  <c r="G142" i="1"/>
  <c r="G147" i="1"/>
  <c r="G160" i="1"/>
  <c r="G161" i="1"/>
  <c r="G176" i="1"/>
  <c r="M176" i="1"/>
  <c r="O176" i="1"/>
  <c r="S176" i="1"/>
  <c r="U176" i="1"/>
  <c r="W176" i="1"/>
  <c r="G183" i="1"/>
  <c r="G186" i="1"/>
  <c r="G204" i="1"/>
  <c r="G212" i="1"/>
  <c r="G213" i="1"/>
  <c r="M213" i="1"/>
  <c r="P213" i="1"/>
  <c r="G214" i="1"/>
  <c r="G215" i="1"/>
  <c r="G216" i="1"/>
  <c r="G221" i="1"/>
  <c r="G241" i="1"/>
  <c r="G253" i="1"/>
  <c r="G255" i="1"/>
  <c r="G256" i="1"/>
  <c r="G262" i="1"/>
  <c r="G263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20" i="1"/>
  <c r="G321" i="1"/>
  <c r="G322" i="1"/>
  <c r="G325" i="1"/>
  <c r="G326" i="1"/>
  <c r="G327" i="1"/>
  <c r="G329" i="1"/>
  <c r="G330" i="1"/>
  <c r="G334" i="1"/>
  <c r="G335" i="1"/>
  <c r="G337" i="1"/>
  <c r="G338" i="1"/>
  <c r="G347" i="1"/>
  <c r="G348" i="1"/>
  <c r="G349" i="1"/>
  <c r="G352" i="1"/>
  <c r="G358" i="1"/>
  <c r="G359" i="1"/>
  <c r="G362" i="1"/>
  <c r="G364" i="1"/>
  <c r="G365" i="1"/>
  <c r="G366" i="1"/>
  <c r="G367" i="1"/>
  <c r="G379" i="1"/>
  <c r="G382" i="1"/>
  <c r="G385" i="1"/>
  <c r="G387" i="1"/>
  <c r="G388" i="1"/>
  <c r="G410" i="1"/>
  <c r="G417" i="1"/>
  <c r="G426" i="1"/>
  <c r="O426" i="1"/>
  <c r="S426" i="1"/>
  <c r="U426" i="1"/>
  <c r="W426" i="1"/>
  <c r="G427" i="1"/>
  <c r="G428" i="1"/>
  <c r="G429" i="1"/>
  <c r="G430" i="1"/>
  <c r="G437" i="1"/>
  <c r="G438" i="1"/>
  <c r="G441" i="1"/>
  <c r="G444" i="1"/>
  <c r="G445" i="1"/>
  <c r="G446" i="1"/>
  <c r="G447" i="1"/>
  <c r="G448" i="1"/>
  <c r="G451" i="1"/>
  <c r="G452" i="1"/>
  <c r="G453" i="1"/>
  <c r="G455" i="1"/>
  <c r="G456" i="1"/>
  <c r="G458" i="1"/>
  <c r="G459" i="1"/>
  <c r="G460" i="1"/>
  <c r="G505" i="1"/>
  <c r="G625" i="1"/>
  <c r="M625" i="1"/>
  <c r="O625" i="1"/>
  <c r="Q625" i="1"/>
  <c r="S625" i="1"/>
  <c r="U625" i="1"/>
  <c r="M642" i="1"/>
  <c r="O642" i="1"/>
  <c r="Q642" i="1"/>
  <c r="S642" i="1"/>
  <c r="U642" i="1"/>
  <c r="W642" i="1"/>
  <c r="K643" i="1"/>
  <c r="M643" i="1"/>
  <c r="O643" i="1"/>
  <c r="Q643" i="1"/>
  <c r="S643" i="1"/>
  <c r="U643" i="1"/>
  <c r="W643" i="1"/>
  <c r="K650" i="1"/>
  <c r="M650" i="1"/>
  <c r="O650" i="1"/>
  <c r="Q650" i="1"/>
  <c r="K651" i="1"/>
  <c r="M651" i="1"/>
  <c r="O651" i="1"/>
  <c r="Q651" i="1"/>
  <c r="M654" i="1"/>
  <c r="Q654" i="1"/>
  <c r="I675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1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<sst xmlns="http://schemas.openxmlformats.org/spreadsheetml/2006/main" count="1105" uniqueCount="914">
  <si>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</si>
  <si>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</si>
  <si>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</si>
  <si>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</si>
  <si>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</si>
  <si>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</si>
  <si>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</si>
  <si>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</si>
  <si>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</si>
  <si>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</si>
  <si>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</si>
  <si>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</si>
  <si>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</si>
  <si>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</si>
  <si>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</si>
  <si>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</si>
  <si>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</si>
  <si>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</si>
  <si>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</si>
  <si>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</si>
  <si>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</si>
  <si>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</si>
  <si>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</si>
  <si>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</si>
  <si>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</si>
  <si>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</si>
  <si>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</si>
  <si>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</si>
  <si>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</si>
  <si>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</si>
  <si>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</si>
  <si>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</si>
  <si>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</si>
  <si>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</si>
  <si>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</si>
  <si>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</si>
  <si>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</si>
  <si>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</si>
  <si>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</si>
  <si>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</si>
  <si>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</si>
  <si>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</si>
  <si>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</si>
  <si>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</si>
  <si>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</si>
  <si>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</si>
  <si>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</si>
  <si>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</si>
  <si>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</si>
  <si>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</si>
  <si>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</si>
  <si>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</si>
  <si>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</si>
  <si>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</si>
  <si>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</si>
  <si>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</si>
  <si>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</si>
  <si>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</si>
  <si>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</si>
  <si>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</si>
  <si>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</si>
  <si>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</si>
  <si>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</si>
  <si>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</si>
  <si>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</si>
  <si>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</si>
  <si>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</si>
  <si>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</si>
  <si>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</si>
  <si>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</si>
  <si>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</si>
  <si>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</si>
  <si>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</si>
  <si>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</si>
  <si>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</si>
  <si>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</si>
  <si>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</si>
  <si>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</si>
  <si>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</si>
  <si>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</si>
  <si>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</si>
  <si>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</si>
  <si>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</si>
  <si>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</si>
  <si>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</si>
  <si>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</si>
  <si>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</si>
  <si>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</si>
  <si>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</si>
  <si>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</si>
  <si>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</si>
  <si>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</si>
  <si>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</si>
  <si>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</si>
  <si>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</si>
  <si>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</si>
  <si>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</si>
  <si>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</si>
  <si>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</si>
  <si>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</si>
  <si>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</si>
  <si>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</si>
  <si>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</si>
  <si>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</si>
  <si>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</si>
  <si>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</si>
  <si>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</si>
  <si>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</si>
  <si>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</si>
  <si>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</si>
  <si>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</si>
  <si>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</si>
  <si>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</si>
  <si>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</si>
  <si>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</si>
  <si>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</si>
  <si>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</si>
  <si>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</si>
  <si>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</si>
  <si>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</si>
  <si>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</si>
  <si>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</si>
  <si>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</si>
  <si>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</si>
  <si>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</si>
  <si>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</si>
  <si>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</si>
  <si>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</si>
  <si>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</si>
  <si>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</si>
  <si>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</si>
  <si>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</si>
  <si>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</si>
  <si>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</si>
  <si>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</si>
  <si>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</si>
  <si>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</si>
  <si>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</si>
  <si>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</si>
  <si>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</si>
  <si>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</si>
  <si>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</si>
  <si>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</si>
  <si>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</si>
  <si>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</si>
  <si>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</si>
  <si>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</si>
  <si>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</si>
  <si>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</si>
  <si>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</si>
  <si>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</si>
  <si>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</si>
  <si>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</si>
  <si>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</si>
  <si>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</si>
  <si>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</si>
  <si>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</si>
  <si>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</si>
  <si>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</si>
  <si>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</si>
  <si>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</si>
  <si>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</si>
  <si>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</si>
  <si>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</si>
  <si>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</si>
  <si>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</si>
  <si>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</si>
  <si>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</si>
  <si>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</si>
  <si>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</si>
  <si>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</si>
  <si>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</si>
  <si>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</si>
  <si>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</si>
  <si>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</si>
  <si>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</si>
  <si>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</si>
  <si>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</si>
  <si>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</si>
  <si>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</si>
  <si>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</si>
  <si>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</si>
  <si>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</si>
  <si>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</si>
  <si>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</si>
  <si>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</si>
  <si>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</si>
  <si>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</si>
  <si>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</si>
  <si>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</si>
  <si>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</si>
  <si>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</si>
  <si>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</si>
  <si>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</si>
  <si>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</si>
  <si>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</si>
  <si>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</si>
  <si>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</si>
  <si>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</si>
  <si>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</si>
  <si>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</si>
  <si>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</si>
  <si>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</si>
  <si>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</si>
  <si>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</si>
  <si>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</si>
  <si>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</si>
  <si>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</si>
  <si>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</si>
  <si>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</si>
  <si>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</si>
  <si>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</si>
  <si>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</si>
  <si>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</si>
  <si>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</si>
  <si>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</si>
  <si>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</si>
  <si>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</si>
  <si>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</si>
  <si>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</si>
  <si>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</si>
  <si>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</si>
  <si>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</si>
  <si>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</si>
  <si>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</si>
  <si>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</si>
  <si>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</si>
  <si>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</si>
  <si>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</si>
  <si>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</si>
  <si>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</si>
  <si>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</si>
  <si>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</si>
  <si>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</si>
  <si>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</si>
  <si>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</si>
  <si>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</si>
  <si>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</si>
  <si>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</si>
  <si>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</si>
  <si>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</si>
  <si>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</si>
  <si>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</si>
  <si>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</si>
  <si>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</si>
  <si>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</si>
  <si>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</si>
  <si>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</si>
  <si>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</si>
  <si>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</si>
  <si>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</si>
  <si>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</si>
  <si>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</si>
  <si>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</si>
  <si>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</si>
  <si>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</si>
  <si>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</si>
  <si>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</si>
  <si>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</si>
  <si>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</si>
  <si>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</si>
  <si>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</si>
  <si>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</si>
  <si>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</si>
  <si>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</si>
  <si>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</si>
  <si>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</si>
  <si>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</si>
  <si>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</si>
  <si>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</si>
  <si>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</si>
  <si>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</si>
  <si>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</si>
  <si>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</si>
  <si>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</si>
  <si>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</si>
  <si>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</si>
  <si>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</si>
  <si>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</si>
  <si>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</si>
  <si>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</si>
  <si>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</si>
  <si>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</si>
  <si>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</si>
  <si>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</si>
  <si>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</si>
  <si>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</si>
  <si>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</si>
  <si>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</si>
  <si>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</si>
  <si>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</si>
  <si>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</si>
  <si>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</si>
  <si>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</si>
  <si>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</si>
  <si>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</si>
  <si>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</si>
  <si>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</si>
  <si>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</si>
  <si>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</si>
  <si>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</si>
  <si>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</si>
  <si>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</si>
  <si>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</si>
  <si>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</si>
  <si>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</si>
  <si>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</si>
  <si>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</si>
  <si>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</si>
  <si>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</si>
  <si>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</si>
  <si>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</si>
  <si>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</si>
  <si>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</si>
  <si>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</si>
  <si>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</si>
  <si>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</si>
  <si>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</si>
  <si>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</si>
  <si>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</si>
  <si>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</si>
  <si>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</si>
  <si>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</si>
  <si>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</si>
  <si>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</si>
  <si>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</si>
  <si>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</si>
  <si>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</si>
  <si>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</si>
  <si>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</si>
  <si>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</si>
  <si>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</si>
  <si>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</si>
  <si>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</si>
  <si>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</si>
  <si>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</si>
  <si>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</si>
  <si>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</si>
  <si>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</si>
  <si>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</si>
  <si>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</si>
  <si>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</si>
  <si>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</si>
  <si>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</si>
  <si>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</si>
  <si>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</si>
  <si>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</si>
  <si>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</si>
  <si>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</si>
  <si>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</si>
  <si>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</si>
  <si>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</si>
  <si>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</si>
  <si>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</si>
  <si>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</si>
  <si>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</si>
  <si>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</si>
  <si>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</si>
  <si>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</si>
  <si>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</si>
  <si>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</si>
  <si>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</si>
  <si>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</si>
  <si>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</si>
  <si>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</si>
  <si>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</si>
  <si>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</si>
  <si>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</si>
  <si>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</si>
  <si>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</si>
  <si>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</si>
  <si>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</si>
  <si>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</si>
  <si>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</si>
  <si>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</si>
  <si>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</si>
  <si>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</si>
  <si>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</si>
  <si>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</si>
  <si>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</si>
  <si>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</si>
  <si>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</si>
  <si>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</si>
  <si>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</si>
  <si>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</si>
  <si>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</si>
  <si>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</si>
  <si>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</si>
  <si>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</si>
  <si>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</si>
  <si>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</si>
  <si>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</si>
  <si>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</si>
  <si>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</si>
  <si>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</si>
  <si>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</si>
  <si>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</si>
  <si>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</si>
  <si>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</si>
  <si>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</si>
  <si>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</si>
  <si>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</si>
  <si>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</si>
  <si>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</si>
  <si>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</si>
  <si>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</si>
  <si>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</si>
  <si>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</si>
  <si>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</si>
  <si>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</si>
  <si>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</si>
  <si>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</si>
  <si>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</si>
  <si>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</si>
  <si>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</si>
  <si>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</si>
  <si>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</si>
  <si>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</si>
  <si>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</si>
  <si>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</si>
  <si>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</si>
  <si>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</si>
  <si>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</si>
  <si>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</si>
  <si>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</si>
  <si>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</si>
  <si>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</si>
  <si>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</si>
  <si>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</si>
  <si>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</si>
  <si>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</si>
  <si>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</si>
  <si>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</si>
  <si>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</si>
  <si>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</si>
  <si>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</si>
  <si>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</si>
  <si>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</si>
  <si>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</si>
  <si>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</si>
  <si>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</si>
  <si>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</si>
  <si>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</si>
  <si>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</si>
  <si>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</si>
  <si>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</si>
  <si>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</si>
  <si>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</si>
  <si>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</si>
  <si>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</si>
  <si>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</si>
  <si>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</si>
  <si>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</si>
  <si>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</si>
  <si>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</si>
  <si>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</si>
  <si>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</si>
  <si>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</si>
  <si>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</si>
  <si>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</si>
  <si>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</si>
  <si>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</si>
  <si>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</si>
  <si>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</si>
  <si>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</si>
  <si>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</si>
  <si>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</si>
  <si>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</si>
  <si>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</si>
  <si>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</si>
  <si>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</si>
  <si>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</si>
  <si>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</si>
  <si>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</si>
  <si>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</si>
  <si>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</si>
  <si>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</si>
  <si>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</si>
  <si>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</si>
  <si>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</si>
  <si>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</si>
  <si>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</si>
  <si>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</si>
  <si>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</si>
  <si>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</si>
  <si>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</si>
  <si>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</si>
  <si>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</si>
  <si>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</si>
  <si>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</si>
  <si>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</si>
  <si>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</si>
  <si>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</si>
  <si>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</si>
  <si>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</si>
  <si>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</si>
  <si>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</si>
  <si>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</si>
  <si>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</si>
  <si>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</si>
  <si>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</si>
  <si>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</si>
  <si>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</si>
  <si>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</si>
  <si>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</si>
  <si>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</si>
  <si>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</si>
  <si>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</si>
  <si>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</si>
  <si>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</si>
  <si>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</si>
  <si>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</si>
  <si>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</si>
  <si>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</si>
  <si>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</si>
  <si>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</si>
  <si>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</si>
  <si>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</si>
  <si>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</si>
  <si>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</si>
  <si>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</si>
  <si>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</si>
  <si>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</si>
  <si>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</si>
  <si>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</si>
  <si>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</si>
  <si>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</si>
  <si>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</si>
  <si>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</si>
  <si>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</si>
  <si>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</si>
  <si>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</si>
  <si>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</si>
  <si>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</si>
  <si>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</si>
  <si>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</si>
  <si>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</si>
  <si>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</si>
  <si>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</si>
  <si>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</si>
  <si>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</si>
  <si>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</si>
  <si>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</si>
  <si>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</si>
  <si>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</si>
  <si>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</si>
  <si>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</si>
  <si>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</si>
  <si>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</si>
  <si>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</si>
  <si>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</si>
  <si>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</si>
  <si>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</si>
  <si>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</si>
  <si>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</si>
  <si>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</si>
  <si>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</si>
  <si>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</si>
  <si>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</si>
  <si>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</si>
  <si>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</si>
  <si>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</si>
  <si>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</si>
  <si>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</si>
  <si>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</si>
  <si>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</si>
  <si>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</si>
  <si>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</si>
  <si>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</si>
  <si>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</si>
  <si>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</si>
  <si>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</si>
  <si>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</si>
  <si>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</si>
  <si>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</si>
  <si>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</si>
  <si>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</si>
  <si>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</si>
  <si>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</si>
  <si>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</si>
  <si>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</si>
  <si>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</si>
  <si>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</si>
  <si>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</si>
  <si>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</si>
  <si>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</si>
  <si>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</si>
  <si>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</si>
  <si>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</si>
  <si>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</si>
  <si>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</si>
  <si>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</si>
  <si>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</si>
  <si>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</si>
  <si>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</si>
  <si>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</si>
  <si>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</si>
  <si>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</si>
  <si>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</si>
  <si>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</si>
  <si>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</si>
  <si>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</si>
  <si>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</si>
  <si>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</si>
  <si>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</si>
  <si>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</si>
  <si>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</si>
  <si>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</si>
  <si>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</si>
  <si>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</si>
  <si>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</si>
  <si>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</si>
  <si>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</si>
  <si>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</si>
  <si>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</si>
  <si>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</si>
  <si>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</si>
  <si>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</si>
  <si>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</si>
  <si>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</si>
  <si>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</si>
  <si>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</si>
  <si>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</si>
  <si>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</si>
  <si>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</si>
  <si>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</si>
  <si>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</si>
  <si>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</si>
  <si>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</si>
  <si>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</si>
  <si>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</si>
  <si>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</si>
  <si>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</si>
  <si>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</si>
  <si>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</si>
  <si>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</si>
  <si>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</si>
  <si>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</si>
  <si>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</si>
  <si>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</si>
  <si>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00661 - Cooler LN poliester 5 litros 20x15x15cm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</si>
  <si>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</si>
  <si>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</si>
  <si>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</si>
  <si>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</si>
  <si>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</si>
  <si>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</si>
  <si>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</si>
  <si>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</si>
  <si>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</si>
  <si>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</si>
  <si>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</si>
  <si>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</si>
  <si>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</si>
  <si>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</si>
  <si>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</si>
  <si>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</si>
  <si>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</si>
  <si>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</si>
  <si>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</si>
  <si>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</si>
  <si>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</si>
  <si>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</si>
  <si>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</si>
  <si>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</si>
  <si>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</si>
  <si>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</si>
  <si>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</si>
  <si>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</si>
  <si>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</si>
  <si>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</si>
  <si>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</si>
  <si>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</si>
  <si>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</si>
  <si>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</si>
  <si>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</si>
  <si>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</si>
  <si>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</si>
  <si>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</si>
  <si>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</si>
  <si>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</si>
  <si>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</si>
  <si>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</si>
  <si>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</si>
  <si>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</si>
  <si>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</si>
  <si>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</si>
  <si>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</si>
  <si>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</si>
  <si>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</si>
  <si>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</si>
  <si>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</si>
  <si>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</si>
  <si>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</si>
  <si>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</si>
  <si>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</si>
  <si>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</si>
  <si>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</si>
  <si>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</si>
  <si>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</si>
  <si>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</si>
  <si>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</si>
  <si>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</si>
  <si>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</si>
  <si>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</si>
  <si>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</si>
  <si>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</si>
  <si>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</si>
  <si>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</si>
  <si>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</si>
  <si>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</si>
  <si>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</si>
  <si>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</si>
  <si>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</si>
  <si>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</si>
  <si>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</si>
  <si>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</si>
  <si>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</si>
  <si>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</si>
  <si>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</si>
  <si>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</si>
  <si>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</si>
  <si>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</si>
  <si>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</si>
  <si>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</si>
  <si>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</si>
  <si>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</si>
  <si>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</si>
  <si>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</si>
  <si>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</si>
  <si>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</si>
  <si>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</si>
  <si>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</si>
  <si>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</si>
  <si>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</si>
  <si>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</si>
  <si>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</si>
  <si>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</si>
  <si>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</si>
  <si>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</si>
  <si>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</si>
  <si>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</si>
  <si>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</si>
  <si>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</si>
  <si>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</si>
  <si>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</si>
  <si>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</si>
  <si>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</si>
  <si>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</si>
  <si>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</si>
  <si>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</si>
  <si>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</si>
  <si>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</si>
  <si>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</si>
  <si>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</si>
  <si>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</si>
  <si>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</si>
  <si>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</si>
  <si>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</si>
  <si>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</si>
  <si>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</si>
  <si>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</si>
  <si>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</si>
  <si>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</si>
  <si>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</si>
  <si>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</si>
  <si>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</si>
  <si>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</si>
  <si>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</si>
  <si>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</si>
  <si>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</si>
  <si>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</si>
  <si>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</si>
  <si>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</si>
  <si>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</si>
  <si>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</si>
  <si>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</si>
  <si>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</si>
  <si>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</si>
  <si>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</si>
  <si>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</si>
  <si>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</si>
  <si>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</si>
  <si>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</si>
  <si>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</si>
  <si>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</si>
  <si>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</si>
  <si>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</si>
  <si>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</si>
  <si>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</si>
  <si>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</si>
  <si>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</si>
  <si>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</si>
  <si>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</si>
  <si>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</si>
  <si>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</si>
  <si>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</si>
  <si>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</si>
  <si>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</si>
  <si>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</si>
  <si>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</si>
  <si>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</si>
  <si>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</si>
  <si>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</si>
  <si>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</si>
  <si>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</si>
  <si>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</si>
  <si>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</si>
  <si>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</si>
  <si>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</si>
  <si>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</si>
  <si>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</si>
  <si>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</si>
  <si>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</si>
  <si>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</si>
  <si>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</si>
  <si>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</si>
  <si>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</si>
  <si>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</si>
  <si>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</si>
  <si>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</si>
  <si>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</si>
  <si>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</si>
  <si>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</si>
  <si>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</si>
  <si>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</si>
  <si>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</si>
  <si>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</si>
  <si>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</si>
  <si>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</si>
  <si>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</si>
  <si>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</si>
  <si>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</si>
  <si>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</si>
  <si>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</si>
  <si>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</si>
  <si>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</si>
  <si>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</si>
  <si>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</si>
  <si>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</si>
  <si>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</si>
  <si>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</si>
  <si>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</si>
  <si>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</si>
  <si>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</si>
  <si>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</si>
  <si>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</si>
  <si>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02506 - Set de 6 crayones en cajita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</si>
  <si>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</si>
  <si>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</si>
  <si>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</si>
  <si>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</si>
  <si>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</si>
  <si>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</si>
  <si>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</si>
  <si>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</si>
  <si>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</si>
  <si>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</si>
  <si>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</si>
  <si>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</si>
  <si>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</si>
  <si>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</si>
  <si>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</si>
  <si>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</si>
  <si>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</si>
  <si>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</si>
  <si>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>01046 - Vaso térmico acero PAMPERO® PUELO 590 ml</t>
  </si>
  <si>
    <t xml:space="preserve">01052 - Vaso térmico doble pared acero y plástico </t>
  </si>
  <si>
    <t>00466 - Destapador plástico y metal con iman para heladera</t>
  </si>
  <si>
    <t>LISTA DE PRECIOS Nº 8 / 2024 (En Pesos)  -  NO INCLUYE I.V.A.  -  AGOSTO 2024</t>
  </si>
  <si>
    <t>CON LOGO IMPRESO / GRABADO SEGÚN PRODUCTO</t>
  </si>
  <si>
    <t>CON LOGO FULL COLOR</t>
  </si>
  <si>
    <t>M-51 - Llavero metálico mate, combinado con tela webbing</t>
  </si>
  <si>
    <t>M-51</t>
  </si>
  <si>
    <t>00311 - Llavero destapador de aluminio</t>
  </si>
  <si>
    <t>LL-113 - Llavero de metal rectangular con eco cuero negro</t>
  </si>
  <si>
    <t>LL-113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</si>
  <si>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</si>
  <si>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</si>
  <si>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</si>
  <si>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</si>
  <si>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</si>
  <si>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</si>
  <si>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00921 - Cuaderno Eco cuero y corcho 21x14 cm hoja rayada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</si>
  <si>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</si>
  <si>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</si>
  <si>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</si>
  <si>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</si>
  <si>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</si>
  <si>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</si>
  <si>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</si>
  <si>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</si>
  <si>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</si>
  <si>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</si>
  <si>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</si>
  <si>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</si>
  <si>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</si>
  <si>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</si>
  <si>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</si>
  <si>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</si>
  <si>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</si>
  <si>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</si>
  <si>
    <t>02247 - Set escolar Eco con regla lápices goma sacapuntas</t>
  </si>
  <si>
    <t>01026 - Botella de plástico 550ml tapa a rosca</t>
  </si>
  <si>
    <t>01027 -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</si>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</sst>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5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rgb="FFFF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99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71" fillId="2" borderId="0" xfId="0" applyFont="1" applyFill="1"/>
    <xf numFmtId="2" fontId="70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2" fillId="2" borderId="0" xfId="0" applyFont="1" applyFill="1"/>
    <xf numFmtId="2" fontId="67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8" xfId="0" applyNumberFormat="1" applyFont="1" applyFill="1" applyBorder="1" applyAlignment="1">
      <alignment horizontal="center" vertical="center"/>
    </xf>
    <xf numFmtId="2" fontId="62" fillId="8" borderId="7" xfId="0" applyNumberFormat="1" applyFont="1" applyFill="1" applyBorder="1" applyAlignment="1">
      <alignment horizontal="center" vertical="center"/>
    </xf>
    <xf numFmtId="2" fontId="62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3" fillId="5" borderId="0" xfId="2" applyFont="1" applyFill="1" applyAlignment="1" applyProtection="1"/>
    <xf numFmtId="0" fontId="70" fillId="5" borderId="0" xfId="0" applyFont="1" applyFill="1" applyAlignment="1"/>
    <xf numFmtId="0" fontId="68" fillId="2" borderId="0" xfId="0" applyFont="1" applyFill="1" applyBorder="1"/>
    <xf numFmtId="2" fontId="74" fillId="8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/>
    <xf numFmtId="2" fontId="62" fillId="8" borderId="5" xfId="0" applyNumberFormat="1" applyFont="1" applyFill="1" applyBorder="1" applyAlignment="1">
      <alignment horizontal="center" vertical="center"/>
    </xf>
    <xf numFmtId="2" fontId="62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0" fontId="63" fillId="8" borderId="3" xfId="0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2" fillId="5" borderId="7" xfId="0" applyNumberFormat="1" applyFont="1" applyFill="1" applyBorder="1" applyAlignment="1">
      <alignment horizontal="center" vertical="center"/>
    </xf>
    <xf numFmtId="2" fontId="62" fillId="9" borderId="5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2" fillId="5" borderId="3" xfId="3" applyNumberFormat="1" applyFont="1" applyFill="1" applyBorder="1" applyAlignment="1">
      <alignment horizontal="center" vertical="center"/>
    </xf>
    <xf numFmtId="2" fontId="62" fillId="8" borderId="3" xfId="3" applyNumberFormat="1" applyFont="1" applyFill="1" applyBorder="1" applyAlignment="1">
      <alignment horizontal="center" vertical="center"/>
    </xf>
    <xf numFmtId="2" fontId="62" fillId="5" borderId="11" xfId="0" applyNumberFormat="1" applyFont="1" applyFill="1" applyBorder="1" applyAlignment="1">
      <alignment horizontal="center" vertical="center"/>
    </xf>
    <xf numFmtId="2" fontId="62" fillId="5" borderId="0" xfId="0" applyNumberFormat="1" applyFont="1" applyFill="1" applyBorder="1" applyAlignment="1">
      <alignment horizontal="center" vertical="center"/>
    </xf>
    <xf numFmtId="2" fontId="62" fillId="5" borderId="15" xfId="0" applyNumberFormat="1" applyFont="1" applyFill="1" applyBorder="1" applyAlignment="1">
      <alignment horizontal="center" vertical="center"/>
    </xf>
    <xf numFmtId="2" fontId="62" fillId="8" borderId="1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8" fillId="5" borderId="0" xfId="0" applyFont="1" applyFill="1" applyAlignment="1">
      <alignment horizontal="right"/>
    </xf>
    <xf numFmtId="0" fontId="68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4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69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7" fillId="10" borderId="0" xfId="0" applyFont="1" applyFill="1"/>
    <xf numFmtId="0" fontId="77" fillId="10" borderId="0" xfId="0" applyFont="1" applyFill="1" applyBorder="1"/>
    <xf numFmtId="0" fontId="68" fillId="10" borderId="0" xfId="0" applyFont="1" applyFill="1"/>
    <xf numFmtId="0" fontId="68" fillId="10" borderId="0" xfId="0" applyFont="1" applyFill="1" applyBorder="1"/>
    <xf numFmtId="0" fontId="68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8" fillId="10" borderId="1" xfId="0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horizontal="center" vertical="center"/>
    </xf>
    <xf numFmtId="0" fontId="68" fillId="10" borderId="22" xfId="0" applyFont="1" applyFill="1" applyBorder="1" applyAlignment="1">
      <alignment horizontal="center" vertical="center"/>
    </xf>
    <xf numFmtId="2" fontId="68" fillId="10" borderId="0" xfId="0" applyNumberFormat="1" applyFont="1" applyFill="1"/>
    <xf numFmtId="0" fontId="78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69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3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2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6" fillId="5" borderId="0" xfId="0" applyFont="1" applyFill="1" applyBorder="1" applyAlignment="1">
      <alignment horizontal="center" vertical="center" wrapText="1"/>
    </xf>
    <xf numFmtId="0" fontId="80" fillId="5" borderId="0" xfId="0" applyFont="1" applyFill="1" applyBorder="1" applyAlignment="1">
      <alignment horizontal="center" vertical="center"/>
    </xf>
    <xf numFmtId="0" fontId="85" fillId="5" borderId="0" xfId="0" applyFont="1" applyFill="1" applyBorder="1" applyAlignment="1">
      <alignment horizontal="center" vertical="center" wrapText="1"/>
    </xf>
    <xf numFmtId="2" fontId="65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2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99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2" fontId="62" fillId="9" borderId="5" xfId="3" applyNumberFormat="1" applyFont="1" applyFill="1" applyBorder="1" applyAlignment="1">
      <alignment horizontal="center" vertical="center"/>
    </xf>
    <xf numFmtId="0" fontId="68" fillId="5" borderId="0" xfId="0" applyFont="1" applyFill="1"/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2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2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2" fillId="7" borderId="19" xfId="0" applyNumberFormat="1" applyFont="1" applyFill="1" applyBorder="1" applyAlignment="1">
      <alignment horizontal="center" vertical="center"/>
    </xf>
    <xf numFmtId="2" fontId="62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2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8" borderId="0" xfId="0" applyFont="1" applyFill="1"/>
    <xf numFmtId="1" fontId="62" fillId="5" borderId="3" xfId="0" applyNumberFormat="1" applyFont="1" applyFill="1" applyBorder="1" applyAlignment="1">
      <alignment horizontal="center" vertical="center"/>
    </xf>
    <xf numFmtId="1" fontId="62" fillId="8" borderId="3" xfId="0" applyNumberFormat="1" applyFont="1" applyFill="1" applyBorder="1" applyAlignment="1">
      <alignment horizontal="center" vertical="center"/>
    </xf>
    <xf numFmtId="1" fontId="62" fillId="5" borderId="7" xfId="0" applyNumberFormat="1" applyFont="1" applyFill="1" applyBorder="1" applyAlignment="1">
      <alignment horizontal="center" vertical="center"/>
    </xf>
    <xf numFmtId="1" fontId="62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2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7" fillId="8" borderId="3" xfId="0" applyNumberFormat="1" applyFont="1" applyFill="1" applyBorder="1" applyAlignment="1">
      <alignment horizontal="center" vertical="center"/>
    </xf>
    <xf numFmtId="0" fontId="65" fillId="8" borderId="3" xfId="0" applyFont="1" applyFill="1" applyBorder="1"/>
    <xf numFmtId="0" fontId="65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2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2" fillId="8" borderId="8" xfId="0" applyNumberFormat="1" applyFont="1" applyFill="1" applyBorder="1" applyAlignment="1">
      <alignment horizontal="center" vertical="center"/>
    </xf>
    <xf numFmtId="1" fontId="62" fillId="5" borderId="5" xfId="0" applyNumberFormat="1" applyFont="1" applyFill="1" applyBorder="1" applyAlignment="1">
      <alignment horizontal="center" vertical="center"/>
    </xf>
    <xf numFmtId="1" fontId="62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2" fillId="8" borderId="14" xfId="0" applyNumberFormat="1" applyFont="1" applyFill="1" applyBorder="1" applyAlignment="1">
      <alignment horizontal="center" vertical="center"/>
    </xf>
    <xf numFmtId="1" fontId="62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2" fillId="8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2" fillId="8" borderId="4" xfId="0" applyNumberFormat="1" applyFont="1" applyFill="1" applyBorder="1" applyAlignment="1">
      <alignment horizontal="center" vertical="center"/>
    </xf>
    <xf numFmtId="1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4" fillId="8" borderId="3" xfId="0" applyNumberFormat="1" applyFont="1" applyFill="1" applyBorder="1" applyAlignment="1">
      <alignment horizontal="center" vertical="center"/>
    </xf>
    <xf numFmtId="1" fontId="74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2" fillId="5" borderId="0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62" fillId="9" borderId="3" xfId="0" applyNumberFormat="1" applyFont="1" applyFill="1" applyBorder="1" applyAlignment="1">
      <alignment horizontal="center" vertical="center"/>
    </xf>
    <xf numFmtId="1" fontId="62" fillId="9" borderId="5" xfId="0" applyNumberFormat="1" applyFont="1" applyFill="1" applyBorder="1" applyAlignment="1">
      <alignment horizontal="center" vertical="center"/>
    </xf>
    <xf numFmtId="1" fontId="62" fillId="5" borderId="18" xfId="0" applyNumberFormat="1" applyFont="1" applyFill="1" applyBorder="1" applyAlignment="1">
      <alignment horizontal="center" vertical="center"/>
    </xf>
    <xf numFmtId="1" fontId="62" fillId="8" borderId="11" xfId="0" applyNumberFormat="1" applyFont="1" applyFill="1" applyBorder="1" applyAlignment="1">
      <alignment horizontal="center" vertical="center"/>
    </xf>
    <xf numFmtId="1" fontId="62" fillId="8" borderId="18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2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2" fillId="5" borderId="17" xfId="0" applyNumberFormat="1" applyFont="1" applyFill="1" applyBorder="1" applyAlignment="1">
      <alignment horizontal="center" vertical="center"/>
    </xf>
    <xf numFmtId="1" fontId="62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2" fillId="9" borderId="14" xfId="0" applyNumberFormat="1" applyFont="1" applyFill="1" applyBorder="1" applyAlignment="1">
      <alignment horizontal="center" vertical="center"/>
    </xf>
    <xf numFmtId="1" fontId="62" fillId="9" borderId="17" xfId="0" applyNumberFormat="1" applyFont="1" applyFill="1" applyBorder="1" applyAlignment="1">
      <alignment horizontal="center" vertical="center"/>
    </xf>
    <xf numFmtId="1" fontId="65" fillId="5" borderId="3" xfId="0" applyNumberFormat="1" applyFont="1" applyFill="1" applyBorder="1" applyAlignment="1">
      <alignment horizontal="center" vertical="center" wrapText="1"/>
    </xf>
    <xf numFmtId="1" fontId="65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2" fillId="8" borderId="9" xfId="0" applyNumberFormat="1" applyFont="1" applyFill="1" applyBorder="1" applyAlignment="1">
      <alignment horizontal="center" vertical="center"/>
    </xf>
    <xf numFmtId="168" fontId="75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2" fillId="8" borderId="3" xfId="0" applyNumberFormat="1" applyFont="1" applyFill="1" applyBorder="1" applyAlignment="1">
      <alignment horizontal="center" vertical="center"/>
    </xf>
    <xf numFmtId="168" fontId="62" fillId="8" borderId="7" xfId="0" applyNumberFormat="1" applyFont="1" applyFill="1" applyBorder="1" applyAlignment="1">
      <alignment horizontal="center" vertical="center"/>
    </xf>
    <xf numFmtId="168" fontId="62" fillId="5" borderId="3" xfId="0" applyNumberFormat="1" applyFont="1" applyFill="1" applyBorder="1" applyAlignment="1">
      <alignment horizontal="center" vertical="center"/>
    </xf>
    <xf numFmtId="168" fontId="62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4" fillId="5" borderId="15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9" borderId="8" xfId="0" applyNumberFormat="1" applyFont="1" applyFill="1" applyBorder="1" applyAlignment="1">
      <alignment horizontal="center" vertical="center"/>
    </xf>
    <xf numFmtId="1" fontId="62" fillId="8" borderId="37" xfId="0" applyNumberFormat="1" applyFont="1" applyFill="1" applyBorder="1" applyAlignment="1">
      <alignment horizontal="center" vertical="center"/>
    </xf>
    <xf numFmtId="1" fontId="110" fillId="5" borderId="3" xfId="0" applyNumberFormat="1" applyFont="1" applyFill="1" applyBorder="1" applyAlignment="1">
      <alignment horizontal="center" vertical="center"/>
    </xf>
    <xf numFmtId="1" fontId="110" fillId="8" borderId="3" xfId="0" applyNumberFormat="1" applyFont="1" applyFill="1" applyBorder="1" applyAlignment="1">
      <alignment horizontal="center" vertical="center"/>
    </xf>
    <xf numFmtId="1" fontId="110" fillId="8" borderId="4" xfId="0" applyNumberFormat="1" applyFont="1" applyFill="1" applyBorder="1" applyAlignment="1">
      <alignment horizontal="center" vertical="center"/>
    </xf>
    <xf numFmtId="1" fontId="110" fillId="5" borderId="4" xfId="0" applyNumberFormat="1" applyFont="1" applyFill="1" applyBorder="1" applyAlignment="1">
      <alignment horizontal="center" vertical="center"/>
    </xf>
    <xf numFmtId="1" fontId="110" fillId="9" borderId="3" xfId="0" applyNumberFormat="1" applyFont="1" applyFill="1" applyBorder="1" applyAlignment="1">
      <alignment horizontal="center" vertical="center"/>
    </xf>
    <xf numFmtId="1" fontId="110" fillId="8" borderId="5" xfId="0" applyNumberFormat="1" applyFont="1" applyFill="1" applyBorder="1" applyAlignment="1">
      <alignment horizontal="center" vertical="center"/>
    </xf>
    <xf numFmtId="1" fontId="110" fillId="5" borderId="5" xfId="0" applyNumberFormat="1" applyFont="1" applyFill="1" applyBorder="1" applyAlignment="1">
      <alignment horizontal="center" vertical="center"/>
    </xf>
    <xf numFmtId="1" fontId="110" fillId="8" borderId="7" xfId="0" applyNumberFormat="1" applyFont="1" applyFill="1" applyBorder="1" applyAlignment="1">
      <alignment horizontal="center" vertical="center"/>
    </xf>
    <xf numFmtId="1" fontId="110" fillId="5" borderId="7" xfId="0" applyNumberFormat="1" applyFont="1" applyFill="1" applyBorder="1" applyAlignment="1">
      <alignment horizontal="center" vertical="center"/>
    </xf>
    <xf numFmtId="1" fontId="110" fillId="8" borderId="15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76" fillId="8" borderId="11" xfId="0" applyFont="1" applyFill="1" applyBorder="1" applyAlignment="1">
      <alignment horizontal="center" vertical="center"/>
    </xf>
    <xf numFmtId="1" fontId="111" fillId="8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1" fontId="62" fillId="8" borderId="38" xfId="0" applyNumberFormat="1" applyFont="1" applyFill="1" applyBorder="1" applyAlignment="1">
      <alignment horizontal="center" vertical="center"/>
    </xf>
    <xf numFmtId="1" fontId="62" fillId="5" borderId="38" xfId="0" applyNumberFormat="1" applyFont="1" applyFill="1" applyBorder="1" applyAlignment="1">
      <alignment horizontal="center" vertical="center"/>
    </xf>
    <xf numFmtId="2" fontId="62" fillId="8" borderId="9" xfId="0" applyNumberFormat="1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0" fontId="65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2" fillId="19" borderId="3" xfId="0" applyNumberFormat="1" applyFont="1" applyFill="1" applyBorder="1" applyAlignment="1">
      <alignment horizontal="center" vertical="center"/>
    </xf>
    <xf numFmtId="2" fontId="74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2" fillId="20" borderId="7" xfId="0" applyNumberFormat="1" applyFont="1" applyFill="1" applyBorder="1" applyAlignment="1">
      <alignment horizontal="center" vertical="center"/>
    </xf>
    <xf numFmtId="168" fontId="62" fillId="5" borderId="7" xfId="0" applyNumberFormat="1" applyFont="1" applyFill="1" applyBorder="1" applyAlignment="1">
      <alignment horizontal="center" vertical="center"/>
    </xf>
    <xf numFmtId="2" fontId="62" fillId="20" borderId="3" xfId="0" applyNumberFormat="1" applyFont="1" applyFill="1" applyBorder="1" applyAlignment="1">
      <alignment horizontal="center" vertical="center"/>
    </xf>
    <xf numFmtId="168" fontId="62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2" fillId="8" borderId="15" xfId="0" applyNumberFormat="1" applyFont="1" applyFill="1" applyBorder="1" applyAlignment="1">
      <alignment horizontal="center" vertical="center"/>
    </xf>
    <xf numFmtId="166" fontId="83" fillId="2" borderId="3" xfId="2" applyNumberFormat="1" applyFont="1" applyFill="1" applyBorder="1" applyAlignment="1" applyProtection="1">
      <alignment horizontal="center" vertical="center"/>
    </xf>
    <xf numFmtId="166" fontId="83" fillId="2" borderId="5" xfId="2" applyNumberFormat="1" applyFont="1" applyFill="1" applyBorder="1" applyAlignment="1" applyProtection="1">
      <alignment horizontal="center"/>
    </xf>
    <xf numFmtId="166" fontId="113" fillId="2" borderId="5" xfId="2" applyNumberFormat="1" applyFont="1" applyFill="1" applyBorder="1" applyAlignment="1" applyProtection="1">
      <alignment horizontal="center"/>
    </xf>
    <xf numFmtId="166" fontId="114" fillId="2" borderId="5" xfId="2" applyNumberFormat="1" applyFont="1" applyFill="1" applyBorder="1" applyAlignment="1" applyProtection="1">
      <alignment horizontal="center"/>
    </xf>
    <xf numFmtId="0" fontId="83" fillId="2" borderId="3" xfId="2" applyFont="1" applyFill="1" applyBorder="1" applyAlignment="1" applyProtection="1">
      <alignment horizontal="center"/>
    </xf>
    <xf numFmtId="166" fontId="83" fillId="2" borderId="19" xfId="2" applyNumberFormat="1" applyFont="1" applyFill="1" applyBorder="1" applyAlignment="1" applyProtection="1">
      <alignment horizontal="center"/>
    </xf>
    <xf numFmtId="0" fontId="83" fillId="0" borderId="3" xfId="2" applyNumberFormat="1" applyFont="1" applyBorder="1" applyAlignment="1" applyProtection="1">
      <alignment horizontal="center"/>
    </xf>
    <xf numFmtId="0" fontId="68" fillId="2" borderId="3" xfId="0" applyFont="1" applyFill="1" applyBorder="1" applyAlignment="1">
      <alignment horizontal="center"/>
    </xf>
    <xf numFmtId="0" fontId="68" fillId="0" borderId="3" xfId="0" applyNumberFormat="1" applyFont="1" applyBorder="1" applyAlignment="1">
      <alignment horizontal="center"/>
    </xf>
    <xf numFmtId="0" fontId="83" fillId="0" borderId="3" xfId="2" applyFont="1" applyBorder="1" applyAlignment="1" applyProtection="1">
      <alignment horizontal="center"/>
    </xf>
    <xf numFmtId="0" fontId="83" fillId="2" borderId="7" xfId="2" applyFont="1" applyFill="1" applyBorder="1" applyAlignment="1" applyProtection="1">
      <alignment horizontal="center"/>
    </xf>
    <xf numFmtId="166" fontId="83" fillId="2" borderId="4" xfId="2" applyNumberFormat="1" applyFont="1" applyFill="1" applyBorder="1" applyAlignment="1" applyProtection="1">
      <alignment horizontal="center" vertical="center"/>
    </xf>
    <xf numFmtId="166" fontId="83" fillId="2" borderId="4" xfId="2" applyNumberFormat="1" applyFont="1" applyFill="1" applyBorder="1" applyAlignment="1" applyProtection="1">
      <alignment horizontal="center"/>
    </xf>
    <xf numFmtId="166" fontId="83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6" fontId="83" fillId="2" borderId="5" xfId="2" applyNumberFormat="1" applyFont="1" applyFill="1" applyBorder="1" applyAlignment="1" applyProtection="1">
      <alignment horizontal="center" vertical="center"/>
    </xf>
    <xf numFmtId="166" fontId="68" fillId="2" borderId="4" xfId="0" applyNumberFormat="1" applyFont="1" applyFill="1" applyBorder="1" applyAlignment="1">
      <alignment horizontal="center"/>
    </xf>
    <xf numFmtId="166" fontId="68" fillId="2" borderId="3" xfId="0" applyNumberFormat="1" applyFont="1" applyFill="1" applyBorder="1" applyAlignment="1">
      <alignment horizontal="center"/>
    </xf>
    <xf numFmtId="166" fontId="83" fillId="5" borderId="3" xfId="2" applyNumberFormat="1" applyFont="1" applyFill="1" applyBorder="1" applyAlignment="1" applyProtection="1">
      <alignment horizontal="center"/>
    </xf>
    <xf numFmtId="166" fontId="68" fillId="5" borderId="3" xfId="0" applyNumberFormat="1" applyFont="1" applyFill="1" applyBorder="1" applyAlignment="1">
      <alignment horizontal="center"/>
    </xf>
    <xf numFmtId="49" fontId="83" fillId="2" borderId="3" xfId="2" applyNumberFormat="1" applyFont="1" applyFill="1" applyBorder="1" applyAlignment="1" applyProtection="1">
      <alignment horizontal="center"/>
    </xf>
    <xf numFmtId="49" fontId="83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5" fillId="5" borderId="3" xfId="0" applyNumberFormat="1" applyFont="1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1" fontId="110" fillId="5" borderId="0" xfId="0" applyNumberFormat="1" applyFont="1" applyFill="1" applyBorder="1" applyAlignment="1">
      <alignment horizontal="center" vertical="center"/>
    </xf>
    <xf numFmtId="49" fontId="83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5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1" fontId="110" fillId="9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1" fontId="62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6" fontId="83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/>
    <xf numFmtId="2" fontId="62" fillId="5" borderId="3" xfId="0" applyNumberFormat="1" applyFont="1" applyFill="1" applyBorder="1" applyAlignment="1">
      <alignment horizontal="center"/>
    </xf>
    <xf numFmtId="1" fontId="62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62" fillId="8" borderId="11" xfId="0" applyNumberFormat="1" applyFont="1" applyFill="1" applyBorder="1" applyAlignment="1">
      <alignment horizontal="center" vertical="center"/>
    </xf>
    <xf numFmtId="1" fontId="110" fillId="5" borderId="11" xfId="0" applyNumberFormat="1" applyFont="1" applyFill="1" applyBorder="1" applyAlignment="1">
      <alignment horizontal="center" vertical="center"/>
    </xf>
    <xf numFmtId="1" fontId="110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/>
    <xf numFmtId="0" fontId="69" fillId="5" borderId="3" xfId="0" applyFont="1" applyFill="1" applyBorder="1" applyAlignment="1"/>
    <xf numFmtId="0" fontId="26" fillId="8" borderId="3" xfId="0" applyFont="1" applyFill="1" applyBorder="1"/>
    <xf numFmtId="0" fontId="2" fillId="8" borderId="3" xfId="0" applyFont="1" applyFill="1" applyBorder="1" applyAlignment="1"/>
    <xf numFmtId="0" fontId="69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2" fontId="62" fillId="8" borderId="3" xfId="0" applyNumberFormat="1" applyFont="1" applyFill="1" applyBorder="1" applyAlignment="1">
      <alignment horizontal="center" vertical="center"/>
    </xf>
    <xf numFmtId="1" fontId="74" fillId="5" borderId="7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80" fillId="5" borderId="0" xfId="2" applyFont="1" applyFill="1" applyBorder="1" applyAlignment="1" applyProtection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2" fillId="5" borderId="8" xfId="0" applyNumberFormat="1" applyFont="1" applyFill="1" applyBorder="1" applyAlignment="1">
      <alignment horizontal="center" vertical="center"/>
    </xf>
    <xf numFmtId="1" fontId="123" fillId="8" borderId="8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0" fontId="43" fillId="8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5" borderId="40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2" fontId="62" fillId="5" borderId="2" xfId="0" applyNumberFormat="1" applyFont="1" applyFill="1" applyBorder="1" applyAlignment="1">
      <alignment horizontal="center" vertical="center"/>
    </xf>
    <xf numFmtId="2" fontId="62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2" fontId="62" fillId="9" borderId="18" xfId="3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80" fillId="5" borderId="0" xfId="2" applyFont="1" applyFill="1" applyBorder="1" applyAlignment="1" applyProtection="1">
      <alignment horizontal="center" vertical="center" wrapText="1"/>
    </xf>
    <xf numFmtId="1" fontId="110" fillId="9" borderId="7" xfId="0" applyNumberFormat="1" applyFont="1" applyFill="1" applyBorder="1" applyAlignment="1">
      <alignment horizontal="center" vertical="center"/>
    </xf>
    <xf numFmtId="1" fontId="62" fillId="9" borderId="7" xfId="0" applyNumberFormat="1" applyFont="1" applyFill="1" applyBorder="1" applyAlignment="1">
      <alignment horizontal="center" vertical="center"/>
    </xf>
    <xf numFmtId="1" fontId="62" fillId="5" borderId="15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24" fillId="5" borderId="3" xfId="0" applyFont="1" applyFill="1" applyBorder="1"/>
    <xf numFmtId="1" fontId="62" fillId="5" borderId="35" xfId="0" applyNumberFormat="1" applyFont="1" applyFill="1" applyBorder="1" applyAlignment="1">
      <alignment horizontal="center" vertical="center"/>
    </xf>
    <xf numFmtId="2" fontId="62" fillId="5" borderId="36" xfId="0" applyNumberFormat="1" applyFont="1" applyFill="1" applyBorder="1" applyAlignment="1">
      <alignment horizontal="center" vertical="center"/>
    </xf>
    <xf numFmtId="1" fontId="62" fillId="5" borderId="36" xfId="0" applyNumberFormat="1" applyFont="1" applyFill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/>
    </xf>
    <xf numFmtId="1" fontId="43" fillId="5" borderId="7" xfId="0" applyNumberFormat="1" applyFont="1" applyFill="1" applyBorder="1" applyAlignment="1">
      <alignment horizontal="center" vertical="center" wrapText="1"/>
    </xf>
    <xf numFmtId="2" fontId="4" fillId="5" borderId="7" xfId="0" applyNumberFormat="1" applyFont="1" applyFill="1" applyBorder="1" applyAlignment="1">
      <alignment horizontal="center" vertical="center"/>
    </xf>
    <xf numFmtId="2" fontId="62" fillId="5" borderId="40" xfId="0" applyNumberFormat="1" applyFont="1" applyFill="1" applyBorder="1" applyAlignment="1">
      <alignment horizontal="center" vertical="center"/>
    </xf>
    <xf numFmtId="1" fontId="43" fillId="8" borderId="3" xfId="0" applyNumberFormat="1" applyFont="1" applyFill="1" applyBorder="1" applyAlignment="1">
      <alignment horizontal="center" vertical="center" wrapText="1"/>
    </xf>
    <xf numFmtId="1" fontId="62" fillId="8" borderId="39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82" fillId="14" borderId="12" xfId="0" applyFont="1" applyFill="1" applyBorder="1"/>
    <xf numFmtId="0" fontId="80" fillId="14" borderId="3" xfId="0" applyFont="1" applyFill="1" applyBorder="1" applyAlignment="1">
      <alignment horizontal="center" vertical="center"/>
    </xf>
    <xf numFmtId="0" fontId="69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80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8" fillId="11" borderId="5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left" vertical="center"/>
    </xf>
    <xf numFmtId="0" fontId="5" fillId="21" borderId="9" xfId="0" applyFont="1" applyFill="1" applyBorder="1" applyAlignment="1">
      <alignment horizontal="left" vertical="center"/>
    </xf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69" fillId="14" borderId="12" xfId="0" applyFont="1" applyFill="1" applyBorder="1" applyAlignment="1">
      <alignment horizontal="center" vertical="center"/>
    </xf>
    <xf numFmtId="0" fontId="80" fillId="14" borderId="12" xfId="0" applyFont="1" applyFill="1" applyBorder="1" applyAlignment="1">
      <alignment horizontal="center" vertical="center"/>
    </xf>
    <xf numFmtId="0" fontId="80" fillId="14" borderId="9" xfId="0" applyFont="1" applyFill="1" applyBorder="1" applyAlignment="1">
      <alignment horizontal="center" vertical="center"/>
    </xf>
    <xf numFmtId="168" fontId="62" fillId="5" borderId="40" xfId="0" applyNumberFormat="1" applyFont="1" applyFill="1" applyBorder="1" applyAlignment="1">
      <alignment horizontal="center" vertical="center"/>
    </xf>
    <xf numFmtId="168" fontId="62" fillId="5" borderId="43" xfId="0" applyNumberFormat="1" applyFont="1" applyFill="1" applyBorder="1" applyAlignment="1">
      <alignment horizontal="center" vertical="center"/>
    </xf>
    <xf numFmtId="2" fontId="81" fillId="17" borderId="5" xfId="0" applyNumberFormat="1" applyFont="1" applyFill="1" applyBorder="1" applyAlignment="1">
      <alignment horizontal="center" vertical="center"/>
    </xf>
    <xf numFmtId="2" fontId="80" fillId="17" borderId="5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111" fillId="5" borderId="3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5" borderId="5" xfId="0" applyFill="1" applyBorder="1"/>
    <xf numFmtId="2" fontId="6" fillId="5" borderId="12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0" fontId="68" fillId="5" borderId="5" xfId="0" applyFont="1" applyFill="1" applyBorder="1"/>
    <xf numFmtId="1" fontId="1" fillId="5" borderId="5" xfId="0" applyNumberFormat="1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2" fontId="62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1" fontId="110" fillId="8" borderId="18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/>
    <xf numFmtId="2" fontId="68" fillId="8" borderId="3" xfId="0" applyNumberFormat="1" applyFont="1" applyFill="1" applyBorder="1"/>
    <xf numFmtId="0" fontId="4" fillId="8" borderId="5" xfId="0" applyFont="1" applyFill="1" applyBorder="1" applyAlignment="1">
      <alignment horizontal="center" vertical="center"/>
    </xf>
    <xf numFmtId="2" fontId="62" fillId="8" borderId="4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69" fillId="10" borderId="0" xfId="0" applyFont="1" applyFill="1" applyBorder="1" applyAlignment="1"/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4" fillId="21" borderId="7" xfId="0" applyFont="1" applyFill="1" applyBorder="1" applyAlignment="1">
      <alignment horizontal="center" vertical="center" wrapText="1"/>
    </xf>
    <xf numFmtId="0" fontId="64" fillId="21" borderId="5" xfId="0" applyFont="1" applyFill="1" applyBorder="1" applyAlignment="1">
      <alignment horizontal="center" vertical="center" wrapText="1"/>
    </xf>
    <xf numFmtId="0" fontId="4" fillId="21" borderId="16" xfId="2" applyFont="1" applyFill="1" applyBorder="1" applyAlignment="1" applyProtection="1">
      <alignment horizontal="center" vertical="center" wrapText="1"/>
    </xf>
    <xf numFmtId="0" fontId="4" fillId="21" borderId="25" xfId="2" applyFont="1" applyFill="1" applyBorder="1" applyAlignment="1" applyProtection="1">
      <alignment horizontal="center" vertical="center" wrapText="1"/>
    </xf>
    <xf numFmtId="0" fontId="4" fillId="21" borderId="19" xfId="2" applyFont="1" applyFill="1" applyBorder="1" applyAlignment="1" applyProtection="1">
      <alignment horizontal="center" vertical="center" wrapText="1"/>
    </xf>
    <xf numFmtId="0" fontId="4" fillId="21" borderId="18" xfId="2" applyFont="1" applyFill="1" applyBorder="1" applyAlignment="1" applyProtection="1">
      <alignment horizontal="center" vertical="center" wrapText="1"/>
    </xf>
    <xf numFmtId="0" fontId="4" fillId="21" borderId="12" xfId="2" applyFont="1" applyFill="1" applyBorder="1" applyAlignment="1" applyProtection="1">
      <alignment horizontal="center" vertical="center" wrapText="1"/>
    </xf>
    <xf numFmtId="0" fontId="4" fillId="21" borderId="9" xfId="2" applyFont="1" applyFill="1" applyBorder="1" applyAlignment="1" applyProtection="1">
      <alignment horizontal="center" vertical="center" wrapText="1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2" fontId="5" fillId="5" borderId="11" xfId="0" applyNumberFormat="1" applyFon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69" fillId="10" borderId="1" xfId="0" applyFont="1" applyFill="1" applyBorder="1" applyAlignment="1"/>
    <xf numFmtId="0" fontId="69" fillId="10" borderId="0" xfId="0" applyFont="1" applyFill="1" applyAlignment="1"/>
    <xf numFmtId="0" fontId="69" fillId="10" borderId="22" xfId="0" applyFont="1" applyFill="1" applyBorder="1" applyAlignment="1"/>
    <xf numFmtId="0" fontId="18" fillId="5" borderId="3" xfId="0" applyFont="1" applyFill="1" applyBorder="1" applyAlignment="1"/>
    <xf numFmtId="0" fontId="69" fillId="10" borderId="0" xfId="0" applyFont="1" applyFill="1" applyAlignment="1">
      <alignment vertical="center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0" fontId="2" fillId="0" borderId="3" xfId="0" applyFont="1" applyBorder="1" applyAlignment="1">
      <alignment horizontal="left" vertical="center" wrapText="1"/>
    </xf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108" fillId="14" borderId="3" xfId="0" applyNumberFormat="1" applyFont="1" applyFill="1" applyBorder="1" applyAlignment="1">
      <alignment horizontal="center" vertical="center" wrapText="1"/>
    </xf>
    <xf numFmtId="0" fontId="82" fillId="14" borderId="3" xfId="0" applyFont="1" applyFill="1" applyBorder="1" applyAlignment="1">
      <alignment horizontal="center" vertical="center" wrapText="1"/>
    </xf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5" fillId="8" borderId="11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0" fontId="0" fillId="8" borderId="11" xfId="0" applyFill="1" applyBorder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0" fontId="98" fillId="10" borderId="0" xfId="0" applyFont="1" applyFill="1" applyBorder="1" applyAlignment="1"/>
    <xf numFmtId="0" fontId="68" fillId="10" borderId="0" xfId="0" applyFont="1" applyFill="1" applyBorder="1" applyAlignment="1"/>
    <xf numFmtId="2" fontId="5" fillId="8" borderId="11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0" fontId="0" fillId="5" borderId="11" xfId="0" applyFill="1" applyBorder="1" applyAlignment="1"/>
    <xf numFmtId="2" fontId="4" fillId="9" borderId="18" xfId="0" applyNumberFormat="1" applyFont="1" applyFill="1" applyBorder="1" applyAlignment="1">
      <alignment horizontal="center" vertical="center"/>
    </xf>
    <xf numFmtId="2" fontId="4" fillId="9" borderId="12" xfId="0" applyNumberFormat="1" applyFont="1" applyFill="1" applyBorder="1" applyAlignment="1">
      <alignment horizontal="center" vertical="center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77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7" borderId="3" xfId="0" applyNumberFormat="1" applyFont="1" applyFill="1" applyBorder="1" applyAlignment="1"/>
    <xf numFmtId="0" fontId="1" fillId="7" borderId="3" xfId="0" applyFont="1" applyFill="1" applyBorder="1" applyAlignment="1"/>
    <xf numFmtId="0" fontId="97" fillId="5" borderId="11" xfId="0" applyFont="1" applyFill="1" applyBorder="1" applyAlignment="1">
      <alignment horizontal="center" vertical="center"/>
    </xf>
    <xf numFmtId="0" fontId="95" fillId="5" borderId="2" xfId="0" applyFont="1" applyFill="1" applyBorder="1" applyAlignment="1">
      <alignment horizontal="center" vertical="center"/>
    </xf>
    <xf numFmtId="0" fontId="95" fillId="5" borderId="2" xfId="0" applyFont="1" applyFill="1" applyBorder="1" applyAlignment="1"/>
    <xf numFmtId="0" fontId="95" fillId="5" borderId="4" xfId="0" applyFont="1" applyFill="1" applyBorder="1" applyAlignment="1"/>
    <xf numFmtId="0" fontId="115" fillId="21" borderId="11" xfId="0" applyFont="1" applyFill="1" applyBorder="1" applyAlignment="1">
      <alignment horizontal="center" vertical="center" wrapText="1"/>
    </xf>
    <xf numFmtId="0" fontId="116" fillId="21" borderId="2" xfId="0" applyFont="1" applyFill="1" applyBorder="1" applyAlignment="1">
      <alignment horizontal="center" vertical="center" wrapText="1"/>
    </xf>
    <xf numFmtId="0" fontId="116" fillId="21" borderId="4" xfId="0" applyFont="1" applyFill="1" applyBorder="1" applyAlignment="1">
      <alignment horizontal="center" vertical="center" wrapText="1"/>
    </xf>
    <xf numFmtId="0" fontId="36" fillId="10" borderId="0" xfId="0" applyFont="1" applyFill="1" applyBorder="1" applyAlignment="1"/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0" fontId="77" fillId="10" borderId="0" xfId="0" applyFont="1" applyFill="1" applyBorder="1" applyAlignment="1"/>
    <xf numFmtId="0" fontId="77" fillId="10" borderId="22" xfId="0" applyFont="1" applyFill="1" applyBorder="1" applyAlignment="1"/>
    <xf numFmtId="0" fontId="1" fillId="5" borderId="3" xfId="0" applyFont="1" applyFill="1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0" fontId="5" fillId="5" borderId="3" xfId="0" applyFont="1" applyFill="1" applyBorder="1" applyAlignment="1"/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2" fontId="5" fillId="5" borderId="5" xfId="0" applyNumberFormat="1" applyFont="1" applyFill="1" applyBorder="1" applyAlignment="1"/>
    <xf numFmtId="0" fontId="0" fillId="5" borderId="5" xfId="0" applyFill="1" applyBorder="1" applyAlignment="1"/>
    <xf numFmtId="0" fontId="0" fillId="5" borderId="18" xfId="0" applyFill="1" applyBorder="1" applyAlignment="1"/>
    <xf numFmtId="0" fontId="112" fillId="13" borderId="16" xfId="0" applyFont="1" applyFill="1" applyBorder="1" applyAlignment="1">
      <alignment horizontal="center" vertical="center" wrapText="1"/>
    </xf>
    <xf numFmtId="0" fontId="112" fillId="13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2" fillId="13" borderId="18" xfId="0" applyFont="1" applyFill="1" applyBorder="1" applyAlignment="1">
      <alignment horizontal="center" vertical="center" wrapText="1"/>
    </xf>
    <xf numFmtId="0" fontId="112" fillId="13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/>
    <xf numFmtId="0" fontId="14" fillId="0" borderId="22" xfId="0" applyFont="1" applyBorder="1" applyAlignment="1"/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5" fillId="8" borderId="3" xfId="0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8" borderId="11" xfId="0" applyNumberFormat="1" applyFont="1" applyFill="1" applyBorder="1" applyAlignment="1">
      <alignment horizontal="left"/>
    </xf>
    <xf numFmtId="0" fontId="18" fillId="8" borderId="3" xfId="0" applyFont="1" applyFill="1" applyBorder="1" applyAlignment="1"/>
    <xf numFmtId="0" fontId="92" fillId="14" borderId="11" xfId="0" applyFont="1" applyFill="1" applyBorder="1" applyAlignment="1">
      <alignment horizontal="center" vertical="center"/>
    </xf>
    <xf numFmtId="0" fontId="82" fillId="14" borderId="2" xfId="0" applyFont="1" applyFill="1" applyBorder="1" applyAlignment="1">
      <alignment horizontal="center" vertical="center"/>
    </xf>
    <xf numFmtId="0" fontId="82" fillId="14" borderId="2" xfId="0" applyFont="1" applyFill="1" applyBorder="1" applyAlignment="1">
      <alignment horizontal="center"/>
    </xf>
    <xf numFmtId="0" fontId="82" fillId="14" borderId="4" xfId="0" applyFont="1" applyFill="1" applyBorder="1" applyAlignment="1">
      <alignment horizontal="center"/>
    </xf>
    <xf numFmtId="0" fontId="77" fillId="5" borderId="1" xfId="0" applyFont="1" applyFill="1" applyBorder="1" applyAlignment="1"/>
    <xf numFmtId="0" fontId="0" fillId="5" borderId="0" xfId="0" applyFill="1" applyBorder="1" applyAlignment="1"/>
    <xf numFmtId="0" fontId="0" fillId="0" borderId="0" xfId="0" applyAlignment="1"/>
    <xf numFmtId="2" fontId="61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5" borderId="18" xfId="0" applyNumberFormat="1" applyFont="1" applyFill="1" applyBorder="1" applyAlignment="1"/>
    <xf numFmtId="0" fontId="0" fillId="5" borderId="12" xfId="0" applyNumberFormat="1" applyFill="1" applyBorder="1" applyAlignment="1"/>
    <xf numFmtId="0" fontId="0" fillId="5" borderId="9" xfId="0" applyNumberFormat="1" applyFill="1" applyBorder="1" applyAlignment="1"/>
    <xf numFmtId="0" fontId="5" fillId="5" borderId="11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2" fillId="10" borderId="0" xfId="0" applyFont="1" applyFill="1" applyAlignment="1"/>
    <xf numFmtId="0" fontId="121" fillId="21" borderId="11" xfId="2" applyFont="1" applyFill="1" applyBorder="1" applyAlignment="1" applyProtection="1">
      <alignment horizontal="center" vertical="center" wrapText="1"/>
    </xf>
    <xf numFmtId="0" fontId="121" fillId="21" borderId="2" xfId="2" applyFont="1" applyFill="1" applyBorder="1" applyAlignment="1" applyProtection="1">
      <alignment horizontal="center" vertical="center" wrapText="1"/>
    </xf>
    <xf numFmtId="0" fontId="121" fillId="21" borderId="4" xfId="2" applyFont="1" applyFill="1" applyBorder="1" applyAlignment="1" applyProtection="1">
      <alignment horizontal="center" vertical="center" wrapText="1"/>
    </xf>
    <xf numFmtId="0" fontId="93" fillId="5" borderId="0" xfId="2" applyFont="1" applyFill="1" applyBorder="1" applyAlignment="1" applyProtection="1">
      <alignment horizontal="center" vertical="center" wrapText="1"/>
    </xf>
    <xf numFmtId="0" fontId="55" fillId="2" borderId="0" xfId="2" applyFont="1" applyFill="1" applyAlignment="1" applyProtection="1"/>
    <xf numFmtId="0" fontId="120" fillId="21" borderId="16" xfId="2" applyFont="1" applyFill="1" applyBorder="1" applyAlignment="1" applyProtection="1">
      <alignment horizontal="center" vertical="center" wrapText="1"/>
    </xf>
    <xf numFmtId="0" fontId="120" fillId="21" borderId="25" xfId="2" applyFont="1" applyFill="1" applyBorder="1" applyAlignment="1" applyProtection="1">
      <alignment horizontal="center" vertical="center" wrapText="1"/>
    </xf>
    <xf numFmtId="0" fontId="120" fillId="21" borderId="19" xfId="2" applyFont="1" applyFill="1" applyBorder="1" applyAlignment="1" applyProtection="1">
      <alignment horizontal="center" vertical="center" wrapText="1"/>
    </xf>
    <xf numFmtId="0" fontId="120" fillId="21" borderId="18" xfId="2" applyFont="1" applyFill="1" applyBorder="1" applyAlignment="1" applyProtection="1">
      <alignment horizontal="center" vertical="center" wrapText="1"/>
    </xf>
    <xf numFmtId="0" fontId="120" fillId="21" borderId="12" xfId="2" applyFont="1" applyFill="1" applyBorder="1" applyAlignment="1" applyProtection="1">
      <alignment horizontal="center" vertical="center" wrapText="1"/>
    </xf>
    <xf numFmtId="0" fontId="120" fillId="21" borderId="9" xfId="2" applyFont="1" applyFill="1" applyBorder="1" applyAlignment="1" applyProtection="1">
      <alignment horizontal="center" vertical="center" wrapText="1"/>
    </xf>
    <xf numFmtId="0" fontId="55" fillId="5" borderId="0" xfId="2" applyFont="1" applyFill="1" applyAlignment="1" applyProtection="1"/>
    <xf numFmtId="0" fontId="55" fillId="0" borderId="0" xfId="2" applyFont="1" applyAlignment="1" applyProtection="1"/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7" fillId="9" borderId="11" xfId="0" applyFont="1" applyFill="1" applyBorder="1" applyAlignment="1">
      <alignment horizontal="center" vertical="center" wrapText="1"/>
    </xf>
    <xf numFmtId="0" fontId="117" fillId="9" borderId="2" xfId="0" applyFont="1" applyFill="1" applyBorder="1" applyAlignment="1">
      <alignment horizontal="center" vertical="center" wrapText="1"/>
    </xf>
    <xf numFmtId="0" fontId="118" fillId="9" borderId="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66" fillId="2" borderId="7" xfId="2" applyFont="1" applyFill="1" applyBorder="1" applyAlignment="1" applyProtection="1">
      <alignment horizontal="center" vertical="center"/>
    </xf>
    <xf numFmtId="0" fontId="66" fillId="0" borderId="5" xfId="2" applyFont="1" applyBorder="1" applyAlignment="1" applyProtection="1">
      <alignment horizontal="center" vertical="center"/>
    </xf>
    <xf numFmtId="0" fontId="48" fillId="21" borderId="16" xfId="0" applyFont="1" applyFill="1" applyBorder="1" applyAlignment="1">
      <alignment horizontal="left" vertical="center" wrapText="1"/>
    </xf>
    <xf numFmtId="0" fontId="18" fillId="21" borderId="25" xfId="0" applyFont="1" applyFill="1" applyBorder="1" applyAlignment="1">
      <alignment horizontal="left" vertical="center" wrapText="1"/>
    </xf>
    <xf numFmtId="0" fontId="18" fillId="21" borderId="19" xfId="0" applyFont="1" applyFill="1" applyBorder="1" applyAlignment="1">
      <alignment horizontal="left" vertical="center" wrapText="1"/>
    </xf>
    <xf numFmtId="0" fontId="8" fillId="21" borderId="16" xfId="0" applyFont="1" applyFill="1" applyBorder="1" applyAlignment="1">
      <alignment horizontal="center" vertical="center" wrapText="1"/>
    </xf>
    <xf numFmtId="0" fontId="47" fillId="21" borderId="25" xfId="0" applyFont="1" applyFill="1" applyBorder="1" applyAlignment="1">
      <alignment horizontal="center" vertical="center" wrapText="1"/>
    </xf>
    <xf numFmtId="0" fontId="47" fillId="21" borderId="19" xfId="0" applyFont="1" applyFill="1" applyBorder="1" applyAlignment="1">
      <alignment horizontal="center" vertical="center" wrapText="1"/>
    </xf>
    <xf numFmtId="0" fontId="91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64" fillId="12" borderId="3" xfId="0" applyFont="1" applyFill="1" applyBorder="1" applyAlignment="1">
      <alignment horizontal="center" vertical="center" wrapText="1"/>
    </xf>
    <xf numFmtId="0" fontId="63" fillId="12" borderId="3" xfId="0" applyFont="1" applyFill="1" applyBorder="1" applyAlignment="1">
      <alignment horizontal="center" vertical="center" wrapText="1"/>
    </xf>
    <xf numFmtId="0" fontId="12" fillId="21" borderId="18" xfId="2" applyFill="1" applyBorder="1" applyAlignment="1" applyProtection="1">
      <alignment horizontal="left" vertical="center"/>
    </xf>
    <xf numFmtId="0" fontId="12" fillId="21" borderId="12" xfId="2" applyFill="1" applyBorder="1" applyAlignment="1" applyProtection="1">
      <alignment horizontal="left" vertical="center"/>
    </xf>
    <xf numFmtId="0" fontId="94" fillId="22" borderId="11" xfId="0" applyFont="1" applyFill="1" applyBorder="1" applyAlignment="1">
      <alignment horizontal="center" vertical="center"/>
    </xf>
    <xf numFmtId="0" fontId="95" fillId="22" borderId="2" xfId="0" applyFont="1" applyFill="1" applyBorder="1" applyAlignment="1">
      <alignment horizontal="center" vertical="center"/>
    </xf>
    <xf numFmtId="0" fontId="95" fillId="22" borderId="4" xfId="0" applyFont="1" applyFill="1" applyBorder="1" applyAlignment="1">
      <alignment horizontal="center" vertical="center"/>
    </xf>
    <xf numFmtId="0" fontId="119" fillId="21" borderId="16" xfId="0" applyFont="1" applyFill="1" applyBorder="1" applyAlignment="1">
      <alignment horizontal="center" vertical="center" wrapText="1"/>
    </xf>
    <xf numFmtId="0" fontId="1" fillId="21" borderId="25" xfId="0" applyFont="1" applyFill="1" applyBorder="1" applyAlignment="1">
      <alignment horizontal="center" vertical="center" wrapText="1"/>
    </xf>
    <xf numFmtId="0" fontId="1" fillId="21" borderId="19" xfId="0" applyFont="1" applyFill="1" applyBorder="1" applyAlignment="1">
      <alignment horizontal="center" vertical="center" wrapText="1"/>
    </xf>
    <xf numFmtId="0" fontId="1" fillId="21" borderId="18" xfId="0" applyFont="1" applyFill="1" applyBorder="1" applyAlignment="1">
      <alignment horizontal="center" vertical="center" wrapText="1"/>
    </xf>
    <xf numFmtId="0" fontId="1" fillId="21" borderId="12" xfId="0" applyFont="1" applyFill="1" applyBorder="1" applyAlignment="1">
      <alignment horizontal="center" vertical="center" wrapText="1"/>
    </xf>
    <xf numFmtId="0" fontId="1" fillId="21" borderId="9" xfId="0" applyFont="1" applyFill="1" applyBorder="1" applyAlignment="1">
      <alignment horizontal="center" vertical="center" wrapText="1"/>
    </xf>
    <xf numFmtId="0" fontId="14" fillId="21" borderId="18" xfId="0" applyFont="1" applyFill="1" applyBorder="1" applyAlignment="1">
      <alignment horizontal="center"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14" fillId="21" borderId="9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2" fontId="61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/>
    <xf numFmtId="0" fontId="0" fillId="7" borderId="3" xfId="0" applyFill="1" applyBorder="1" applyAlignment="1"/>
    <xf numFmtId="2" fontId="69" fillId="13" borderId="16" xfId="0" applyNumberFormat="1" applyFont="1" applyFill="1" applyBorder="1" applyAlignment="1">
      <alignment horizontal="center" vertical="center" wrapText="1"/>
    </xf>
    <xf numFmtId="0" fontId="76" fillId="13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6" fillId="13" borderId="1" xfId="0" applyFont="1" applyFill="1" applyBorder="1" applyAlignment="1">
      <alignment horizontal="center" vertical="center" wrapText="1"/>
    </xf>
    <xf numFmtId="0" fontId="76" fillId="1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6" fillId="13" borderId="18" xfId="0" applyFont="1" applyFill="1" applyBorder="1" applyAlignment="1">
      <alignment horizontal="center" vertical="center" wrapText="1"/>
    </xf>
    <xf numFmtId="0" fontId="76" fillId="1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5" fillId="9" borderId="11" xfId="0" applyNumberFormat="1" applyFont="1" applyFill="1" applyBorder="1" applyAlignment="1"/>
    <xf numFmtId="0" fontId="0" fillId="9" borderId="2" xfId="0" applyFill="1" applyBorder="1" applyAlignment="1"/>
    <xf numFmtId="0" fontId="0" fillId="9" borderId="4" xfId="0" applyFill="1" applyBorder="1" applyAlignment="1"/>
    <xf numFmtId="2" fontId="62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5" fillId="7" borderId="5" xfId="0" applyFont="1" applyFill="1" applyBorder="1" applyAlignment="1"/>
    <xf numFmtId="2" fontId="4" fillId="7" borderId="18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9" borderId="5" xfId="0" applyFont="1" applyFill="1" applyBorder="1" applyAlignment="1"/>
    <xf numFmtId="0" fontId="0" fillId="9" borderId="5" xfId="0" applyFill="1" applyBorder="1" applyAlignment="1"/>
    <xf numFmtId="0" fontId="1" fillId="8" borderId="3" xfId="0" applyFont="1" applyFill="1" applyBorder="1" applyAlignment="1"/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/>
    <xf numFmtId="2" fontId="5" fillId="9" borderId="5" xfId="0" applyNumberFormat="1" applyFont="1" applyFill="1" applyBorder="1" applyAlignment="1"/>
    <xf numFmtId="0" fontId="5" fillId="5" borderId="5" xfId="0" applyFont="1" applyFill="1" applyBorder="1" applyAlignment="1"/>
    <xf numFmtId="0" fontId="76" fillId="13" borderId="19" xfId="0" applyFont="1" applyFill="1" applyBorder="1" applyAlignment="1">
      <alignment horizontal="center" vertical="center" wrapText="1"/>
    </xf>
    <xf numFmtId="0" fontId="76" fillId="13" borderId="9" xfId="0" applyFont="1" applyFill="1" applyBorder="1" applyAlignment="1">
      <alignment horizontal="center" vertical="center" wrapText="1"/>
    </xf>
    <xf numFmtId="2" fontId="61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62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77" fillId="10" borderId="1" xfId="0" applyFont="1" applyFill="1" applyBorder="1" applyAlignment="1">
      <alignment vertical="center"/>
    </xf>
    <xf numFmtId="0" fontId="79" fillId="10" borderId="0" xfId="0" applyFont="1" applyFill="1" applyBorder="1" applyAlignment="1">
      <alignment vertical="center"/>
    </xf>
    <xf numFmtId="0" fontId="79" fillId="10" borderId="22" xfId="0" applyFont="1" applyFill="1" applyBorder="1" applyAlignment="1">
      <alignment vertical="center"/>
    </xf>
    <xf numFmtId="0" fontId="18" fillId="8" borderId="5" xfId="0" applyFont="1" applyFill="1" applyBorder="1" applyAlignment="1"/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09" fillId="13" borderId="16" xfId="0" applyFont="1" applyFill="1" applyBorder="1" applyAlignment="1">
      <alignment horizontal="center" vertical="center" wrapText="1"/>
    </xf>
    <xf numFmtId="0" fontId="109" fillId="13" borderId="25" xfId="0" applyFont="1" applyFill="1" applyBorder="1" applyAlignment="1">
      <alignment horizontal="center" vertical="center" wrapText="1"/>
    </xf>
    <xf numFmtId="0" fontId="109" fillId="13" borderId="19" xfId="0" applyFont="1" applyFill="1" applyBorder="1" applyAlignment="1">
      <alignment horizontal="center" vertical="center" wrapText="1"/>
    </xf>
    <xf numFmtId="0" fontId="109" fillId="13" borderId="1" xfId="0" applyFont="1" applyFill="1" applyBorder="1" applyAlignment="1">
      <alignment horizontal="center" vertical="center" wrapText="1"/>
    </xf>
    <xf numFmtId="0" fontId="109" fillId="13" borderId="0" xfId="0" applyFont="1" applyFill="1" applyBorder="1" applyAlignment="1">
      <alignment horizontal="center" vertical="center" wrapText="1"/>
    </xf>
    <xf numFmtId="0" fontId="109" fillId="13" borderId="22" xfId="0" applyFont="1" applyFill="1" applyBorder="1" applyAlignment="1">
      <alignment horizontal="center" vertical="center" wrapText="1"/>
    </xf>
    <xf numFmtId="0" fontId="109" fillId="13" borderId="18" xfId="0" applyFont="1" applyFill="1" applyBorder="1" applyAlignment="1">
      <alignment horizontal="center" vertical="center" wrapText="1"/>
    </xf>
    <xf numFmtId="0" fontId="109" fillId="13" borderId="12" xfId="0" applyFont="1" applyFill="1" applyBorder="1" applyAlignment="1">
      <alignment horizontal="center" vertical="center" wrapText="1"/>
    </xf>
    <xf numFmtId="0" fontId="109" fillId="13" borderId="9" xfId="0" applyFont="1" applyFill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8" fillId="7" borderId="3" xfId="0" applyFont="1" applyFill="1" applyBorder="1" applyAlignment="1"/>
    <xf numFmtId="0" fontId="18" fillId="8" borderId="7" xfId="0" applyFont="1" applyFill="1" applyBorder="1" applyAlignment="1"/>
    <xf numFmtId="0" fontId="5" fillId="5" borderId="18" xfId="0" applyFont="1" applyFill="1" applyBorder="1" applyAlignment="1"/>
    <xf numFmtId="0" fontId="2" fillId="5" borderId="3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88" fillId="8" borderId="3" xfId="0" applyFont="1" applyFill="1" applyBorder="1" applyAlignment="1">
      <alignment horizontal="left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2" fontId="80" fillId="17" borderId="15" xfId="0" applyNumberFormat="1" applyFont="1" applyFill="1" applyBorder="1" applyAlignment="1">
      <alignment horizontal="center" vertical="center" wrapText="1"/>
    </xf>
    <xf numFmtId="0" fontId="108" fillId="17" borderId="15" xfId="0" applyFont="1" applyFill="1" applyBorder="1" applyAlignment="1">
      <alignment horizontal="center" vertical="center" wrapText="1"/>
    </xf>
    <xf numFmtId="0" fontId="108" fillId="17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3" xfId="0" applyFont="1" applyFill="1" applyBorder="1" applyAlignment="1"/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4" fillId="8" borderId="18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88" fillId="8" borderId="3" xfId="0" applyNumberFormat="1" applyFont="1" applyFill="1" applyBorder="1" applyAlignment="1"/>
    <xf numFmtId="0" fontId="87" fillId="8" borderId="3" xfId="0" applyFont="1" applyFill="1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1" fillId="9" borderId="5" xfId="0" applyNumberFormat="1" applyFont="1" applyFill="1" applyBorder="1" applyAlignment="1"/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5" fillId="7" borderId="11" xfId="0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104" fillId="14" borderId="11" xfId="2" applyFont="1" applyFill="1" applyBorder="1" applyAlignment="1" applyProtection="1">
      <alignment horizontal="center" vertical="center" wrapText="1"/>
    </xf>
    <xf numFmtId="0" fontId="104" fillId="14" borderId="2" xfId="2" applyFont="1" applyFill="1" applyBorder="1" applyAlignment="1" applyProtection="1">
      <alignment horizontal="center" vertical="center" wrapText="1"/>
    </xf>
    <xf numFmtId="0" fontId="104" fillId="14" borderId="4" xfId="2" applyFont="1" applyFill="1" applyBorder="1" applyAlignment="1" applyProtection="1">
      <alignment horizontal="center" vertical="center" wrapText="1"/>
    </xf>
    <xf numFmtId="0" fontId="89" fillId="14" borderId="34" xfId="0" applyFont="1" applyFill="1" applyBorder="1" applyAlignment="1">
      <alignment horizontal="center" vertical="center" wrapText="1"/>
    </xf>
    <xf numFmtId="0" fontId="90" fillId="14" borderId="26" xfId="0" applyFont="1" applyFill="1" applyBorder="1" applyAlignment="1">
      <alignment horizontal="center" vertical="center" wrapText="1"/>
    </xf>
    <xf numFmtId="0" fontId="82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horizontal="left" vertical="center" wrapText="1"/>
    </xf>
    <xf numFmtId="0" fontId="9" fillId="21" borderId="25" xfId="0" applyFont="1" applyFill="1" applyBorder="1" applyAlignment="1">
      <alignment wrapText="1"/>
    </xf>
    <xf numFmtId="0" fontId="9" fillId="21" borderId="19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22" xfId="0" applyFont="1" applyFill="1" applyBorder="1" applyAlignment="1">
      <alignment wrapText="1"/>
    </xf>
    <xf numFmtId="0" fontId="9" fillId="21" borderId="1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1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22" xfId="0" applyFill="1" applyBorder="1" applyAlignment="1">
      <alignment wrapText="1"/>
    </xf>
    <xf numFmtId="0" fontId="0" fillId="21" borderId="18" xfId="0" applyFill="1" applyBorder="1" applyAlignment="1">
      <alignment wrapText="1"/>
    </xf>
    <xf numFmtId="0" fontId="0" fillId="21" borderId="12" xfId="0" applyFill="1" applyBorder="1" applyAlignment="1">
      <alignment wrapText="1"/>
    </xf>
    <xf numFmtId="0" fontId="0" fillId="21" borderId="9" xfId="0" applyFill="1" applyBorder="1" applyAlignment="1">
      <alignment wrapText="1"/>
    </xf>
    <xf numFmtId="0" fontId="89" fillId="14" borderId="16" xfId="0" applyFont="1" applyFill="1" applyBorder="1" applyAlignment="1">
      <alignment horizontal="center" vertical="center" wrapText="1"/>
    </xf>
    <xf numFmtId="0" fontId="90" fillId="14" borderId="25" xfId="0" applyFont="1" applyFill="1" applyBorder="1" applyAlignment="1">
      <alignment horizontal="center" vertical="center" wrapText="1"/>
    </xf>
    <xf numFmtId="0" fontId="82" fillId="14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3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22" xfId="0" applyFont="1" applyFill="1" applyBorder="1" applyAlignment="1">
      <alignment wrapText="1"/>
    </xf>
    <xf numFmtId="0" fontId="5" fillId="21" borderId="1" xfId="0" applyFont="1" applyFill="1" applyBorder="1" applyAlignment="1">
      <alignment wrapText="1"/>
    </xf>
    <xf numFmtId="0" fontId="5" fillId="21" borderId="18" xfId="0" applyFont="1" applyFill="1" applyBorder="1" applyAlignment="1">
      <alignment wrapText="1"/>
    </xf>
    <xf numFmtId="0" fontId="5" fillId="21" borderId="12" xfId="0" applyFont="1" applyFill="1" applyBorder="1" applyAlignment="1">
      <alignment wrapText="1"/>
    </xf>
    <xf numFmtId="0" fontId="1" fillId="21" borderId="12" xfId="0" applyFont="1" applyFill="1" applyBorder="1" applyAlignment="1">
      <alignment wrapText="1"/>
    </xf>
    <xf numFmtId="0" fontId="1" fillId="21" borderId="9" xfId="0" applyFont="1" applyFill="1" applyBorder="1" applyAlignment="1">
      <alignment wrapText="1"/>
    </xf>
    <xf numFmtId="0" fontId="26" fillId="2" borderId="16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6" fillId="14" borderId="41" xfId="0" applyFont="1" applyFill="1" applyBorder="1" applyAlignment="1">
      <alignment horizontal="center" vertical="center" wrapText="1"/>
    </xf>
    <xf numFmtId="0" fontId="82" fillId="14" borderId="30" xfId="0" applyFont="1" applyFill="1" applyBorder="1" applyAlignment="1">
      <alignment horizontal="center" vertical="center" wrapText="1"/>
    </xf>
    <xf numFmtId="0" fontId="82" fillId="14" borderId="3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81" fillId="17" borderId="15" xfId="0" applyNumberFormat="1" applyFont="1" applyFill="1" applyBorder="1" applyAlignment="1">
      <alignment horizontal="center" vertical="center" wrapText="1"/>
    </xf>
    <xf numFmtId="0" fontId="82" fillId="17" borderId="15" xfId="0" applyFont="1" applyFill="1" applyBorder="1" applyAlignment="1">
      <alignment horizontal="center" vertical="center" wrapText="1"/>
    </xf>
    <xf numFmtId="0" fontId="88" fillId="5" borderId="3" xfId="0" applyFont="1" applyFill="1" applyBorder="1" applyAlignment="1">
      <alignment horizontal="left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6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2" fontId="76" fillId="9" borderId="3" xfId="0" applyNumberFormat="1" applyFont="1" applyFill="1" applyBorder="1" applyAlignment="1"/>
    <xf numFmtId="0" fontId="68" fillId="9" borderId="3" xfId="0" applyFont="1" applyFill="1" applyBorder="1" applyAlignment="1"/>
    <xf numFmtId="0" fontId="5" fillId="8" borderId="7" xfId="0" applyFont="1" applyFill="1" applyBorder="1" applyAlignment="1"/>
    <xf numFmtId="0" fontId="39" fillId="5" borderId="4" xfId="0" applyFont="1" applyFill="1" applyBorder="1" applyAlignment="1"/>
    <xf numFmtId="0" fontId="76" fillId="5" borderId="0" xfId="0" applyFont="1" applyFill="1" applyBorder="1" applyAlignment="1">
      <alignment horizontal="center" vertical="center" wrapText="1"/>
    </xf>
    <xf numFmtId="2" fontId="62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0" fillId="7" borderId="3" xfId="0" applyFill="1" applyBorder="1" applyAlignment="1">
      <alignment wrapText="1"/>
    </xf>
    <xf numFmtId="0" fontId="68" fillId="0" borderId="0" xfId="0" applyFont="1" applyAlignment="1"/>
    <xf numFmtId="0" fontId="68" fillId="0" borderId="22" xfId="0" applyFont="1" applyBorder="1" applyAlignment="1"/>
    <xf numFmtId="2" fontId="62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3" fillId="8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92" fillId="17" borderId="0" xfId="0" applyFont="1" applyFill="1" applyBorder="1" applyAlignment="1">
      <alignment horizontal="center" vertical="center" wrapText="1"/>
    </xf>
    <xf numFmtId="0" fontId="84" fillId="17" borderId="0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/>
    <xf numFmtId="0" fontId="101" fillId="14" borderId="11" xfId="0" applyFont="1" applyFill="1" applyBorder="1" applyAlignment="1">
      <alignment horizontal="center" vertical="center" wrapText="1"/>
    </xf>
    <xf numFmtId="0" fontId="101" fillId="14" borderId="2" xfId="0" applyFont="1" applyFill="1" applyBorder="1" applyAlignment="1">
      <alignment horizontal="center" vertical="center" wrapText="1"/>
    </xf>
    <xf numFmtId="0" fontId="102" fillId="14" borderId="4" xfId="0" applyFont="1" applyFill="1" applyBorder="1" applyAlignment="1">
      <alignment horizontal="center" vertical="center" wrapText="1"/>
    </xf>
    <xf numFmtId="0" fontId="64" fillId="12" borderId="7" xfId="0" applyFont="1" applyFill="1" applyBorder="1" applyAlignment="1">
      <alignment horizontal="center" vertical="center" wrapText="1"/>
    </xf>
    <xf numFmtId="0" fontId="63" fillId="12" borderId="5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90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80" fillId="14" borderId="11" xfId="0" applyNumberFormat="1" applyFont="1" applyFill="1" applyBorder="1" applyAlignment="1">
      <alignment horizontal="center" vertical="center"/>
    </xf>
    <xf numFmtId="0" fontId="80" fillId="14" borderId="2" xfId="0" applyFont="1" applyFill="1" applyBorder="1" applyAlignment="1">
      <alignment horizontal="center" vertical="center"/>
    </xf>
    <xf numFmtId="0" fontId="82" fillId="14" borderId="4" xfId="0" applyFont="1" applyFill="1" applyBorder="1" applyAlignment="1">
      <alignment horizontal="center" vertical="center"/>
    </xf>
    <xf numFmtId="0" fontId="82" fillId="17" borderId="0" xfId="0" applyFon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2" xfId="0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9" fillId="14" borderId="3" xfId="0" applyFont="1" applyFill="1" applyBorder="1" applyAlignment="1">
      <alignment horizontal="center" vertical="center" wrapText="1"/>
    </xf>
    <xf numFmtId="0" fontId="90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2" fontId="4" fillId="21" borderId="1" xfId="0" applyNumberFormat="1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21" borderId="9" xfId="0" applyFont="1" applyFill="1" applyBorder="1" applyAlignment="1">
      <alignment horizontal="center" vertical="center" wrapText="1"/>
    </xf>
    <xf numFmtId="0" fontId="81" fillId="14" borderId="23" xfId="0" applyFont="1" applyFill="1" applyBorder="1" applyAlignment="1">
      <alignment horizontal="center" vertical="center" wrapText="1"/>
    </xf>
    <xf numFmtId="0" fontId="81" fillId="14" borderId="26" xfId="0" applyFont="1" applyFill="1" applyBorder="1" applyAlignment="1">
      <alignment horizontal="center" vertical="center" wrapText="1"/>
    </xf>
    <xf numFmtId="0" fontId="81" fillId="14" borderId="27" xfId="0" applyFont="1" applyFill="1" applyBorder="1" applyAlignment="1">
      <alignment horizontal="center" vertical="center" wrapText="1"/>
    </xf>
    <xf numFmtId="0" fontId="81" fillId="14" borderId="6" xfId="0" applyFont="1" applyFill="1" applyBorder="1" applyAlignment="1">
      <alignment horizontal="center" vertical="center" wrapText="1"/>
    </xf>
    <xf numFmtId="0" fontId="81" fillId="14" borderId="0" xfId="0" applyFont="1" applyFill="1" applyBorder="1" applyAlignment="1">
      <alignment horizontal="center" vertical="center" wrapText="1"/>
    </xf>
    <xf numFmtId="0" fontId="81" fillId="14" borderId="13" xfId="0" applyFont="1" applyFill="1" applyBorder="1" applyAlignment="1">
      <alignment horizontal="center" vertical="center" wrapText="1"/>
    </xf>
    <xf numFmtId="0" fontId="81" fillId="14" borderId="24" xfId="0" applyFont="1" applyFill="1" applyBorder="1" applyAlignment="1">
      <alignment horizontal="center" vertical="center" wrapText="1"/>
    </xf>
    <xf numFmtId="0" fontId="81" fillId="14" borderId="20" xfId="0" applyFont="1" applyFill="1" applyBorder="1" applyAlignment="1">
      <alignment horizontal="center" vertical="center" wrapText="1"/>
    </xf>
    <xf numFmtId="0" fontId="81" fillId="14" borderId="28" xfId="0" applyFont="1" applyFill="1" applyBorder="1" applyAlignment="1">
      <alignment horizontal="center" vertical="center" wrapText="1"/>
    </xf>
    <xf numFmtId="0" fontId="80" fillId="19" borderId="5" xfId="0" applyFont="1" applyFill="1" applyBorder="1" applyAlignment="1"/>
    <xf numFmtId="0" fontId="108" fillId="19" borderId="5" xfId="0" applyFont="1" applyFill="1" applyBorder="1" applyAlignment="1"/>
    <xf numFmtId="2" fontId="108" fillId="14" borderId="25" xfId="0" applyNumberFormat="1" applyFont="1" applyFill="1" applyBorder="1" applyAlignment="1">
      <alignment horizontal="center" vertical="center" wrapText="1"/>
    </xf>
    <xf numFmtId="0" fontId="82" fillId="14" borderId="25" xfId="0" applyFont="1" applyFill="1" applyBorder="1" applyAlignment="1">
      <alignment horizontal="center" vertical="center" wrapText="1"/>
    </xf>
    <xf numFmtId="0" fontId="81" fillId="18" borderId="5" xfId="0" applyFont="1" applyFill="1" applyBorder="1" applyAlignment="1"/>
    <xf numFmtId="0" fontId="82" fillId="18" borderId="5" xfId="0" applyFont="1" applyFill="1" applyBorder="1" applyAlignment="1"/>
    <xf numFmtId="0" fontId="81" fillId="14" borderId="5" xfId="0" applyFont="1" applyFill="1" applyBorder="1" applyAlignment="1"/>
    <xf numFmtId="0" fontId="82" fillId="14" borderId="5" xfId="0" applyFont="1" applyFill="1" applyBorder="1" applyAlignment="1"/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17" fillId="8" borderId="11" xfId="0" applyNumberFormat="1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2" fontId="88" fillId="5" borderId="11" xfId="0" applyNumberFormat="1" applyFont="1" applyFill="1" applyBorder="1" applyAlignment="1"/>
    <xf numFmtId="0" fontId="36" fillId="10" borderId="0" xfId="0" applyFont="1" applyFill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2" fontId="5" fillId="9" borderId="11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77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1" fillId="8" borderId="3" xfId="0" applyFont="1" applyFill="1" applyBorder="1" applyAlignment="1"/>
    <xf numFmtId="0" fontId="1" fillId="5" borderId="3" xfId="0" applyFont="1" applyFill="1" applyBorder="1" applyAlignment="1">
      <alignment wrapText="1"/>
    </xf>
    <xf numFmtId="0" fontId="69" fillId="13" borderId="16" xfId="0" applyFont="1" applyFill="1" applyBorder="1" applyAlignment="1">
      <alignment horizontal="center" vertical="center" wrapText="1"/>
    </xf>
    <xf numFmtId="0" fontId="69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1" fillId="8" borderId="3" xfId="0" applyFont="1" applyFill="1" applyBorder="1" applyAlignment="1">
      <alignment wrapText="1"/>
    </xf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0" fontId="68" fillId="13" borderId="25" xfId="0" applyFont="1" applyFill="1" applyBorder="1" applyAlignment="1">
      <alignment horizontal="center" vertical="center" wrapText="1"/>
    </xf>
    <xf numFmtId="0" fontId="68" fillId="13" borderId="19" xfId="0" applyFont="1" applyFill="1" applyBorder="1" applyAlignment="1">
      <alignment horizontal="center" vertical="center" wrapText="1"/>
    </xf>
    <xf numFmtId="0" fontId="68" fillId="13" borderId="1" xfId="0" applyFont="1" applyFill="1" applyBorder="1" applyAlignment="1">
      <alignment horizontal="center" vertical="center" wrapText="1"/>
    </xf>
    <xf numFmtId="0" fontId="68" fillId="13" borderId="0" xfId="0" applyFont="1" applyFill="1" applyAlignment="1">
      <alignment horizontal="center" vertical="center" wrapText="1"/>
    </xf>
    <xf numFmtId="0" fontId="68" fillId="13" borderId="22" xfId="0" applyFont="1" applyFill="1" applyBorder="1" applyAlignment="1">
      <alignment horizontal="center" vertical="center" wrapText="1"/>
    </xf>
    <xf numFmtId="0" fontId="68" fillId="13" borderId="18" xfId="0" applyFont="1" applyFill="1" applyBorder="1" applyAlignment="1">
      <alignment horizontal="center" vertical="center" wrapText="1"/>
    </xf>
    <xf numFmtId="0" fontId="68" fillId="13" borderId="12" xfId="0" applyFont="1" applyFill="1" applyBorder="1" applyAlignment="1">
      <alignment horizontal="center" vertical="center" wrapText="1"/>
    </xf>
    <xf numFmtId="0" fontId="68" fillId="13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0" fontId="1" fillId="9" borderId="3" xfId="0" applyFont="1" applyFill="1" applyBorder="1" applyAlignment="1"/>
    <xf numFmtId="2" fontId="88" fillId="5" borderId="3" xfId="0" applyNumberFormat="1" applyFont="1" applyFill="1" applyBorder="1" applyAlignment="1">
      <alignment wrapText="1"/>
    </xf>
    <xf numFmtId="0" fontId="87" fillId="5" borderId="3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2" xfId="0" applyNumberFormat="1" applyFont="1" applyFill="1" applyBorder="1" applyAlignment="1">
      <alignment wrapText="1"/>
    </xf>
    <xf numFmtId="2" fontId="5" fillId="8" borderId="4" xfId="0" applyNumberFormat="1" applyFont="1" applyFill="1" applyBorder="1" applyAlignment="1">
      <alignment wrapText="1"/>
    </xf>
    <xf numFmtId="2" fontId="17" fillId="8" borderId="11" xfId="0" applyNumberFormat="1" applyFont="1" applyFill="1" applyBorder="1" applyAlignment="1">
      <alignment wrapText="1"/>
    </xf>
    <xf numFmtId="0" fontId="39" fillId="8" borderId="2" xfId="0" applyFont="1" applyFill="1" applyBorder="1" applyAlignment="1">
      <alignment wrapText="1"/>
    </xf>
    <xf numFmtId="0" fontId="39" fillId="8" borderId="4" xfId="0" applyFont="1" applyFill="1" applyBorder="1" applyAlignment="1">
      <alignment wrapText="1"/>
    </xf>
    <xf numFmtId="2" fontId="80" fillId="15" borderId="11" xfId="0" applyNumberFormat="1" applyFont="1" applyFill="1" applyBorder="1" applyAlignment="1">
      <alignment horizontal="center" vertical="center"/>
    </xf>
    <xf numFmtId="0" fontId="82" fillId="15" borderId="2" xfId="0" applyFont="1" applyFill="1" applyBorder="1" applyAlignment="1">
      <alignment horizontal="center" vertical="center"/>
    </xf>
    <xf numFmtId="0" fontId="82" fillId="15" borderId="4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2" fontId="5" fillId="5" borderId="18" xfId="0" applyNumberFormat="1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pn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hyperlink" Target="http://www.jivi.com.ar/home.asp" TargetMode="External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442</xdr:row>
      <xdr:rowOff>28575</xdr:rowOff>
    </xdr:from>
    <xdr:to>
      <xdr:col>0</xdr:col>
      <xdr:colOff>285750</xdr:colOff>
      <xdr:row>442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28575</xdr:rowOff>
    </xdr:from>
    <xdr:to>
      <xdr:col>1</xdr:col>
      <xdr:colOff>295275</xdr:colOff>
      <xdr:row>679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677</xdr:row>
      <xdr:rowOff>19050</xdr:rowOff>
    </xdr:from>
    <xdr:to>
      <xdr:col>1</xdr:col>
      <xdr:colOff>180975</xdr:colOff>
      <xdr:row>677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443</xdr:row>
      <xdr:rowOff>28575</xdr:rowOff>
    </xdr:from>
    <xdr:to>
      <xdr:col>0</xdr:col>
      <xdr:colOff>285750</xdr:colOff>
      <xdr:row>443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446</xdr:row>
      <xdr:rowOff>19050</xdr:rowOff>
    </xdr:from>
    <xdr:to>
      <xdr:col>0</xdr:col>
      <xdr:colOff>285750</xdr:colOff>
      <xdr:row>446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447</xdr:row>
      <xdr:rowOff>19050</xdr:rowOff>
    </xdr:from>
    <xdr:to>
      <xdr:col>0</xdr:col>
      <xdr:colOff>285750</xdr:colOff>
      <xdr:row>447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445</xdr:row>
      <xdr:rowOff>28575</xdr:rowOff>
    </xdr:from>
    <xdr:to>
      <xdr:col>0</xdr:col>
      <xdr:colOff>285750</xdr:colOff>
      <xdr:row>445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108</xdr:row>
      <xdr:rowOff>28575</xdr:rowOff>
    </xdr:from>
    <xdr:to>
      <xdr:col>0</xdr:col>
      <xdr:colOff>295275</xdr:colOff>
      <xdr:row>108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109</xdr:row>
      <xdr:rowOff>28575</xdr:rowOff>
    </xdr:from>
    <xdr:to>
      <xdr:col>0</xdr:col>
      <xdr:colOff>295275</xdr:colOff>
      <xdr:row>110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667</xdr:row>
      <xdr:rowOff>76200</xdr:rowOff>
    </xdr:from>
    <xdr:to>
      <xdr:col>8</xdr:col>
      <xdr:colOff>353861</xdr:colOff>
      <xdr:row>673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681</xdr:row>
      <xdr:rowOff>38100</xdr:rowOff>
    </xdr:from>
    <xdr:to>
      <xdr:col>1</xdr:col>
      <xdr:colOff>295275</xdr:colOff>
      <xdr:row>681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112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48</xdr:row>
      <xdr:rowOff>28575</xdr:rowOff>
    </xdr:from>
    <xdr:to>
      <xdr:col>1</xdr:col>
      <xdr:colOff>0</xdr:colOff>
      <xdr:row>48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444</xdr:row>
      <xdr:rowOff>28575</xdr:rowOff>
    </xdr:from>
    <xdr:to>
      <xdr:col>0</xdr:col>
      <xdr:colOff>285750</xdr:colOff>
      <xdr:row>444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19050</xdr:rowOff>
    </xdr:from>
    <xdr:to>
      <xdr:col>1</xdr:col>
      <xdr:colOff>0</xdr:colOff>
      <xdr:row>597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695</xdr:row>
      <xdr:rowOff>36168</xdr:rowOff>
    </xdr:from>
    <xdr:to>
      <xdr:col>22</xdr:col>
      <xdr:colOff>273705</xdr:colOff>
      <xdr:row>695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28575</xdr:rowOff>
    </xdr:from>
    <xdr:to>
      <xdr:col>1</xdr:col>
      <xdr:colOff>0</xdr:colOff>
      <xdr:row>329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28575</xdr:rowOff>
    </xdr:from>
    <xdr:to>
      <xdr:col>1</xdr:col>
      <xdr:colOff>0</xdr:colOff>
      <xdr:row>212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28575</xdr:rowOff>
    </xdr:from>
    <xdr:to>
      <xdr:col>1</xdr:col>
      <xdr:colOff>0</xdr:colOff>
      <xdr:row>95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416</xdr:row>
      <xdr:rowOff>28575</xdr:rowOff>
    </xdr:from>
    <xdr:to>
      <xdr:col>1</xdr:col>
      <xdr:colOff>0</xdr:colOff>
      <xdr:row>416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28575</xdr:rowOff>
    </xdr:from>
    <xdr:to>
      <xdr:col>1</xdr:col>
      <xdr:colOff>0</xdr:colOff>
      <xdr:row>440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408</xdr:row>
      <xdr:rowOff>19050</xdr:rowOff>
    </xdr:from>
    <xdr:to>
      <xdr:col>24</xdr:col>
      <xdr:colOff>47625</xdr:colOff>
      <xdr:row>408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459</xdr:row>
      <xdr:rowOff>19050</xdr:rowOff>
    </xdr:from>
    <xdr:to>
      <xdr:col>24</xdr:col>
      <xdr:colOff>47625</xdr:colOff>
      <xdr:row>459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456</xdr:row>
      <xdr:rowOff>19050</xdr:rowOff>
    </xdr:from>
    <xdr:to>
      <xdr:col>24</xdr:col>
      <xdr:colOff>47625</xdr:colOff>
      <xdr:row>456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9525</xdr:rowOff>
    </xdr:from>
    <xdr:to>
      <xdr:col>24</xdr:col>
      <xdr:colOff>47625</xdr:colOff>
      <xdr:row>586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614</xdr:row>
      <xdr:rowOff>19050</xdr:rowOff>
    </xdr:from>
    <xdr:to>
      <xdr:col>24</xdr:col>
      <xdr:colOff>47625</xdr:colOff>
      <xdr:row>614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607</xdr:row>
      <xdr:rowOff>19050</xdr:rowOff>
    </xdr:from>
    <xdr:to>
      <xdr:col>24</xdr:col>
      <xdr:colOff>47625</xdr:colOff>
      <xdr:row>607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606</xdr:row>
      <xdr:rowOff>19050</xdr:rowOff>
    </xdr:from>
    <xdr:to>
      <xdr:col>24</xdr:col>
      <xdr:colOff>47625</xdr:colOff>
      <xdr:row>606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47625</xdr:colOff>
      <xdr:row>604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47625</xdr:colOff>
      <xdr:row>603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601</xdr:row>
      <xdr:rowOff>19050</xdr:rowOff>
    </xdr:from>
    <xdr:to>
      <xdr:col>24</xdr:col>
      <xdr:colOff>47625</xdr:colOff>
      <xdr:row>601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255</xdr:row>
      <xdr:rowOff>19050</xdr:rowOff>
    </xdr:from>
    <xdr:to>
      <xdr:col>26</xdr:col>
      <xdr:colOff>9524</xdr:colOff>
      <xdr:row>255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254</xdr:row>
      <xdr:rowOff>19050</xdr:rowOff>
    </xdr:from>
    <xdr:to>
      <xdr:col>26</xdr:col>
      <xdr:colOff>9524</xdr:colOff>
      <xdr:row>254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175</xdr:row>
      <xdr:rowOff>19050</xdr:rowOff>
    </xdr:from>
    <xdr:to>
      <xdr:col>26</xdr:col>
      <xdr:colOff>9524</xdr:colOff>
      <xdr:row>175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294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605</xdr:row>
      <xdr:rowOff>19050</xdr:rowOff>
    </xdr:from>
    <xdr:to>
      <xdr:col>24</xdr:col>
      <xdr:colOff>47625</xdr:colOff>
      <xdr:row>605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28575</xdr:rowOff>
    </xdr:from>
    <xdr:to>
      <xdr:col>1</xdr:col>
      <xdr:colOff>0</xdr:colOff>
      <xdr:row>333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216</xdr:row>
      <xdr:rowOff>19050</xdr:rowOff>
    </xdr:from>
    <xdr:to>
      <xdr:col>26</xdr:col>
      <xdr:colOff>9524</xdr:colOff>
      <xdr:row>216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47625</xdr:colOff>
      <xdr:row>287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288</xdr:row>
      <xdr:rowOff>19050</xdr:rowOff>
    </xdr:from>
    <xdr:to>
      <xdr:col>24</xdr:col>
      <xdr:colOff>47625</xdr:colOff>
      <xdr:row>288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48389</xdr:colOff>
      <xdr:row>506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274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91</xdr:row>
      <xdr:rowOff>19050</xdr:rowOff>
    </xdr:from>
    <xdr:to>
      <xdr:col>24</xdr:col>
      <xdr:colOff>38100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625</xdr:row>
      <xdr:rowOff>19050</xdr:rowOff>
    </xdr:from>
    <xdr:to>
      <xdr:col>10</xdr:col>
      <xdr:colOff>1</xdr:colOff>
      <xdr:row>625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270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203</xdr:row>
      <xdr:rowOff>28575</xdr:rowOff>
    </xdr:from>
    <xdr:to>
      <xdr:col>1</xdr:col>
      <xdr:colOff>0</xdr:colOff>
      <xdr:row>203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202</xdr:row>
      <xdr:rowOff>19050</xdr:rowOff>
    </xdr:from>
    <xdr:to>
      <xdr:col>10</xdr:col>
      <xdr:colOff>1</xdr:colOff>
      <xdr:row>202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205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47624</xdr:colOff>
      <xdr:row>209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270</xdr:row>
      <xdr:rowOff>19050</xdr:rowOff>
    </xdr:from>
    <xdr:to>
      <xdr:col>25</xdr:col>
      <xdr:colOff>83819</xdr:colOff>
      <xdr:row>270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271</xdr:row>
      <xdr:rowOff>19050</xdr:rowOff>
    </xdr:from>
    <xdr:to>
      <xdr:col>25</xdr:col>
      <xdr:colOff>83819</xdr:colOff>
      <xdr:row>271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272</xdr:row>
      <xdr:rowOff>19050</xdr:rowOff>
    </xdr:from>
    <xdr:to>
      <xdr:col>25</xdr:col>
      <xdr:colOff>83819</xdr:colOff>
      <xdr:row>272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273</xdr:row>
      <xdr:rowOff>19050</xdr:rowOff>
    </xdr:from>
    <xdr:to>
      <xdr:col>25</xdr:col>
      <xdr:colOff>83819</xdr:colOff>
      <xdr:row>273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274</xdr:row>
      <xdr:rowOff>19050</xdr:rowOff>
    </xdr:from>
    <xdr:to>
      <xdr:col>25</xdr:col>
      <xdr:colOff>83819</xdr:colOff>
      <xdr:row>274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275</xdr:row>
      <xdr:rowOff>19050</xdr:rowOff>
    </xdr:from>
    <xdr:to>
      <xdr:col>25</xdr:col>
      <xdr:colOff>83819</xdr:colOff>
      <xdr:row>275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276</xdr:row>
      <xdr:rowOff>19050</xdr:rowOff>
    </xdr:from>
    <xdr:to>
      <xdr:col>25</xdr:col>
      <xdr:colOff>83819</xdr:colOff>
      <xdr:row>276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269</xdr:row>
      <xdr:rowOff>19050</xdr:rowOff>
    </xdr:from>
    <xdr:to>
      <xdr:col>25</xdr:col>
      <xdr:colOff>83819</xdr:colOff>
      <xdr:row>269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618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233</xdr:row>
      <xdr:rowOff>28575</xdr:rowOff>
    </xdr:from>
    <xdr:to>
      <xdr:col>26</xdr:col>
      <xdr:colOff>9524</xdr:colOff>
      <xdr:row>234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47624</xdr:colOff>
      <xdr:row>242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246</xdr:row>
      <xdr:rowOff>19050</xdr:rowOff>
    </xdr:from>
    <xdr:to>
      <xdr:col>26</xdr:col>
      <xdr:colOff>9524</xdr:colOff>
      <xdr:row>246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253</xdr:row>
      <xdr:rowOff>19050</xdr:rowOff>
    </xdr:from>
    <xdr:to>
      <xdr:col>26</xdr:col>
      <xdr:colOff>9524</xdr:colOff>
      <xdr:row>253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150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319</xdr:row>
      <xdr:rowOff>19050</xdr:rowOff>
    </xdr:from>
    <xdr:to>
      <xdr:col>26</xdr:col>
      <xdr:colOff>9524</xdr:colOff>
      <xdr:row>319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320</xdr:row>
      <xdr:rowOff>19050</xdr:rowOff>
    </xdr:from>
    <xdr:to>
      <xdr:col>26</xdr:col>
      <xdr:colOff>9524</xdr:colOff>
      <xdr:row>320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257</xdr:row>
      <xdr:rowOff>19050</xdr:rowOff>
    </xdr:from>
    <xdr:to>
      <xdr:col>26</xdr:col>
      <xdr:colOff>9524</xdr:colOff>
      <xdr:row>257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224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568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211</xdr:row>
      <xdr:rowOff>28575</xdr:rowOff>
    </xdr:from>
    <xdr:to>
      <xdr:col>1</xdr:col>
      <xdr:colOff>0</xdr:colOff>
      <xdr:row>211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611</xdr:row>
      <xdr:rowOff>19050</xdr:rowOff>
    </xdr:from>
    <xdr:to>
      <xdr:col>10</xdr:col>
      <xdr:colOff>1</xdr:colOff>
      <xdr:row>611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612</xdr:row>
      <xdr:rowOff>19050</xdr:rowOff>
    </xdr:from>
    <xdr:to>
      <xdr:col>10</xdr:col>
      <xdr:colOff>1</xdr:colOff>
      <xdr:row>612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613</xdr:row>
      <xdr:rowOff>19050</xdr:rowOff>
    </xdr:from>
    <xdr:to>
      <xdr:col>10</xdr:col>
      <xdr:colOff>1</xdr:colOff>
      <xdr:row>613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614</xdr:row>
      <xdr:rowOff>19050</xdr:rowOff>
    </xdr:from>
    <xdr:to>
      <xdr:col>10</xdr:col>
      <xdr:colOff>1</xdr:colOff>
      <xdr:row>614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1748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296</xdr:row>
      <xdr:rowOff>19050</xdr:rowOff>
    </xdr:from>
    <xdr:to>
      <xdr:col>24</xdr:col>
      <xdr:colOff>47625</xdr:colOff>
      <xdr:row>296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279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281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292</xdr:row>
      <xdr:rowOff>19050</xdr:rowOff>
    </xdr:from>
    <xdr:to>
      <xdr:col>24</xdr:col>
      <xdr:colOff>47625</xdr:colOff>
      <xdr:row>292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292</xdr:row>
      <xdr:rowOff>19050</xdr:rowOff>
    </xdr:from>
    <xdr:to>
      <xdr:col>25</xdr:col>
      <xdr:colOff>74294</xdr:colOff>
      <xdr:row>292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267</xdr:row>
      <xdr:rowOff>19050</xdr:rowOff>
    </xdr:from>
    <xdr:to>
      <xdr:col>25</xdr:col>
      <xdr:colOff>83819</xdr:colOff>
      <xdr:row>267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373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268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450</xdr:row>
      <xdr:rowOff>19050</xdr:rowOff>
    </xdr:from>
    <xdr:to>
      <xdr:col>24</xdr:col>
      <xdr:colOff>75821</xdr:colOff>
      <xdr:row>450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181</xdr:row>
      <xdr:rowOff>19050</xdr:rowOff>
    </xdr:from>
    <xdr:to>
      <xdr:col>26</xdr:col>
      <xdr:colOff>9524</xdr:colOff>
      <xdr:row>181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256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244</xdr:row>
      <xdr:rowOff>19050</xdr:rowOff>
    </xdr:from>
    <xdr:to>
      <xdr:col>24</xdr:col>
      <xdr:colOff>47624</xdr:colOff>
      <xdr:row>244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393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284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456</xdr:row>
      <xdr:rowOff>19050</xdr:rowOff>
    </xdr:from>
    <xdr:to>
      <xdr:col>10</xdr:col>
      <xdr:colOff>1</xdr:colOff>
      <xdr:row>456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19050</xdr:rowOff>
    </xdr:from>
    <xdr:to>
      <xdr:col>11</xdr:col>
      <xdr:colOff>0</xdr:colOff>
      <xdr:row>442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443</xdr:row>
      <xdr:rowOff>19050</xdr:rowOff>
    </xdr:from>
    <xdr:to>
      <xdr:col>11</xdr:col>
      <xdr:colOff>0</xdr:colOff>
      <xdr:row>443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444</xdr:row>
      <xdr:rowOff>19050</xdr:rowOff>
    </xdr:from>
    <xdr:to>
      <xdr:col>11</xdr:col>
      <xdr:colOff>0</xdr:colOff>
      <xdr:row>444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445</xdr:row>
      <xdr:rowOff>19050</xdr:rowOff>
    </xdr:from>
    <xdr:to>
      <xdr:col>11</xdr:col>
      <xdr:colOff>0</xdr:colOff>
      <xdr:row>445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446</xdr:row>
      <xdr:rowOff>19050</xdr:rowOff>
    </xdr:from>
    <xdr:to>
      <xdr:col>11</xdr:col>
      <xdr:colOff>0</xdr:colOff>
      <xdr:row>446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447</xdr:row>
      <xdr:rowOff>19050</xdr:rowOff>
    </xdr:from>
    <xdr:to>
      <xdr:col>11</xdr:col>
      <xdr:colOff>0</xdr:colOff>
      <xdr:row>447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250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192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487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8283</xdr:colOff>
      <xdr:row>368</xdr:row>
      <xdr:rowOff>16566</xdr:rowOff>
    </xdr:from>
    <xdr:to>
      <xdr:col>24</xdr:col>
      <xdr:colOff>46383</xdr:colOff>
      <xdr:row>368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0</xdr:rowOff>
    </xdr:from>
    <xdr:to>
      <xdr:col>10</xdr:col>
      <xdr:colOff>2173</xdr:colOff>
      <xdr:row>90</xdr:row>
      <xdr:rowOff>123825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342</xdr:row>
      <xdr:rowOff>16566</xdr:rowOff>
    </xdr:from>
    <xdr:to>
      <xdr:col>24</xdr:col>
      <xdr:colOff>46383</xdr:colOff>
      <xdr:row>342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499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266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266</xdr:row>
      <xdr:rowOff>16566</xdr:rowOff>
    </xdr:from>
    <xdr:to>
      <xdr:col>25</xdr:col>
      <xdr:colOff>82577</xdr:colOff>
      <xdr:row>266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48</xdr:row>
      <xdr:rowOff>19050</xdr:rowOff>
    </xdr:from>
    <xdr:to>
      <xdr:col>13</xdr:col>
      <xdr:colOff>9524</xdr:colOff>
      <xdr:row>48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658</xdr:row>
      <xdr:rowOff>19050</xdr:rowOff>
    </xdr:from>
    <xdr:to>
      <xdr:col>13</xdr:col>
      <xdr:colOff>1</xdr:colOff>
      <xdr:row>658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353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145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145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352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354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</xdr:row>
      <xdr:rowOff>19050</xdr:rowOff>
    </xdr:from>
    <xdr:to>
      <xdr:col>9</xdr:col>
      <xdr:colOff>12838</xdr:colOff>
      <xdr:row>22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399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399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9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407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453</xdr:row>
      <xdr:rowOff>19050</xdr:rowOff>
    </xdr:from>
    <xdr:to>
      <xdr:col>10</xdr:col>
      <xdr:colOff>1</xdr:colOff>
      <xdr:row>453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400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400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5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375</xdr:row>
      <xdr:rowOff>28575</xdr:rowOff>
    </xdr:from>
    <xdr:to>
      <xdr:col>1</xdr:col>
      <xdr:colOff>0</xdr:colOff>
      <xdr:row>375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47624</xdr:colOff>
      <xdr:row>271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47624</xdr:colOff>
      <xdr:row>267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47624</xdr:colOff>
      <xdr:row>268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47624</xdr:colOff>
      <xdr:row>286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272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295</xdr:row>
      <xdr:rowOff>19050</xdr:rowOff>
    </xdr:from>
    <xdr:to>
      <xdr:col>24</xdr:col>
      <xdr:colOff>47625</xdr:colOff>
      <xdr:row>295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369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369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389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388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390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331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332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294</xdr:row>
      <xdr:rowOff>19050</xdr:rowOff>
    </xdr:from>
    <xdr:to>
      <xdr:col>24</xdr:col>
      <xdr:colOff>47625</xdr:colOff>
      <xdr:row>294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554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372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218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594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595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596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615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599</xdr:row>
      <xdr:rowOff>19050</xdr:rowOff>
    </xdr:from>
    <xdr:to>
      <xdr:col>24</xdr:col>
      <xdr:colOff>49180</xdr:colOff>
      <xdr:row>599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594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595</xdr:row>
      <xdr:rowOff>19050</xdr:rowOff>
    </xdr:from>
    <xdr:to>
      <xdr:col>24</xdr:col>
      <xdr:colOff>47625</xdr:colOff>
      <xdr:row>595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622</xdr:row>
      <xdr:rowOff>19050</xdr:rowOff>
    </xdr:from>
    <xdr:to>
      <xdr:col>24</xdr:col>
      <xdr:colOff>47625</xdr:colOff>
      <xdr:row>622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49180</xdr:colOff>
      <xdr:row>624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49180</xdr:colOff>
      <xdr:row>627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49180</xdr:colOff>
      <xdr:row>625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628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620</xdr:row>
      <xdr:rowOff>19050</xdr:rowOff>
    </xdr:from>
    <xdr:to>
      <xdr:col>24</xdr:col>
      <xdr:colOff>49180</xdr:colOff>
      <xdr:row>620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621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623</xdr:row>
      <xdr:rowOff>19050</xdr:rowOff>
    </xdr:from>
    <xdr:to>
      <xdr:col>24</xdr:col>
      <xdr:colOff>47624</xdr:colOff>
      <xdr:row>623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615</xdr:row>
      <xdr:rowOff>19050</xdr:rowOff>
    </xdr:from>
    <xdr:to>
      <xdr:col>24</xdr:col>
      <xdr:colOff>47625</xdr:colOff>
      <xdr:row>615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591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591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518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263</xdr:row>
      <xdr:rowOff>19050</xdr:rowOff>
    </xdr:from>
    <xdr:to>
      <xdr:col>18</xdr:col>
      <xdr:colOff>9526</xdr:colOff>
      <xdr:row>263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392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538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915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277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277</xdr:row>
      <xdr:rowOff>28575</xdr:rowOff>
    </xdr:from>
    <xdr:ext cx="342900" cy="104775"/>
    <xdr:pic>
      <xdr:nvPicPr>
        <xdr:cNvPr id="11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190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278</xdr:row>
      <xdr:rowOff>19050</xdr:rowOff>
    </xdr:from>
    <xdr:ext cx="502919" cy="121920"/>
    <xdr:pic>
      <xdr:nvPicPr>
        <xdr:cNvPr id="1215" name="Imagen 121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100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278</xdr:row>
      <xdr:rowOff>28575</xdr:rowOff>
    </xdr:from>
    <xdr:ext cx="342900" cy="104775"/>
    <xdr:pic>
      <xdr:nvPicPr>
        <xdr:cNvPr id="12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0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3825"/>
    <xdr:pic>
      <xdr:nvPicPr>
        <xdr:cNvPr id="9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152</xdr:row>
      <xdr:rowOff>28575</xdr:rowOff>
    </xdr:from>
    <xdr:to>
      <xdr:col>1</xdr:col>
      <xdr:colOff>0</xdr:colOff>
      <xdr:row>152</xdr:row>
      <xdr:rowOff>133350</xdr:rowOff>
    </xdr:to>
    <xdr:pic>
      <xdr:nvPicPr>
        <xdr:cNvPr id="939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28575</xdr:rowOff>
    </xdr:from>
    <xdr:ext cx="342900" cy="104775"/>
    <xdr:pic>
      <xdr:nvPicPr>
        <xdr:cNvPr id="90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9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248</xdr:row>
      <xdr:rowOff>28575</xdr:rowOff>
    </xdr:from>
    <xdr:ext cx="342900" cy="104775"/>
    <xdr:pic>
      <xdr:nvPicPr>
        <xdr:cNvPr id="99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9526</xdr:colOff>
      <xdr:row>24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239</xdr:row>
      <xdr:rowOff>19050</xdr:rowOff>
    </xdr:from>
    <xdr:ext cx="819149" cy="123825"/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239</xdr:row>
      <xdr:rowOff>28575</xdr:rowOff>
    </xdr:from>
    <xdr:ext cx="342900" cy="104775"/>
    <xdr:pic>
      <xdr:nvPicPr>
        <xdr:cNvPr id="11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8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269</xdr:row>
      <xdr:rowOff>28575</xdr:rowOff>
    </xdr:from>
    <xdr:to>
      <xdr:col>1</xdr:col>
      <xdr:colOff>0</xdr:colOff>
      <xdr:row>269</xdr:row>
      <xdr:rowOff>133350</xdr:rowOff>
    </xdr:to>
    <xdr:pic>
      <xdr:nvPicPr>
        <xdr:cNvPr id="119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3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75821</xdr:colOff>
      <xdr:row>210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47624</xdr:colOff>
      <xdr:row>207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47624</xdr:colOff>
      <xdr:row>208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298</xdr:row>
      <xdr:rowOff>19050</xdr:rowOff>
    </xdr:from>
    <xdr:to>
      <xdr:col>24</xdr:col>
      <xdr:colOff>47625</xdr:colOff>
      <xdr:row>298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121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9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282</xdr:row>
      <xdr:rowOff>28575</xdr:rowOff>
    </xdr:from>
    <xdr:ext cx="342900" cy="104775"/>
    <xdr:pic>
      <xdr:nvPicPr>
        <xdr:cNvPr id="97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2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193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193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43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070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68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421</xdr:row>
      <xdr:rowOff>28575</xdr:rowOff>
    </xdr:from>
    <xdr:ext cx="342900" cy="104775"/>
    <xdr:pic>
      <xdr:nvPicPr>
        <xdr:cNvPr id="10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335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335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293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241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53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339</xdr:row>
      <xdr:rowOff>28575</xdr:rowOff>
    </xdr:from>
    <xdr:ext cx="342900" cy="104775"/>
    <xdr:pic>
      <xdr:nvPicPr>
        <xdr:cNvPr id="125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343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343</xdr:row>
      <xdr:rowOff>28575</xdr:rowOff>
    </xdr:from>
    <xdr:ext cx="342900" cy="104775"/>
    <xdr:pic>
      <xdr:nvPicPr>
        <xdr:cNvPr id="128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338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129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334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401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401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412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100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84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413</xdr:row>
      <xdr:rowOff>28575</xdr:rowOff>
    </xdr:from>
    <xdr:ext cx="342900" cy="104775"/>
    <xdr:pic>
      <xdr:nvPicPr>
        <xdr:cNvPr id="12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32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345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103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74958</xdr:colOff>
      <xdr:row>264</xdr:row>
      <xdr:rowOff>16566</xdr:rowOff>
    </xdr:from>
    <xdr:ext cx="502919" cy="121920"/>
    <xdr:pic>
      <xdr:nvPicPr>
        <xdr:cNvPr id="1368" name="Imagen 136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208" y="43117191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37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4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265</xdr:row>
      <xdr:rowOff>19050</xdr:rowOff>
    </xdr:from>
    <xdr:ext cx="502919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3424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147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47624</xdr:colOff>
      <xdr:row>429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47624</xdr:colOff>
      <xdr:row>428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380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380</xdr:row>
      <xdr:rowOff>28575</xdr:rowOff>
    </xdr:from>
    <xdr:ext cx="342900" cy="104775"/>
    <xdr:pic>
      <xdr:nvPicPr>
        <xdr:cNvPr id="11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28575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355</xdr:row>
      <xdr:rowOff>19050</xdr:rowOff>
    </xdr:from>
    <xdr:to>
      <xdr:col>24</xdr:col>
      <xdr:colOff>47624</xdr:colOff>
      <xdr:row>355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356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354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359</xdr:row>
      <xdr:rowOff>19050</xdr:rowOff>
    </xdr:from>
    <xdr:to>
      <xdr:col>8</xdr:col>
      <xdr:colOff>181170</xdr:colOff>
      <xdr:row>359</xdr:row>
      <xdr:rowOff>142875</xdr:rowOff>
    </xdr:to>
    <xdr:pic>
      <xdr:nvPicPr>
        <xdr:cNvPr id="876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53593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360</xdr:row>
      <xdr:rowOff>19050</xdr:rowOff>
    </xdr:from>
    <xdr:to>
      <xdr:col>8</xdr:col>
      <xdr:colOff>181170</xdr:colOff>
      <xdr:row>360</xdr:row>
      <xdr:rowOff>142875</xdr:rowOff>
    </xdr:to>
    <xdr:pic>
      <xdr:nvPicPr>
        <xdr:cNvPr id="877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8</xdr:col>
      <xdr:colOff>181170</xdr:colOff>
      <xdr:row>616</xdr:row>
      <xdr:rowOff>142875</xdr:rowOff>
    </xdr:to>
    <xdr:pic>
      <xdr:nvPicPr>
        <xdr:cNvPr id="879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458325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47624</xdr:colOff>
      <xdr:row>313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51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80" TargetMode="External"/><Relationship Id="rId531" Type="http://schemas.openxmlformats.org/officeDocument/2006/relationships/hyperlink" Target="https://www.jivi.com.ar/ficha.php?id=1737" TargetMode="External"/><Relationship Id="rId170" Type="http://schemas.openxmlformats.org/officeDocument/2006/relationships/hyperlink" Target="https://www.jivi.com.ar/ficha.php?id=1098" TargetMode="External"/><Relationship Id="rId268" Type="http://schemas.openxmlformats.org/officeDocument/2006/relationships/hyperlink" Target="https://www.jivi.com.ar/ficha.php?id=477" TargetMode="External"/><Relationship Id="rId475" Type="http://schemas.openxmlformats.org/officeDocument/2006/relationships/hyperlink" Target="https://www.jivi.com.ar/ficha.php?id=1692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62" TargetMode="External"/><Relationship Id="rId335" Type="http://schemas.openxmlformats.org/officeDocument/2006/relationships/hyperlink" Target="httphttps://www.jivi.com.ar/ficha.php?id=1498" TargetMode="External"/><Relationship Id="rId542" Type="http://schemas.openxmlformats.org/officeDocument/2006/relationships/hyperlink" Target="https://www.jivi.com.ar/ficha.php?id=1790" TargetMode="External"/><Relationship Id="rId181" Type="http://schemas.openxmlformats.org/officeDocument/2006/relationships/hyperlink" Target="hhttps://www.jivi.com.ar/ficha.php?id=1155" TargetMode="External"/><Relationship Id="rId402" Type="http://schemas.openxmlformats.org/officeDocument/2006/relationships/hyperlink" Target="https://www.jivi.com.ar/ficha.php?id=1139" TargetMode="External"/><Relationship Id="rId279" Type="http://schemas.openxmlformats.org/officeDocument/2006/relationships/hyperlink" Target="https://www.jivi.com.ar/ficha.php?id=1418" TargetMode="External"/><Relationship Id="rId486" Type="http://schemas.openxmlformats.org/officeDocument/2006/relationships/hyperlink" Target="https://www.jivi.com.ar/ficha.php?id=1704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48" TargetMode="External"/><Relationship Id="rId346" Type="http://schemas.openxmlformats.org/officeDocument/2006/relationships/hyperlink" Target="https://www.jivi.com.ar/ficha.php?id=1511" TargetMode="External"/><Relationship Id="rId553" Type="http://schemas.openxmlformats.org/officeDocument/2006/relationships/hyperlink" Target="https://www.jivi.com.ar/ficha.php?id=1070" TargetMode="External"/><Relationship Id="rId192" Type="http://schemas.openxmlformats.org/officeDocument/2006/relationships/hyperlink" Target="https://www.jivi.com.ar/ficha.php?id=1185" TargetMode="External"/><Relationship Id="rId206" Type="http://schemas.openxmlformats.org/officeDocument/2006/relationships/hyperlink" Target="https://www.jivi.com.ar/ficha.php?id=1226" TargetMode="External"/><Relationship Id="rId413" Type="http://schemas.openxmlformats.org/officeDocument/2006/relationships/hyperlink" Target="https://www.jivi.com.ar/ficha.php?id=1588" TargetMode="External"/><Relationship Id="rId497" Type="http://schemas.openxmlformats.org/officeDocument/2006/relationships/hyperlink" Target="https://www.jivi.com.ar/ficha.php?id=1728" TargetMode="External"/><Relationship Id="rId357" Type="http://schemas.openxmlformats.org/officeDocument/2006/relationships/hyperlink" Target="https://www.jivi.com.ar/ficha.php?id=1536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267" TargetMode="External"/><Relationship Id="rId564" Type="http://schemas.openxmlformats.org/officeDocument/2006/relationships/hyperlink" Target="https://www.jivi.com.ar/ficha.php?id=1556" TargetMode="External"/><Relationship Id="rId424" Type="http://schemas.openxmlformats.org/officeDocument/2006/relationships/hyperlink" Target="https://www.jivi.com.ar/ficha.php?id=1603" TargetMode="External"/><Relationship Id="rId270" Type="http://schemas.openxmlformats.org/officeDocument/2006/relationships/hyperlink" Target="https://www.jivi.com.ar/ficha.php?id=1402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882" TargetMode="External"/><Relationship Id="rId368" Type="http://schemas.openxmlformats.org/officeDocument/2006/relationships/hyperlink" Target="https://www.jivi.com.ar/ficha.php?id=1549" TargetMode="External"/><Relationship Id="rId172" Type="http://schemas.openxmlformats.org/officeDocument/2006/relationships/hyperlink" Target="https://www.jivi.com.ar/ficha.php?id=1104" TargetMode="External"/><Relationship Id="rId228" Type="http://schemas.openxmlformats.org/officeDocument/2006/relationships/hyperlink" Target="https://www.jivi.com.ar/ficha.php?id=1306" TargetMode="External"/><Relationship Id="rId435" Type="http://schemas.openxmlformats.org/officeDocument/2006/relationships/hyperlink" Target="https://www.jivi.com.ar/ficha.php?id=1396" TargetMode="External"/><Relationship Id="rId477" Type="http://schemas.openxmlformats.org/officeDocument/2006/relationships/hyperlink" Target="https://www.jivi.com.ar/ficha.php?id=1695" TargetMode="External"/><Relationship Id="rId281" Type="http://schemas.openxmlformats.org/officeDocument/2006/relationships/hyperlink" Target="https://www.jivi.com.ar/ficha.php?id=1420" TargetMode="External"/><Relationship Id="rId337" Type="http://schemas.openxmlformats.org/officeDocument/2006/relationships/hyperlink" Target="https://www.jivi.com.ar/ficha.php?id=1500" TargetMode="External"/><Relationship Id="rId502" Type="http://schemas.openxmlformats.org/officeDocument/2006/relationships/hyperlink" Target="https://www.jivi.com.ar/ficha.php?id=1733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55" TargetMode="External"/><Relationship Id="rId379" Type="http://schemas.openxmlformats.org/officeDocument/2006/relationships/hyperlink" Target="https://www.jivi.com.ar/ficha.php?id=1561" TargetMode="External"/><Relationship Id="rId544" Type="http://schemas.openxmlformats.org/officeDocument/2006/relationships/hyperlink" Target="https://www.jivi.com.ar/ficha.php?id=1791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53" TargetMode="External"/><Relationship Id="rId239" Type="http://schemas.openxmlformats.org/officeDocument/2006/relationships/hyperlink" Target="https://www.jivi.com.ar/ficha.php?id=1359" TargetMode="External"/><Relationship Id="rId390" Type="http://schemas.openxmlformats.org/officeDocument/2006/relationships/hyperlink" Target="https://www.jivi.com.ar/ficha.php?id=1434" TargetMode="External"/><Relationship Id="rId404" Type="http://schemas.openxmlformats.org/officeDocument/2006/relationships/hyperlink" Target="https://www.jivi.com.ar/ficha.php?id=1574" TargetMode="External"/><Relationship Id="rId446" Type="http://schemas.openxmlformats.org/officeDocument/2006/relationships/hyperlink" Target="https://www.jivi.com.ar/ficha.php?id=1620" TargetMode="External"/><Relationship Id="rId250" Type="http://schemas.openxmlformats.org/officeDocument/2006/relationships/hyperlink" Target="https://www.jivi.com.ar/ficha.php?id=1428" TargetMode="External"/><Relationship Id="rId292" Type="http://schemas.openxmlformats.org/officeDocument/2006/relationships/hyperlink" Target="https://www.jivi.com.ar/ficha.php?id=1702" TargetMode="External"/><Relationship Id="rId306" Type="http://schemas.openxmlformats.org/officeDocument/2006/relationships/hyperlink" Target="https://www.jivi.com.ar/ficha.php?id=1063" TargetMode="External"/><Relationship Id="rId488" Type="http://schemas.openxmlformats.org/officeDocument/2006/relationships/hyperlink" Target="https://www.jivi.com.ar/ficha.php?id=1457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245" TargetMode="External"/><Relationship Id="rId110" Type="http://schemas.openxmlformats.org/officeDocument/2006/relationships/hyperlink" Target="https://www.jivi.com.ar/ficha.php?id=765" TargetMode="External"/><Relationship Id="rId348" Type="http://schemas.openxmlformats.org/officeDocument/2006/relationships/hyperlink" Target="https://www.jivi.com.ar/ficha.php?id=1516" TargetMode="External"/><Relationship Id="rId513" Type="http://schemas.openxmlformats.org/officeDocument/2006/relationships/hyperlink" Target="https://www.jivi.com.ar/ficha.php?id=1746" TargetMode="External"/><Relationship Id="rId555" Type="http://schemas.openxmlformats.org/officeDocument/2006/relationships/hyperlink" Target="https://www.jivi.com.ar/ficha.php?id=1299" TargetMode="External"/><Relationship Id="rId152" Type="http://schemas.openxmlformats.org/officeDocument/2006/relationships/hyperlink" Target="https://www.jivi.com.ar/ficha.php?id=1025" TargetMode="External"/><Relationship Id="rId194" Type="http://schemas.openxmlformats.org/officeDocument/2006/relationships/hyperlink" Target="https://www.jivi.com.ar/ficha.php?id=1190" TargetMode="External"/><Relationship Id="rId208" Type="http://schemas.openxmlformats.org/officeDocument/2006/relationships/hyperlink" Target="https://www.jivi.com.ar/ficha.php?id=1060" TargetMode="External"/><Relationship Id="rId415" Type="http://schemas.openxmlformats.org/officeDocument/2006/relationships/hyperlink" Target="https://www.jivi.com.ar/ficha.php?id=1590" TargetMode="External"/><Relationship Id="rId457" Type="http://schemas.openxmlformats.org/officeDocument/2006/relationships/hyperlink" Target="https://www.jivi.com.ar/ficha.php?id=1639" TargetMode="External"/><Relationship Id="rId261" Type="http://schemas.openxmlformats.org/officeDocument/2006/relationships/hyperlink" Target="https://www.jivi.com.ar/ficha.php?id=1262" TargetMode="External"/><Relationship Id="rId499" Type="http://schemas.openxmlformats.org/officeDocument/2006/relationships/hyperlink" Target="https://www.jivi.com.ar/ficha.php?id=1730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472" TargetMode="External"/><Relationship Id="rId359" Type="http://schemas.openxmlformats.org/officeDocument/2006/relationships/hyperlink" Target="https://www.jivi.com.ar/ficha.php?id=1540" TargetMode="External"/><Relationship Id="rId524" Type="http://schemas.openxmlformats.org/officeDocument/2006/relationships/hyperlink" Target="https://www.jivi.com.ar/ficha.php?id=1304" TargetMode="External"/><Relationship Id="rId566" Type="http://schemas.openxmlformats.org/officeDocument/2006/relationships/drawing" Target="../drawings/drawing1.xm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707" TargetMode="External"/><Relationship Id="rId163" Type="http://schemas.openxmlformats.org/officeDocument/2006/relationships/hyperlink" Target="https://www.jivi.com.ar/ficha.php?id=1089" TargetMode="External"/><Relationship Id="rId219" Type="http://schemas.openxmlformats.org/officeDocument/2006/relationships/hyperlink" Target="https://www.jivi.com.ar/ficha.php?id=1277" TargetMode="External"/><Relationship Id="rId370" Type="http://schemas.openxmlformats.org/officeDocument/2006/relationships/hyperlink" Target="https://www.jivi.com.ar/ficha.php?id=1552" TargetMode="External"/><Relationship Id="rId426" Type="http://schemas.openxmlformats.org/officeDocument/2006/relationships/hyperlink" Target="https://www.jivi.com.ar/ficha.php?id=1604" TargetMode="External"/><Relationship Id="rId230" Type="http://schemas.openxmlformats.org/officeDocument/2006/relationships/hyperlink" Target="https://www.jivi.com.ar/ficha.php?id=1290" TargetMode="External"/><Relationship Id="rId468" Type="http://schemas.openxmlformats.org/officeDocument/2006/relationships/hyperlink" Target="https://www.jivi.com.ar/ficha.php?id=1667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05" TargetMode="External"/><Relationship Id="rId328" Type="http://schemas.openxmlformats.org/officeDocument/2006/relationships/hyperlink" Target="https://www.jivi.com.ar/ficha.php?id=1488" TargetMode="External"/><Relationship Id="rId535" Type="http://schemas.openxmlformats.org/officeDocument/2006/relationships/hyperlink" Target="https://www.jivi.com.ar/ficha.php?id=1786" TargetMode="External"/><Relationship Id="rId132" Type="http://schemas.openxmlformats.org/officeDocument/2006/relationships/hyperlink" Target="https://www.jivi.com.ar/ficha.php?id=903" TargetMode="External"/><Relationship Id="rId174" Type="http://schemas.openxmlformats.org/officeDocument/2006/relationships/hyperlink" Target="https://www.jivi.com.ar/ficha.php?id=1116" TargetMode="External"/><Relationship Id="rId381" Type="http://schemas.openxmlformats.org/officeDocument/2006/relationships/hyperlink" Target="https://www.jivi.com.ar/ficha.php?id=1066" TargetMode="External"/><Relationship Id="rId241" Type="http://schemas.openxmlformats.org/officeDocument/2006/relationships/hyperlink" Target="https://www.jivi.com.ar/ficha.php?id=1365" TargetMode="External"/><Relationship Id="rId437" Type="http://schemas.openxmlformats.org/officeDocument/2006/relationships/hyperlink" Target="https://www.jivi.com.ar/ficha.php?id=1612" TargetMode="External"/><Relationship Id="rId479" Type="http://schemas.openxmlformats.org/officeDocument/2006/relationships/hyperlink" Target="https://www.jivi.com.ar/ficha.php?id=1697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22" TargetMode="External"/><Relationship Id="rId339" Type="http://schemas.openxmlformats.org/officeDocument/2006/relationships/hyperlink" Target="https://www.jivi.com.ar/ficha.php?id=1503" TargetMode="External"/><Relationship Id="rId490" Type="http://schemas.openxmlformats.org/officeDocument/2006/relationships/hyperlink" Target="https://www.jivi.com.ar/ficha.php?id=1707" TargetMode="External"/><Relationship Id="rId504" Type="http://schemas.openxmlformats.org/officeDocument/2006/relationships/hyperlink" Target="https://www.jivi.com.ar/ficha.php?id=1077" TargetMode="External"/><Relationship Id="rId546" Type="http://schemas.openxmlformats.org/officeDocument/2006/relationships/hyperlink" Target="https://www.jivi.com.ar/ficha.php?id=1087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57" TargetMode="External"/><Relationship Id="rId185" Type="http://schemas.openxmlformats.org/officeDocument/2006/relationships/hyperlink" Target="https://www.jivi.com.ar/ficha.php?id=1172" TargetMode="External"/><Relationship Id="rId350" Type="http://schemas.openxmlformats.org/officeDocument/2006/relationships/hyperlink" Target="https://www.jivi.com.ar/ficha.php?id=1523" TargetMode="External"/><Relationship Id="rId406" Type="http://schemas.openxmlformats.org/officeDocument/2006/relationships/hyperlink" Target="https://www.jivi.com.ar/ficha.php?id=1580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883" TargetMode="External"/><Relationship Id="rId392" Type="http://schemas.openxmlformats.org/officeDocument/2006/relationships/hyperlink" Target="https://www.jivi.com.ar/ficha.php?id=1568" TargetMode="External"/><Relationship Id="rId448" Type="http://schemas.openxmlformats.org/officeDocument/2006/relationships/hyperlink" Target="https://www.jivi.com.ar/ficha.php?id=1204" TargetMode="External"/><Relationship Id="rId252" Type="http://schemas.openxmlformats.org/officeDocument/2006/relationships/hyperlink" Target="https://www.jivi.com.ar/ficha.php?id=1387" TargetMode="External"/><Relationship Id="rId294" Type="http://schemas.openxmlformats.org/officeDocument/2006/relationships/hyperlink" Target="https://www.jivi.com.ar/ficha.php?id=1442" TargetMode="External"/><Relationship Id="rId308" Type="http://schemas.openxmlformats.org/officeDocument/2006/relationships/hyperlink" Target="https://www.jivi.com.ar/ficha.php?id=969" TargetMode="External"/><Relationship Id="rId515" Type="http://schemas.openxmlformats.org/officeDocument/2006/relationships/hyperlink" Target="https://www.jivi.com.ar/ficha.php?id=1748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66" TargetMode="External"/><Relationship Id="rId154" Type="http://schemas.openxmlformats.org/officeDocument/2006/relationships/hyperlink" Target="https://www.jivi.com.ar/ficha.php?id=1049" TargetMode="External"/><Relationship Id="rId361" Type="http://schemas.openxmlformats.org/officeDocument/2006/relationships/hyperlink" Target="https://www.jivi.com.ar/ficha.php?id=1542" TargetMode="External"/><Relationship Id="rId557" Type="http://schemas.openxmlformats.org/officeDocument/2006/relationships/hyperlink" Target="https://www.jivi.com.ar/ficha.php?id=1597" TargetMode="External"/><Relationship Id="rId196" Type="http://schemas.openxmlformats.org/officeDocument/2006/relationships/hyperlink" Target="https://www.jivi.com.ar/ficha.php?id=1181" TargetMode="External"/><Relationship Id="rId417" Type="http://schemas.openxmlformats.org/officeDocument/2006/relationships/hyperlink" Target="https://www.jivi.com.ar/ficha.php?id=1592" TargetMode="External"/><Relationship Id="rId459" Type="http://schemas.openxmlformats.org/officeDocument/2006/relationships/hyperlink" Target="https://www.jivi.com.ar/ficha.php?id=1652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280" TargetMode="External"/><Relationship Id="rId263" Type="http://schemas.openxmlformats.org/officeDocument/2006/relationships/hyperlink" Target="https://www.jivi.com.ar/ficha.php?id=1401" TargetMode="External"/><Relationship Id="rId319" Type="http://schemas.openxmlformats.org/officeDocument/2006/relationships/hyperlink" Target="https://www.jivi.com.ar/ficha.php?id=995" TargetMode="External"/><Relationship Id="rId470" Type="http://schemas.openxmlformats.org/officeDocument/2006/relationships/hyperlink" Target="https://www.jivi.com.ar/ficha.php?id=1272" TargetMode="External"/><Relationship Id="rId526" Type="http://schemas.openxmlformats.org/officeDocument/2006/relationships/hyperlink" Target="https://www.jivi.com.ar/ficha.php?id=1777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709" TargetMode="External"/><Relationship Id="rId330" Type="http://schemas.openxmlformats.org/officeDocument/2006/relationships/hyperlink" Target="https://www.jivi.com.ar/ficha.php?id=1493" TargetMode="External"/><Relationship Id="rId568" Type="http://schemas.openxmlformats.org/officeDocument/2006/relationships/comments" Target="../comments1.xml"/><Relationship Id="rId165" Type="http://schemas.openxmlformats.org/officeDocument/2006/relationships/hyperlink" Target="https://www.jivi.com.ar/ficha.php?id=1091" TargetMode="External"/><Relationship Id="rId372" Type="http://schemas.openxmlformats.org/officeDocument/2006/relationships/hyperlink" Target="https://www.jivi.com.ar/ficha.php?id=1553" TargetMode="External"/><Relationship Id="rId428" Type="http://schemas.openxmlformats.org/officeDocument/2006/relationships/hyperlink" Target="https://www.jivi.com.ar/ficha.php?id=1424" TargetMode="External"/><Relationship Id="rId232" Type="http://schemas.openxmlformats.org/officeDocument/2006/relationships/hyperlink" Target="https://www.jivi.com.ar/ficha.php?id=1314" TargetMode="External"/><Relationship Id="rId274" Type="http://schemas.openxmlformats.org/officeDocument/2006/relationships/hyperlink" Target="https://www.jivi.com.ar/ficha.php?id=1415" TargetMode="External"/><Relationship Id="rId481" Type="http://schemas.openxmlformats.org/officeDocument/2006/relationships/hyperlink" Target="https://www.jivi.com.ar/ficha.php?id=1699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16" TargetMode="External"/><Relationship Id="rId537" Type="http://schemas.openxmlformats.org/officeDocument/2006/relationships/hyperlink" Target="https://www.jivi.com.ar/ficha.php?id=1340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1120" TargetMode="External"/><Relationship Id="rId341" Type="http://schemas.openxmlformats.org/officeDocument/2006/relationships/hyperlink" Target="https://www.jivi.com.ar/ficha.php?id=1505" TargetMode="External"/><Relationship Id="rId383" Type="http://schemas.openxmlformats.org/officeDocument/2006/relationships/hyperlink" Target="https://www.jivi.com.ar/ficha.php?id=1563" TargetMode="External"/><Relationship Id="rId439" Type="http://schemas.openxmlformats.org/officeDocument/2006/relationships/hyperlink" Target="https://www.jivi.com.ar/ficha.php?id=1614" TargetMode="External"/><Relationship Id="rId201" Type="http://schemas.openxmlformats.org/officeDocument/2006/relationships/hyperlink" Target="https://www.jivi.com.ar/ficha.php?id=1222" TargetMode="External"/><Relationship Id="rId243" Type="http://schemas.openxmlformats.org/officeDocument/2006/relationships/hyperlink" Target="https://www.jivi.com.ar/registro.php" TargetMode="External"/><Relationship Id="rId285" Type="http://schemas.openxmlformats.org/officeDocument/2006/relationships/hyperlink" Target="https://www.jivi.com.ar/ficha.php?id=1425" TargetMode="External"/><Relationship Id="rId450" Type="http://schemas.openxmlformats.org/officeDocument/2006/relationships/hyperlink" Target="https://www.jivi.com.ar/ficha.php?id=1634" TargetMode="External"/><Relationship Id="rId506" Type="http://schemas.openxmlformats.org/officeDocument/2006/relationships/hyperlink" Target="https://www.jivi.com.ar/ficha.php?id=1739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1464" TargetMode="External"/><Relationship Id="rId492" Type="http://schemas.openxmlformats.org/officeDocument/2006/relationships/hyperlink" Target="https://www.jivi.com.ar/ficha.php?id=1721" TargetMode="External"/><Relationship Id="rId548" Type="http://schemas.openxmlformats.org/officeDocument/2006/relationships/hyperlink" Target="https://www.jivi.com.ar/ficha.php?id=1451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973" TargetMode="External"/><Relationship Id="rId187" Type="http://schemas.openxmlformats.org/officeDocument/2006/relationships/hyperlink" Target="https://www.jivi.com.ar/ficha.php?id=488" TargetMode="External"/><Relationship Id="rId352" Type="http://schemas.openxmlformats.org/officeDocument/2006/relationships/hyperlink" Target="https://www.jivi.com.ar/ficha.php?id=1524" TargetMode="External"/><Relationship Id="rId394" Type="http://schemas.openxmlformats.org/officeDocument/2006/relationships/hyperlink" Target="https://www.jivi.com.ar/ficha.php?id=1570" TargetMode="External"/><Relationship Id="rId408" Type="http://schemas.openxmlformats.org/officeDocument/2006/relationships/hyperlink" Target="https://www.jivi.com.ar/ficha.php?id=1583" TargetMode="External"/><Relationship Id="rId212" Type="http://schemas.openxmlformats.org/officeDocument/2006/relationships/hyperlink" Target="https://www.jivi.com.ar/ficha.php?id=1055" TargetMode="External"/><Relationship Id="rId254" Type="http://schemas.openxmlformats.org/officeDocument/2006/relationships/hyperlink" Target="https://www.jivi.com.ar/ficha.php?id=1390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214" TargetMode="External"/><Relationship Id="rId296" Type="http://schemas.openxmlformats.org/officeDocument/2006/relationships/hyperlink" Target="https://www.jivi.com.ar/ficha.php?id=216" TargetMode="External"/><Relationship Id="rId461" Type="http://schemas.openxmlformats.org/officeDocument/2006/relationships/hyperlink" Target="https://www.jivi.com.ar/ficha.php?id=1640" TargetMode="External"/><Relationship Id="rId517" Type="http://schemas.openxmlformats.org/officeDocument/2006/relationships/hyperlink" Target="https://www.jivi.com.ar/ficha.php?id=1787" TargetMode="External"/><Relationship Id="rId559" Type="http://schemas.openxmlformats.org/officeDocument/2006/relationships/hyperlink" Target="https://www.jivi.com.ar/ficha.php?id=1774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59" TargetMode="External"/><Relationship Id="rId198" Type="http://schemas.openxmlformats.org/officeDocument/2006/relationships/hyperlink" Target="https://www.jivi.com.ar/ficha.php?id=1218" TargetMode="External"/><Relationship Id="rId321" Type="http://schemas.openxmlformats.org/officeDocument/2006/relationships/hyperlink" Target="https://www.jivi.com.ar/ficha.php?id=835" TargetMode="External"/><Relationship Id="rId363" Type="http://schemas.openxmlformats.org/officeDocument/2006/relationships/hyperlink" Target="https://www.jivi.com.ar/ficha.php?id=1545" TargetMode="External"/><Relationship Id="rId419" Type="http://schemas.openxmlformats.org/officeDocument/2006/relationships/hyperlink" Target="https://www.jivi.com.ar/ficha.php?id=1595" TargetMode="External"/><Relationship Id="rId223" Type="http://schemas.openxmlformats.org/officeDocument/2006/relationships/hyperlink" Target="https://www.jivi.com.ar/ficha.php?id=378" TargetMode="External"/><Relationship Id="rId430" Type="http://schemas.openxmlformats.org/officeDocument/2006/relationships/hyperlink" Target="https://www.jivi.com.ar/ficha.php?id=1459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230" TargetMode="External"/><Relationship Id="rId472" Type="http://schemas.openxmlformats.org/officeDocument/2006/relationships/hyperlink" Target="https://www.jivi.com.ar/ficha.php?id=1672" TargetMode="External"/><Relationship Id="rId528" Type="http://schemas.openxmlformats.org/officeDocument/2006/relationships/hyperlink" Target="https://www.jivi.com.ar/ficha.php?id=1709" TargetMode="External"/><Relationship Id="rId125" Type="http://schemas.openxmlformats.org/officeDocument/2006/relationships/hyperlink" Target="https://www.jivi.com.ar/ficha.php?id=846" TargetMode="External"/><Relationship Id="rId167" Type="http://schemas.openxmlformats.org/officeDocument/2006/relationships/hyperlink" Target="https://www.jivi.com.ar/ficha.php?id=1094" TargetMode="External"/><Relationship Id="rId332" Type="http://schemas.openxmlformats.org/officeDocument/2006/relationships/hyperlink" Target="https://www.jivi.com.ar/ficha.php?id=1495" TargetMode="External"/><Relationship Id="rId374" Type="http://schemas.openxmlformats.org/officeDocument/2006/relationships/hyperlink" Target="https://www.jivi.com.ar/ficha.php?id=1397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44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084" TargetMode="External"/><Relationship Id="rId441" Type="http://schemas.openxmlformats.org/officeDocument/2006/relationships/hyperlink" Target="https://www.jivi.com.ar/ficha.php?id=608" TargetMode="External"/><Relationship Id="rId483" Type="http://schemas.openxmlformats.org/officeDocument/2006/relationships/hyperlink" Target="https://www.jivi.com.ar/ficha.php?id=1462" TargetMode="External"/><Relationship Id="rId539" Type="http://schemas.openxmlformats.org/officeDocument/2006/relationships/hyperlink" Target="https://www.jivi.com.ar/ficha.php?id=1487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26" TargetMode="External"/><Relationship Id="rId178" Type="http://schemas.openxmlformats.org/officeDocument/2006/relationships/hyperlink" Target="https://www.jivi.com.ar/ficha.php?id=1157" TargetMode="External"/><Relationship Id="rId301" Type="http://schemas.openxmlformats.org/officeDocument/2006/relationships/hyperlink" Target="https://www.jivi.com.ar/ficha.php?id=1354" TargetMode="External"/><Relationship Id="rId343" Type="http://schemas.openxmlformats.org/officeDocument/2006/relationships/hyperlink" Target="https://www.jivi.com.ar/ficha.php?id=1507" TargetMode="External"/><Relationship Id="rId550" Type="http://schemas.openxmlformats.org/officeDocument/2006/relationships/hyperlink" Target="https://www.jivi.com.ar/ficha.php?id=1804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904" TargetMode="External"/><Relationship Id="rId385" Type="http://schemas.openxmlformats.org/officeDocument/2006/relationships/hyperlink" Target="https://www.jivi.com.ar/ficha.php?id=790" TargetMode="External"/><Relationship Id="rId245" Type="http://schemas.openxmlformats.org/officeDocument/2006/relationships/hyperlink" Target="https://www.jivi.com.ar/ficha.php?id=1372" TargetMode="External"/><Relationship Id="rId287" Type="http://schemas.openxmlformats.org/officeDocument/2006/relationships/hyperlink" Target="https://www.jivi.com.ar/ficha.php?id=1429" TargetMode="External"/><Relationship Id="rId410" Type="http://schemas.openxmlformats.org/officeDocument/2006/relationships/hyperlink" Target="https://www.jivi.com.ar/ficha.php?id=1586" TargetMode="External"/><Relationship Id="rId452" Type="http://schemas.openxmlformats.org/officeDocument/2006/relationships/hyperlink" Target="https://www.jivi.com.ar/ficha.php?id=968" TargetMode="External"/><Relationship Id="rId494" Type="http://schemas.openxmlformats.org/officeDocument/2006/relationships/hyperlink" Target="https://www.jivi.com.ar/ficha.php?id=1723" TargetMode="External"/><Relationship Id="rId508" Type="http://schemas.openxmlformats.org/officeDocument/2006/relationships/hyperlink" Target="https://www.jivi.com.ar/ficha.php?id=1742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1006" TargetMode="External"/><Relationship Id="rId312" Type="http://schemas.openxmlformats.org/officeDocument/2006/relationships/hyperlink" Target="https://www.jivi.com.ar/ficha.php?id=1466" TargetMode="External"/><Relationship Id="rId354" Type="http://schemas.openxmlformats.org/officeDocument/2006/relationships/hyperlink" Target="https://www.jivi.com.ar/ficha.php?id=1532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ttps://www.jivi.com.ar/ficha.php?id=915" TargetMode="External"/><Relationship Id="rId396" Type="http://schemas.openxmlformats.org/officeDocument/2006/relationships/hyperlink" Target="https://www.jivi.com.ar/ficha.php?id=1518" TargetMode="External"/><Relationship Id="rId561" Type="http://schemas.openxmlformats.org/officeDocument/2006/relationships/hyperlink" Target="https://www.jivi.com.ar/ficha.php?id=1820" TargetMode="External"/><Relationship Id="rId214" Type="http://schemas.openxmlformats.org/officeDocument/2006/relationships/hyperlink" Target="https://www.jivi.com.ar/ficha.php?id=1253" TargetMode="External"/><Relationship Id="rId256" Type="http://schemas.openxmlformats.org/officeDocument/2006/relationships/hyperlink" Target="https://www.jivi.com.ar/ficha.php?id=236" TargetMode="External"/><Relationship Id="rId298" Type="http://schemas.openxmlformats.org/officeDocument/2006/relationships/hyperlink" Target="https://www.jivi.com.ar/ficha.php?id=1334" TargetMode="External"/><Relationship Id="rId421" Type="http://schemas.openxmlformats.org/officeDocument/2006/relationships/hyperlink" Target="https://www.jivi.com.ar/ficha.php?id=1598" TargetMode="External"/><Relationship Id="rId463" Type="http://schemas.openxmlformats.org/officeDocument/2006/relationships/hyperlink" Target="https://www.jivi.com.ar/ficha.php?id=1660" TargetMode="External"/><Relationship Id="rId519" Type="http://schemas.openxmlformats.org/officeDocument/2006/relationships/hyperlink" Target="https://www.jivi.com.ar/ficha.php?id=1751" TargetMode="External"/><Relationship Id="rId116" Type="http://schemas.openxmlformats.org/officeDocument/2006/relationships/hyperlink" Target="https://www.jivi.com.ar/ficha.php?id=234" TargetMode="External"/><Relationship Id="rId158" Type="http://schemas.openxmlformats.org/officeDocument/2006/relationships/hyperlink" Target="https://www.jivi.com.ar/ficha.php?id=1062" TargetMode="External"/><Relationship Id="rId323" Type="http://schemas.openxmlformats.org/officeDocument/2006/relationships/hyperlink" Target="https://www.jivi.com.ar/ficha.php?id=1479" TargetMode="External"/><Relationship Id="rId530" Type="http://schemas.openxmlformats.org/officeDocument/2006/relationships/hyperlink" Target="https://www.jivi.com.ar/ficha.php?id=1736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47" TargetMode="External"/><Relationship Id="rId225" Type="http://schemas.openxmlformats.org/officeDocument/2006/relationships/hyperlink" Target="https://www.jivi.com.ar/ficha.php?id=1302" TargetMode="External"/><Relationship Id="rId267" Type="http://schemas.openxmlformats.org/officeDocument/2006/relationships/hyperlink" Target="https://www.jivi.com.ar/ficha.php?id=1111" TargetMode="External"/><Relationship Id="rId432" Type="http://schemas.openxmlformats.org/officeDocument/2006/relationships/hyperlink" Target="https://www.jivi.com.ar/ficha.php?id=1609" TargetMode="External"/><Relationship Id="rId474" Type="http://schemas.openxmlformats.org/officeDocument/2006/relationships/hyperlink" Target="https://www.jivi.com.ar/ficha.php?id=1691" TargetMode="External"/><Relationship Id="rId127" Type="http://schemas.openxmlformats.org/officeDocument/2006/relationships/hyperlink" Target="https://www.jivi.com.ar/ficha.php?id=854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097" TargetMode="External"/><Relationship Id="rId334" Type="http://schemas.openxmlformats.org/officeDocument/2006/relationships/hyperlink" Target="https://www.jivi.com.ar/ficha.php?id=1497" TargetMode="External"/><Relationship Id="rId376" Type="http://schemas.openxmlformats.org/officeDocument/2006/relationships/hyperlink" Target="https://www.jivi.com.ar/ficha.php?id=1557" TargetMode="External"/><Relationship Id="rId541" Type="http://schemas.openxmlformats.org/officeDocument/2006/relationships/hyperlink" Target="https://www.jivi.com.ar/ficha.php?id=1186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41" TargetMode="External"/><Relationship Id="rId236" Type="http://schemas.openxmlformats.org/officeDocument/2006/relationships/hyperlink" Target="https://www.jivi.com.ar/ficha.php?id=1346" TargetMode="External"/><Relationship Id="rId278" Type="http://schemas.openxmlformats.org/officeDocument/2006/relationships/hyperlink" Target="https://www.jivi.com.ar/ficha.php?id=1419" TargetMode="External"/><Relationship Id="rId401" Type="http://schemas.openxmlformats.org/officeDocument/2006/relationships/hyperlink" Target="https://www.jivi.com.ar/ficha.php?id=1296" TargetMode="External"/><Relationship Id="rId443" Type="http://schemas.openxmlformats.org/officeDocument/2006/relationships/hyperlink" Target="https://www.jivi.com.ar/ficha.php?id=1617" TargetMode="External"/><Relationship Id="rId303" Type="http://schemas.openxmlformats.org/officeDocument/2006/relationships/hyperlink" Target="https://www.jivi.com.ar/ficha.php?id=1450" TargetMode="External"/><Relationship Id="rId485" Type="http://schemas.openxmlformats.org/officeDocument/2006/relationships/hyperlink" Target="https://www.jivi.com.ar/ficha.php?id=1528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247" TargetMode="External"/><Relationship Id="rId345" Type="http://schemas.openxmlformats.org/officeDocument/2006/relationships/hyperlink" Target="https://www.jivi.com.ar/ficha.php?id=1509" TargetMode="External"/><Relationship Id="rId387" Type="http://schemas.openxmlformats.org/officeDocument/2006/relationships/hyperlink" Target="https://www.jivi.com.ar/ficha.php?id=1409" TargetMode="External"/><Relationship Id="rId510" Type="http://schemas.openxmlformats.org/officeDocument/2006/relationships/hyperlink" Target="https://www.jivi.com.ar/ficha.php?id=1743" TargetMode="External"/><Relationship Id="rId552" Type="http://schemas.openxmlformats.org/officeDocument/2006/relationships/hyperlink" Target="https://www.jivi.com.ar/ficha.php?id=1342" TargetMode="External"/><Relationship Id="rId191" Type="http://schemas.openxmlformats.org/officeDocument/2006/relationships/hyperlink" Target="https://www.jivi.com.ar/ficha.php?id=1183" TargetMode="External"/><Relationship Id="rId205" Type="http://schemas.openxmlformats.org/officeDocument/2006/relationships/hyperlink" Target="https://www.jivi.com.ar/ficha.php?id=1225" TargetMode="External"/><Relationship Id="rId247" Type="http://schemas.openxmlformats.org/officeDocument/2006/relationships/hyperlink" Target="https://www.jivi.com.ar/ficha.php?id=1382" TargetMode="External"/><Relationship Id="rId412" Type="http://schemas.openxmlformats.org/officeDocument/2006/relationships/hyperlink" Target="https://www.jivi.com.ar/ficha.php?id=1221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432" TargetMode="External"/><Relationship Id="rId454" Type="http://schemas.openxmlformats.org/officeDocument/2006/relationships/hyperlink" Target="https://www.jivi.com.ar/ficha.php?id=1642" TargetMode="External"/><Relationship Id="rId496" Type="http://schemas.openxmlformats.org/officeDocument/2006/relationships/hyperlink" Target="https://www.jivi.com.ar/ficha.php?id=1727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251" TargetMode="External"/><Relationship Id="rId314" Type="http://schemas.openxmlformats.org/officeDocument/2006/relationships/hyperlink" Target="https://www.jivi.com.ar/ficha.php?id=1468" TargetMode="External"/><Relationship Id="rId356" Type="http://schemas.openxmlformats.org/officeDocument/2006/relationships/hyperlink" Target="https://www.jivi.com.ar/ficha.php?id=1535" TargetMode="External"/><Relationship Id="rId398" Type="http://schemas.openxmlformats.org/officeDocument/2006/relationships/hyperlink" Target="https://www.jivi.com.ar/ficha.php?id=1573" TargetMode="External"/><Relationship Id="rId521" Type="http://schemas.openxmlformats.org/officeDocument/2006/relationships/hyperlink" Target="https://www.jivi.com.ar/ficha.php?id=1775" TargetMode="External"/><Relationship Id="rId563" Type="http://schemas.openxmlformats.org/officeDocument/2006/relationships/hyperlink" Target="https://www.jivi.com.ar/ficha.php?id=1533" TargetMode="Externa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1080" TargetMode="External"/><Relationship Id="rId216" Type="http://schemas.openxmlformats.org/officeDocument/2006/relationships/hyperlink" Target="https://www.jivi.com.ar/ficha.php?id=1261" TargetMode="External"/><Relationship Id="rId423" Type="http://schemas.openxmlformats.org/officeDocument/2006/relationships/hyperlink" Target="https://www.jivi.com.ar/ficha.php?id=1602" TargetMode="External"/><Relationship Id="rId258" Type="http://schemas.openxmlformats.org/officeDocument/2006/relationships/hyperlink" Target="https://www.jivi.com.ar/ficha.php?id=1394" TargetMode="External"/><Relationship Id="rId465" Type="http://schemas.openxmlformats.org/officeDocument/2006/relationships/hyperlink" Target="https://www.jivi.com.ar/ficha.php?id=440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80" TargetMode="External"/><Relationship Id="rId325" Type="http://schemas.openxmlformats.org/officeDocument/2006/relationships/hyperlink" Target="https://www.jivi.com.ar/ficha.php?id=1481" TargetMode="External"/><Relationship Id="rId367" Type="http://schemas.openxmlformats.org/officeDocument/2006/relationships/hyperlink" Target="https://www.jivi.com.ar/ficha.php?id=1548" TargetMode="External"/><Relationship Id="rId532" Type="http://schemas.openxmlformats.org/officeDocument/2006/relationships/hyperlink" Target="https://www.jivi.com.ar/ficha.php?id=1779" TargetMode="External"/><Relationship Id="rId171" Type="http://schemas.openxmlformats.org/officeDocument/2006/relationships/hyperlink" Target="https://www.jivi.com.ar/ficha.php?id=885" TargetMode="External"/><Relationship Id="rId227" Type="http://schemas.openxmlformats.org/officeDocument/2006/relationships/hyperlink" Target="https://www.jivi.com.ar/ficha.php?id=1305" TargetMode="External"/><Relationship Id="rId269" Type="http://schemas.openxmlformats.org/officeDocument/2006/relationships/hyperlink" Target="https://www.jivi.com.ar/ficha.php?id=376" TargetMode="External"/><Relationship Id="rId434" Type="http://schemas.openxmlformats.org/officeDocument/2006/relationships/hyperlink" Target="https://www.jivi.com.ar/ficha.php?id=1610" TargetMode="External"/><Relationship Id="rId476" Type="http://schemas.openxmlformats.org/officeDocument/2006/relationships/hyperlink" Target="https://www.jivi.com.ar/ficha.php?id=1438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888" TargetMode="External"/><Relationship Id="rId280" Type="http://schemas.openxmlformats.org/officeDocument/2006/relationships/hyperlink" Target="https://www.jivi.com.ar/ficha.php?id=1281" TargetMode="External"/><Relationship Id="rId336" Type="http://schemas.openxmlformats.org/officeDocument/2006/relationships/hyperlink" Target="https://www.jivi.com.ar/ficha.php?id=1499" TargetMode="External"/><Relationship Id="rId501" Type="http://schemas.openxmlformats.org/officeDocument/2006/relationships/hyperlink" Target="https://www.jivi.com.ar/ficha.php?id=1732" TargetMode="External"/><Relationship Id="rId543" Type="http://schemas.openxmlformats.org/officeDocument/2006/relationships/hyperlink" Target="https://www.jivi.com.ar/ficha.php?id=1319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54" TargetMode="External"/><Relationship Id="rId182" Type="http://schemas.openxmlformats.org/officeDocument/2006/relationships/hyperlink" Target="https://www.jivi.com.ar/ficha.php?id=1156" TargetMode="External"/><Relationship Id="rId378" Type="http://schemas.openxmlformats.org/officeDocument/2006/relationships/hyperlink" Target="https://www.jivi.com.ar/ficha.php?id=518" TargetMode="External"/><Relationship Id="rId403" Type="http://schemas.openxmlformats.org/officeDocument/2006/relationships/hyperlink" Target="https://www.jivi.com.ar/ficha.php?id=1249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48" TargetMode="External"/><Relationship Id="rId445" Type="http://schemas.openxmlformats.org/officeDocument/2006/relationships/hyperlink" Target="https://www.jivi.com.ar/ficha.php?id=1619" TargetMode="External"/><Relationship Id="rId487" Type="http://schemas.openxmlformats.org/officeDocument/2006/relationships/hyperlink" Target="https://www.jivi.com.ar/ficha.php?id=977" TargetMode="External"/><Relationship Id="rId291" Type="http://schemas.openxmlformats.org/officeDocument/2006/relationships/hyperlink" Target="https://www.jivi.com.ar/ficha.php?id=1437" TargetMode="External"/><Relationship Id="rId305" Type="http://schemas.openxmlformats.org/officeDocument/2006/relationships/hyperlink" Target="https://www.jivi.com.ar/ficha.php?id=1064" TargetMode="External"/><Relationship Id="rId347" Type="http://schemas.openxmlformats.org/officeDocument/2006/relationships/hyperlink" Target="https://www.jivi.com.ar/ficha.php?id=1515" TargetMode="External"/><Relationship Id="rId512" Type="http://schemas.openxmlformats.org/officeDocument/2006/relationships/hyperlink" Target="https://www.jivi.com.ar/ficha.php?id=1745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1024" TargetMode="External"/><Relationship Id="rId389" Type="http://schemas.openxmlformats.org/officeDocument/2006/relationships/hyperlink" Target="https://www.jivi.com.ar/ficha.php?id=1564" TargetMode="External"/><Relationship Id="rId554" Type="http://schemas.openxmlformats.org/officeDocument/2006/relationships/hyperlink" Target="https://www.jivi.com.ar/ficha.php?id=1377" TargetMode="External"/><Relationship Id="rId193" Type="http://schemas.openxmlformats.org/officeDocument/2006/relationships/hyperlink" Target="https://www.jivi.com.ar/ficha.php?id=349" TargetMode="External"/><Relationship Id="rId207" Type="http://schemas.openxmlformats.org/officeDocument/2006/relationships/hyperlink" Target="https://www.jivi.com.ar/ficha.php?id=919" TargetMode="External"/><Relationship Id="rId249" Type="http://schemas.openxmlformats.org/officeDocument/2006/relationships/hyperlink" Target="https://www.jivi.com.ar/ficha.php?id=1384" TargetMode="External"/><Relationship Id="rId414" Type="http://schemas.openxmlformats.org/officeDocument/2006/relationships/hyperlink" Target="https://www.jivi.com.ar/ficha.php?id=1589" TargetMode="External"/><Relationship Id="rId456" Type="http://schemas.openxmlformats.org/officeDocument/2006/relationships/hyperlink" Target="https://www.jivi.com.ar/ficha.php?id=1641" TargetMode="External"/><Relationship Id="rId498" Type="http://schemas.openxmlformats.org/officeDocument/2006/relationships/hyperlink" Target="https://www.jivi.com.ar/ficha.php?id=1729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399" TargetMode="External"/><Relationship Id="rId316" Type="http://schemas.openxmlformats.org/officeDocument/2006/relationships/hyperlink" Target="https://www.jivi.com.ar/ficha.php?id=1471" TargetMode="External"/><Relationship Id="rId523" Type="http://schemas.openxmlformats.org/officeDocument/2006/relationships/hyperlink" Target="https://www.jivi.com.ar/ficha.php?id=1310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809" TargetMode="External"/><Relationship Id="rId358" Type="http://schemas.openxmlformats.org/officeDocument/2006/relationships/hyperlink" Target="https://www.jivi.com.ar/ficha.php?id=1539" TargetMode="External"/><Relationship Id="rId565" Type="http://schemas.openxmlformats.org/officeDocument/2006/relationships/printerSettings" Target="../printerSettings/printerSettings1.bin"/><Relationship Id="rId162" Type="http://schemas.openxmlformats.org/officeDocument/2006/relationships/hyperlink" Target="https://www.jivi.com.ar/ficha.php?id=1088" TargetMode="External"/><Relationship Id="rId218" Type="http://schemas.openxmlformats.org/officeDocument/2006/relationships/hyperlink" Target="https://www.jivi.com.ar/ficha.php?id=1268" TargetMode="External"/><Relationship Id="rId425" Type="http://schemas.openxmlformats.org/officeDocument/2006/relationships/hyperlink" Target="https://www.jivi.com.ar/ficha.php?id=1701" TargetMode="External"/><Relationship Id="rId467" Type="http://schemas.openxmlformats.org/officeDocument/2006/relationships/hyperlink" Target="https://www.jivi.com.ar/ficha.php?id=1666" TargetMode="External"/><Relationship Id="rId271" Type="http://schemas.openxmlformats.org/officeDocument/2006/relationships/hyperlink" Target="https://www.jivi.com.ar/ficha.php?id=1393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81" TargetMode="External"/><Relationship Id="rId327" Type="http://schemas.openxmlformats.org/officeDocument/2006/relationships/hyperlink" Target="https://www.jivi.com.ar/ficha.php?id=1486" TargetMode="External"/><Relationship Id="rId369" Type="http://schemas.openxmlformats.org/officeDocument/2006/relationships/hyperlink" Target="https://www.jivi.com.ar/ficha.php?id=1551" TargetMode="External"/><Relationship Id="rId534" Type="http://schemas.openxmlformats.org/officeDocument/2006/relationships/hyperlink" Target="https://www.jivi.com.ar/ficha.php?id=1781" TargetMode="External"/><Relationship Id="rId173" Type="http://schemas.openxmlformats.org/officeDocument/2006/relationships/hyperlink" Target="https://www.jivi.com.ar/ficha.php?id=1108" TargetMode="External"/><Relationship Id="rId229" Type="http://schemas.openxmlformats.org/officeDocument/2006/relationships/hyperlink" Target="https://www.jivi.com.ar/ficha.php?id=1287" TargetMode="External"/><Relationship Id="rId380" Type="http://schemas.openxmlformats.org/officeDocument/2006/relationships/hyperlink" Target="https://www.jivi.com.ar/ficha.php?id=26" TargetMode="External"/><Relationship Id="rId436" Type="http://schemas.openxmlformats.org/officeDocument/2006/relationships/hyperlink" Target="https://www.jivi.com.ar/ficha.php?id=1611" TargetMode="External"/><Relationship Id="rId240" Type="http://schemas.openxmlformats.org/officeDocument/2006/relationships/hyperlink" Target="https://www.jivi.com.ar/ficha.php?id=1360" TargetMode="External"/><Relationship Id="rId478" Type="http://schemas.openxmlformats.org/officeDocument/2006/relationships/hyperlink" Target="https://www.jivi.com.ar/ficha.php?id=36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21" TargetMode="External"/><Relationship Id="rId338" Type="http://schemas.openxmlformats.org/officeDocument/2006/relationships/hyperlink" Target="https://www.jivi.com.ar/ficha.php?id=1502" TargetMode="External"/><Relationship Id="rId503" Type="http://schemas.openxmlformats.org/officeDocument/2006/relationships/hyperlink" Target="https://www.jivi.com.ar/ficha.php?id=1734" TargetMode="External"/><Relationship Id="rId545" Type="http://schemas.openxmlformats.org/officeDocument/2006/relationships/hyperlink" Target="https://www.jivi.com.ar/ficha.php?id=1447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56" TargetMode="External"/><Relationship Id="rId184" Type="http://schemas.openxmlformats.org/officeDocument/2006/relationships/hyperlink" Target="https://www.jivi.com.ar/ficha.php?id=1168" TargetMode="External"/><Relationship Id="rId391" Type="http://schemas.openxmlformats.org/officeDocument/2006/relationships/hyperlink" Target="https://www.jivi.com.ar/ficha.php?id=1567" TargetMode="External"/><Relationship Id="rId405" Type="http://schemas.openxmlformats.org/officeDocument/2006/relationships/hyperlink" Target="https://www.jivi.com.ar/ficha.php?id=1576" TargetMode="External"/><Relationship Id="rId447" Type="http://schemas.openxmlformats.org/officeDocument/2006/relationships/hyperlink" Target="https://www.jivi.com.ar/ficha.php?id=1355" TargetMode="External"/><Relationship Id="rId251" Type="http://schemas.openxmlformats.org/officeDocument/2006/relationships/hyperlink" Target="https://www.jivi.com.ar/ficha.php?id=1385" TargetMode="External"/><Relationship Id="rId489" Type="http://schemas.openxmlformats.org/officeDocument/2006/relationships/hyperlink" Target="https://www.jivi.com.ar/ficha.php?id=1456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439" TargetMode="External"/><Relationship Id="rId307" Type="http://schemas.openxmlformats.org/officeDocument/2006/relationships/hyperlink" Target="https://www.jivi.com.ar/ficha.php?id=1454" TargetMode="External"/><Relationship Id="rId349" Type="http://schemas.openxmlformats.org/officeDocument/2006/relationships/hyperlink" Target="https://www.jivi.com.ar/ficha.php?id=1517" TargetMode="External"/><Relationship Id="rId514" Type="http://schemas.openxmlformats.org/officeDocument/2006/relationships/hyperlink" Target="https://www.jivi.com.ar/ficha.php?id=1747" TargetMode="External"/><Relationship Id="rId556" Type="http://schemas.openxmlformats.org/officeDocument/2006/relationships/hyperlink" Target="https://www.jivi.com.ar/ficha.php?id=1453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8" TargetMode="External"/><Relationship Id="rId153" Type="http://schemas.openxmlformats.org/officeDocument/2006/relationships/hyperlink" Target="https://www.jivi.com.ar/ficha.php?id=647" TargetMode="External"/><Relationship Id="rId195" Type="http://schemas.openxmlformats.org/officeDocument/2006/relationships/hyperlink" Target="https://www.jivi.com.ar/ficha.php?id=1192" TargetMode="External"/><Relationship Id="rId209" Type="http://schemas.openxmlformats.org/officeDocument/2006/relationships/hyperlink" Target="https://www.jivi.com.ar/ficha.php?id=1232" TargetMode="External"/><Relationship Id="rId360" Type="http://schemas.openxmlformats.org/officeDocument/2006/relationships/hyperlink" Target="https://www.jivi.com.ar/ficha.php?id=1541" TargetMode="External"/><Relationship Id="rId416" Type="http://schemas.openxmlformats.org/officeDocument/2006/relationships/hyperlink" Target="https://www.jivi.com.ar/ficha.php?id=1591" TargetMode="External"/><Relationship Id="rId220" Type="http://schemas.openxmlformats.org/officeDocument/2006/relationships/hyperlink" Target="https://www.jivi.com.ar/ficha.php?id=1278" TargetMode="External"/><Relationship Id="rId458" Type="http://schemas.openxmlformats.org/officeDocument/2006/relationships/hyperlink" Target="https://www.jivi.com.ar/ficha.php?id=1637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400" TargetMode="External"/><Relationship Id="rId318" Type="http://schemas.openxmlformats.org/officeDocument/2006/relationships/hyperlink" Target="htthttps://www.jivi.com.ar/ficha.php?id=1476" TargetMode="External"/><Relationship Id="rId525" Type="http://schemas.openxmlformats.org/officeDocument/2006/relationships/hyperlink" Target="https://www.jivi.com.ar/ficha.php?id=76" TargetMode="External"/><Relationship Id="rId567" Type="http://schemas.openxmlformats.org/officeDocument/2006/relationships/vmlDrawing" Target="../drawings/vmlDrawing1.vm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708" TargetMode="External"/><Relationship Id="rId164" Type="http://schemas.openxmlformats.org/officeDocument/2006/relationships/hyperlink" Target="https://www.jivi.com.ar/ficha.php?id=1090" TargetMode="External"/><Relationship Id="rId371" Type="http://schemas.openxmlformats.org/officeDocument/2006/relationships/hyperlink" Target="https://www.jivi.com.ar/ficha.php?id=1311" TargetMode="External"/><Relationship Id="rId427" Type="http://schemas.openxmlformats.org/officeDocument/2006/relationships/hyperlink" Target="https://www.jivi.com.ar/ficha.php?id=1606" TargetMode="External"/><Relationship Id="rId469" Type="http://schemas.openxmlformats.org/officeDocument/2006/relationships/hyperlink" Target="https://www.jivi.com.ar/ficha.php?id=1684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16" TargetMode="External"/><Relationship Id="rId273" Type="http://schemas.openxmlformats.org/officeDocument/2006/relationships/hyperlink" Target="https://www.jivi.com.ar/ficha.php?id=1413" TargetMode="External"/><Relationship Id="rId329" Type="http://schemas.openxmlformats.org/officeDocument/2006/relationships/hyperlink" Target="https://www.jivi.com.ar/ficha.php?id=1492" TargetMode="External"/><Relationship Id="rId480" Type="http://schemas.openxmlformats.org/officeDocument/2006/relationships/hyperlink" Target="https://www.jivi.com.ar/ficha.php?id=1698" TargetMode="External"/><Relationship Id="rId536" Type="http://schemas.openxmlformats.org/officeDocument/2006/relationships/hyperlink" Target="https://www.jivi.com.ar/ficha.php?id=1293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86" TargetMode="External"/><Relationship Id="rId175" Type="http://schemas.openxmlformats.org/officeDocument/2006/relationships/hyperlink" Target="https://www.jivi.com.ar/ficha.php?id=1119" TargetMode="External"/><Relationship Id="rId340" Type="http://schemas.openxmlformats.org/officeDocument/2006/relationships/hyperlink" Target="https://www.jivi.com.ar/ficha.php?id=1504" TargetMode="External"/><Relationship Id="rId200" Type="http://schemas.openxmlformats.org/officeDocument/2006/relationships/hyperlink" Target="https://www.jivi.com.ar/ficha.php?id=1220" TargetMode="External"/><Relationship Id="rId382" Type="http://schemas.openxmlformats.org/officeDocument/2006/relationships/hyperlink" Target="https://www.jivi.com.ar/ficha.php?id=1562" TargetMode="External"/><Relationship Id="rId438" Type="http://schemas.openxmlformats.org/officeDocument/2006/relationships/hyperlink" Target="https://www.jivi.com.ar/ficha.php?id=1613" TargetMode="External"/><Relationship Id="rId242" Type="http://schemas.openxmlformats.org/officeDocument/2006/relationships/hyperlink" Target="https://www.jivi.com.ar/ficha.php?id=1366" TargetMode="External"/><Relationship Id="rId284" Type="http://schemas.openxmlformats.org/officeDocument/2006/relationships/hyperlink" Target="https://www.jivi.com.ar/ficha.php?id=1423" TargetMode="External"/><Relationship Id="rId491" Type="http://schemas.openxmlformats.org/officeDocument/2006/relationships/hyperlink" Target="https://www.jivi.com.ar/ficha.php?id=1708" TargetMode="External"/><Relationship Id="rId505" Type="http://schemas.openxmlformats.org/officeDocument/2006/relationships/hyperlink" Target="https://www.jivi.com.ar/ficha.php?id=1738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967" TargetMode="External"/><Relationship Id="rId547" Type="http://schemas.openxmlformats.org/officeDocument/2006/relationships/hyperlink" Target="https://www.jivi.com.ar/ficha.php?id=1128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975" TargetMode="External"/><Relationship Id="rId351" Type="http://schemas.openxmlformats.org/officeDocument/2006/relationships/hyperlink" Target="https://www.jivi.com.ar/ficha.php?id=1665" TargetMode="External"/><Relationship Id="rId393" Type="http://schemas.openxmlformats.org/officeDocument/2006/relationships/hyperlink" Target="https://www.jivi.com.ar/ficha.php?id=1569" TargetMode="External"/><Relationship Id="rId407" Type="http://schemas.openxmlformats.org/officeDocument/2006/relationships/hyperlink" Target="https://www.jivi.com.ar/ficha.php?id=1581" TargetMode="External"/><Relationship Id="rId449" Type="http://schemas.openxmlformats.org/officeDocument/2006/relationships/hyperlink" Target="https://www.jivi.com.ar/ficha.php?id=1621" TargetMode="External"/><Relationship Id="rId211" Type="http://schemas.openxmlformats.org/officeDocument/2006/relationships/hyperlink" Target="https://www.jivi.com.ar/ficha.php?id=920" TargetMode="External"/><Relationship Id="rId253" Type="http://schemas.openxmlformats.org/officeDocument/2006/relationships/hyperlink" Target="https://www.jivi.com.ar/ficha.php?id=1389" TargetMode="External"/><Relationship Id="rId295" Type="http://schemas.openxmlformats.org/officeDocument/2006/relationships/hyperlink" Target="https://www.jivi.com.ar/ficha.php?id=1427" TargetMode="External"/><Relationship Id="rId309" Type="http://schemas.openxmlformats.org/officeDocument/2006/relationships/hyperlink" Target="https://www.jivi.com.ar/ficha.php?id=1463" TargetMode="External"/><Relationship Id="rId460" Type="http://schemas.openxmlformats.org/officeDocument/2006/relationships/hyperlink" Target="https://www.jivi.com.ar/ficha.php?id=1655" TargetMode="External"/><Relationship Id="rId516" Type="http://schemas.openxmlformats.org/officeDocument/2006/relationships/hyperlink" Target="https://www.jivi.com.ar/ficha.php?id=1749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534" TargetMode="External"/><Relationship Id="rId320" Type="http://schemas.openxmlformats.org/officeDocument/2006/relationships/hyperlink" Target="https://www.jivi.com.ar/ficha.php?id=996" TargetMode="External"/><Relationship Id="rId558" Type="http://schemas.openxmlformats.org/officeDocument/2006/relationships/hyperlink" Target="https://www.jivi.com.ar/ficha.php?id=1131" TargetMode="External"/><Relationship Id="rId155" Type="http://schemas.openxmlformats.org/officeDocument/2006/relationships/hyperlink" Target="https://www.jivi.com.ar/ficha.php?id=1052" TargetMode="External"/><Relationship Id="rId197" Type="http://schemas.openxmlformats.org/officeDocument/2006/relationships/hyperlink" Target="https://www.jivi.com.ar/ficha.php?id=1209" TargetMode="External"/><Relationship Id="rId362" Type="http://schemas.openxmlformats.org/officeDocument/2006/relationships/hyperlink" Target="https://www.jivi.com.ar/ficha.php?id=1363" TargetMode="External"/><Relationship Id="rId418" Type="http://schemas.openxmlformats.org/officeDocument/2006/relationships/hyperlink" Target="https://www.jivi.com.ar/ficha.php?id=1593" TargetMode="External"/><Relationship Id="rId222" Type="http://schemas.openxmlformats.org/officeDocument/2006/relationships/hyperlink" Target="https://www.jivi.com.ar/ficha.php?id=991" TargetMode="External"/><Relationship Id="rId264" Type="http://schemas.openxmlformats.org/officeDocument/2006/relationships/hyperlink" Target="https://www.jivi.com.ar/ficha.php?id=1392" TargetMode="External"/><Relationship Id="rId471" Type="http://schemas.openxmlformats.org/officeDocument/2006/relationships/hyperlink" Target="https://www.jivi.com.ar/ficha.php?id=1687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40" TargetMode="External"/><Relationship Id="rId527" Type="http://schemas.openxmlformats.org/officeDocument/2006/relationships/hyperlink" Target="https://www.jivi.com.ar/ficha.php?id=1778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95" TargetMode="External"/><Relationship Id="rId331" Type="http://schemas.openxmlformats.org/officeDocument/2006/relationships/hyperlink" Target="https://www.jivi.com.ar/ficha.php?id=1494" TargetMode="External"/><Relationship Id="rId373" Type="http://schemas.openxmlformats.org/officeDocument/2006/relationships/hyperlink" Target="https://www.jivi.com.ar/ficha.php?id=1554" TargetMode="External"/><Relationship Id="rId429" Type="http://schemas.openxmlformats.org/officeDocument/2006/relationships/hyperlink" Target="https://www.jivi.com.ar/ficha.php?id=1270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36" TargetMode="External"/><Relationship Id="rId440" Type="http://schemas.openxmlformats.org/officeDocument/2006/relationships/hyperlink" Target="https://www.jivi.com.ar/ficha.php?id=1452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356" TargetMode="External"/><Relationship Id="rId300" Type="http://schemas.openxmlformats.org/officeDocument/2006/relationships/hyperlink" Target="https://www.jivi.com.ar/ficha.php?id=1446" TargetMode="External"/><Relationship Id="rId482" Type="http://schemas.openxmlformats.org/officeDocument/2006/relationships/hyperlink" Target="https://www.jivi.com.ar/ficha.php?id=1510" TargetMode="External"/><Relationship Id="rId538" Type="http://schemas.openxmlformats.org/officeDocument/2006/relationships/hyperlink" Target="https://www.jivi.com.ar/ficha.php?id=1265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918" TargetMode="External"/><Relationship Id="rId177" Type="http://schemas.openxmlformats.org/officeDocument/2006/relationships/hyperlink" Target="https://www.jivi.com.ar/ficha.php?id=1154" TargetMode="External"/><Relationship Id="rId342" Type="http://schemas.openxmlformats.org/officeDocument/2006/relationships/hyperlink" Target="https://www.jivi.com.ar/ficha.php?id=1506" TargetMode="External"/><Relationship Id="rId384" Type="http://schemas.openxmlformats.org/officeDocument/2006/relationships/hyperlink" Target="https://www.jivi.com.ar/ficha.php?id=1414" TargetMode="External"/><Relationship Id="rId202" Type="http://schemas.openxmlformats.org/officeDocument/2006/relationships/hyperlink" Target="https://www.jivi.com.ar/ficha.php?id=1223" TargetMode="External"/><Relationship Id="rId244" Type="http://schemas.openxmlformats.org/officeDocument/2006/relationships/hyperlink" Target="https://www.jivi.com.ar/ficha.php?id=864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426" TargetMode="External"/><Relationship Id="rId451" Type="http://schemas.openxmlformats.org/officeDocument/2006/relationships/hyperlink" Target="https://www.jivi.com.ar/ficha.php?id=1635" TargetMode="External"/><Relationship Id="rId493" Type="http://schemas.openxmlformats.org/officeDocument/2006/relationships/hyperlink" Target="https://www.jivi.com.ar/ficha.php?id=1722" TargetMode="External"/><Relationship Id="rId507" Type="http://schemas.openxmlformats.org/officeDocument/2006/relationships/hyperlink" Target="https://www.jivi.com.ar/ficha.php?id=1740" TargetMode="External"/><Relationship Id="rId549" Type="http://schemas.openxmlformats.org/officeDocument/2006/relationships/hyperlink" Target="https://www.jivi.com.ar/ficha.php?id=1654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850" TargetMode="External"/><Relationship Id="rId188" Type="http://schemas.openxmlformats.org/officeDocument/2006/relationships/hyperlink" Target="https://www.jivi.com.ar/ficha.php?id=1175" TargetMode="External"/><Relationship Id="rId311" Type="http://schemas.openxmlformats.org/officeDocument/2006/relationships/hyperlink" Target="https://www.jivi.com.ar/ficha.php?id=1465" TargetMode="External"/><Relationship Id="rId353" Type="http://schemas.openxmlformats.org/officeDocument/2006/relationships/hyperlink" Target="https://www.jivi.com.ar/ficha.php?id=1527" TargetMode="External"/><Relationship Id="rId395" Type="http://schemas.openxmlformats.org/officeDocument/2006/relationships/hyperlink" Target="https://www.jivi.com.ar/ficha.php?id=1571" TargetMode="External"/><Relationship Id="rId409" Type="http://schemas.openxmlformats.org/officeDocument/2006/relationships/hyperlink" Target="https://www.jivi.com.ar/ficha.php?id=1584" TargetMode="External"/><Relationship Id="rId560" Type="http://schemas.openxmlformats.org/officeDocument/2006/relationships/hyperlink" Target="https://www.jivi.com.ar/ficha.php?id=1700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248" TargetMode="External"/><Relationship Id="rId420" Type="http://schemas.openxmlformats.org/officeDocument/2006/relationships/hyperlink" Target="https://www.jivi.com.ar/ficha.php?id=1596" TargetMode="External"/><Relationship Id="rId255" Type="http://schemas.openxmlformats.org/officeDocument/2006/relationships/hyperlink" Target="https://www.jivi.com.ar/ficha.php?id=363" TargetMode="External"/><Relationship Id="rId297" Type="http://schemas.openxmlformats.org/officeDocument/2006/relationships/hyperlink" Target="https://www.jivi.com.ar/ficha.php?id=1056" TargetMode="External"/><Relationship Id="rId462" Type="http://schemas.openxmlformats.org/officeDocument/2006/relationships/hyperlink" Target="https://www.jivi.com.ar/ficha.php?id=1657" TargetMode="External"/><Relationship Id="rId518" Type="http://schemas.openxmlformats.org/officeDocument/2006/relationships/hyperlink" Target="https://www.jivi.com.ar/ficha.php?id=1750" TargetMode="External"/><Relationship Id="rId115" Type="http://schemas.openxmlformats.org/officeDocument/2006/relationships/hyperlink" Target="https://www.jivi.com.ar/ficha.php?id=215" TargetMode="External"/><Relationship Id="rId157" Type="http://schemas.openxmlformats.org/officeDocument/2006/relationships/hyperlink" Target="https://www.jivi.com.ar/ficha.php?id=1061" TargetMode="External"/><Relationship Id="rId322" Type="http://schemas.openxmlformats.org/officeDocument/2006/relationships/hyperlink" Target="https://www.jivi.com.ar/ficha.php?id=1478" TargetMode="External"/><Relationship Id="rId364" Type="http://schemas.openxmlformats.org/officeDocument/2006/relationships/hyperlink" Target="https://www.jivi.com.ar/ficha.php?id=1546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219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607" TargetMode="External"/><Relationship Id="rId266" Type="http://schemas.openxmlformats.org/officeDocument/2006/relationships/hyperlink" Target="https://www.jivi.com.ar/ficha.php?id=1110" TargetMode="External"/><Relationship Id="rId431" Type="http://schemas.openxmlformats.org/officeDocument/2006/relationships/hyperlink" Target="https://www.jivi.com.ar/ficha.php?id=1608" TargetMode="External"/><Relationship Id="rId473" Type="http://schemas.openxmlformats.org/officeDocument/2006/relationships/hyperlink" Target="https://www.jivi.com.ar/ficha.php?id=1690" TargetMode="External"/><Relationship Id="rId529" Type="http://schemas.openxmlformats.org/officeDocument/2006/relationships/hyperlink" Target="https://www.jivi.com.ar/ficha.php?id=1710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48" TargetMode="External"/><Relationship Id="rId168" Type="http://schemas.openxmlformats.org/officeDocument/2006/relationships/hyperlink" Target="https://www.jivi.com.ar/ficha.php?id=297" TargetMode="External"/><Relationship Id="rId333" Type="http://schemas.openxmlformats.org/officeDocument/2006/relationships/hyperlink" Target="https://www.jivi.com.ar/ficha.php?id=1496" TargetMode="External"/><Relationship Id="rId540" Type="http://schemas.openxmlformats.org/officeDocument/2006/relationships/hyperlink" Target="https://www.jivi.com.ar/ficha.php?id=1308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55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33" TargetMode="External"/><Relationship Id="rId277" Type="http://schemas.openxmlformats.org/officeDocument/2006/relationships/hyperlink" Target="https://www.jivi.com.ar/ficha.php?id=1353" TargetMode="External"/><Relationship Id="rId400" Type="http://schemas.openxmlformats.org/officeDocument/2006/relationships/hyperlink" Target="https://www.jivi.com.ar/ficha.php?id=1271" TargetMode="External"/><Relationship Id="rId442" Type="http://schemas.openxmlformats.org/officeDocument/2006/relationships/hyperlink" Target="https://www.jivi.com.ar/ficha.php?id=1615" TargetMode="External"/><Relationship Id="rId484" Type="http://schemas.openxmlformats.org/officeDocument/2006/relationships/hyperlink" Target="https://www.jivi.com.ar/ficha.php?id=1531" TargetMode="External"/><Relationship Id="rId137" Type="http://schemas.openxmlformats.org/officeDocument/2006/relationships/hyperlink" Target="https://www.jivi.com.ar/ficha.php?id=938" TargetMode="External"/><Relationship Id="rId302" Type="http://schemas.openxmlformats.org/officeDocument/2006/relationships/hyperlink" Target="https://www.jivi.com.ar/ficha.php?id=1448" TargetMode="External"/><Relationship Id="rId344" Type="http://schemas.openxmlformats.org/officeDocument/2006/relationships/hyperlink" Target="https://www.jivi.com.ar/ficha.php?id=1508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1158" TargetMode="External"/><Relationship Id="rId386" Type="http://schemas.openxmlformats.org/officeDocument/2006/relationships/hyperlink" Target="https://www.jivi.com.ar/ficha.php?id=1407" TargetMode="External"/><Relationship Id="rId551" Type="http://schemas.openxmlformats.org/officeDocument/2006/relationships/hyperlink" Target="https://www.jivi.com.ar/ficha.php?id=1805" TargetMode="External"/><Relationship Id="rId190" Type="http://schemas.openxmlformats.org/officeDocument/2006/relationships/hyperlink" Target="https://www.jivi.com.ar/ficha.php?id=1182" TargetMode="External"/><Relationship Id="rId204" Type="http://schemas.openxmlformats.org/officeDocument/2006/relationships/hyperlink" Target="https://www.jivi.com.ar/ficha.php?id=1224" TargetMode="External"/><Relationship Id="rId246" Type="http://schemas.openxmlformats.org/officeDocument/2006/relationships/hyperlink" Target="https://www.jivi.com.ar/ficha.php?id=1378" TargetMode="External"/><Relationship Id="rId288" Type="http://schemas.openxmlformats.org/officeDocument/2006/relationships/hyperlink" Target="https://www.jivi.com.ar/ficha.php?id=1431" TargetMode="External"/><Relationship Id="rId411" Type="http://schemas.openxmlformats.org/officeDocument/2006/relationships/hyperlink" Target="https://www.jivi.com.ar/ficha.php?id=1587" TargetMode="External"/><Relationship Id="rId453" Type="http://schemas.openxmlformats.org/officeDocument/2006/relationships/hyperlink" Target="https://www.jivi.com.ar/ficha.php?id=1643" TargetMode="External"/><Relationship Id="rId509" Type="http://schemas.openxmlformats.org/officeDocument/2006/relationships/hyperlink" Target="https://www.jivi.com.ar/ficha.php?id=1575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1467" TargetMode="External"/><Relationship Id="rId495" Type="http://schemas.openxmlformats.org/officeDocument/2006/relationships/hyperlink" Target="https://www.jivi.com.ar/ficha.php?id=1725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250" TargetMode="External"/><Relationship Id="rId355" Type="http://schemas.openxmlformats.org/officeDocument/2006/relationships/hyperlink" Target="https://www.jivi.com.ar/ficha.php?id=1534" TargetMode="External"/><Relationship Id="rId397" Type="http://schemas.openxmlformats.org/officeDocument/2006/relationships/hyperlink" Target="https://www.jivi.com.ar/ficha.php?id=1572" TargetMode="External"/><Relationship Id="rId520" Type="http://schemas.openxmlformats.org/officeDocument/2006/relationships/hyperlink" Target="https://www.jivi.com.ar/ficha.php?id=1461" TargetMode="External"/><Relationship Id="rId562" Type="http://schemas.openxmlformats.org/officeDocument/2006/relationships/hyperlink" Target="https://www.jivi.com.ar/ficha.php?id=1544" TargetMode="External"/><Relationship Id="rId215" Type="http://schemas.openxmlformats.org/officeDocument/2006/relationships/hyperlink" Target="https://www.jivi.com.ar/ficha.php?id=1124" TargetMode="External"/><Relationship Id="rId257" Type="http://schemas.openxmlformats.org/officeDocument/2006/relationships/hyperlink" Target="https://www.jivi.com.ar/ficha.php?id=1343" TargetMode="External"/><Relationship Id="rId422" Type="http://schemas.openxmlformats.org/officeDocument/2006/relationships/hyperlink" Target="https://www.jivi.com.ar/ficha.php?id=1599" TargetMode="External"/><Relationship Id="rId464" Type="http://schemas.openxmlformats.org/officeDocument/2006/relationships/hyperlink" Target="https://www.jivi.com.ar/ficha.php?id=1663" TargetMode="External"/><Relationship Id="rId299" Type="http://schemas.openxmlformats.org/officeDocument/2006/relationships/hyperlink" Target="https://www.jivi.com.ar/ficha.php?id=1335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364" TargetMode="External"/><Relationship Id="rId366" Type="http://schemas.openxmlformats.org/officeDocument/2006/relationships/hyperlink" Target="https://www.jivi.com.ar/ficha.php?id=981" TargetMode="External"/><Relationship Id="rId226" Type="http://schemas.openxmlformats.org/officeDocument/2006/relationships/hyperlink" Target="https://www.jivi.com.ar/ficha.php?id=1303" TargetMode="External"/><Relationship Id="rId433" Type="http://schemas.openxmlformats.org/officeDocument/2006/relationships/hyperlink" Target="https://www.jivi.com.ar/ficha.php?id=1274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558" TargetMode="External"/><Relationship Id="rId500" Type="http://schemas.openxmlformats.org/officeDocument/2006/relationships/hyperlink" Target="https://www.jivi.com.ar/ficha.php?id=1731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47" TargetMode="External"/><Relationship Id="rId444" Type="http://schemas.openxmlformats.org/officeDocument/2006/relationships/hyperlink" Target="https://www.jivi.com.ar/ficha.php?id=1618" TargetMode="External"/><Relationship Id="rId290" Type="http://schemas.openxmlformats.org/officeDocument/2006/relationships/hyperlink" Target="https://www.jivi.com.ar/ficha.php?id=1436" TargetMode="External"/><Relationship Id="rId304" Type="http://schemas.openxmlformats.org/officeDocument/2006/relationships/hyperlink" Target="https://www.jivi.com.ar/ficha.php?id=1560" TargetMode="External"/><Relationship Id="rId388" Type="http://schemas.openxmlformats.org/officeDocument/2006/relationships/hyperlink" Target="https://www.jivi.com.ar/ficha.php?id=1408" TargetMode="External"/><Relationship Id="rId511" Type="http://schemas.openxmlformats.org/officeDocument/2006/relationships/hyperlink" Target="https://www.jivi.com.ar/ficha.php?id=1744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1023" TargetMode="External"/><Relationship Id="rId248" Type="http://schemas.openxmlformats.org/officeDocument/2006/relationships/hyperlink" Target="https://www.jivi.com.ar/ficha.php?id=1383" TargetMode="External"/><Relationship Id="rId455" Type="http://schemas.openxmlformats.org/officeDocument/2006/relationships/hyperlink" Target="https://www.jivi.com.ar/ficha.php?id=1644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1470" TargetMode="External"/><Relationship Id="rId522" Type="http://schemas.openxmlformats.org/officeDocument/2006/relationships/hyperlink" Target="https://www.jivi.com.ar/ficha.php?id=1776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79" TargetMode="External"/><Relationship Id="rId399" Type="http://schemas.openxmlformats.org/officeDocument/2006/relationships/hyperlink" Target="https://www.jivi.com.ar/ficha.php?id=1294" TargetMode="External"/><Relationship Id="rId259" Type="http://schemas.openxmlformats.org/officeDocument/2006/relationships/hyperlink" Target="https://www.jivi.com.ar/ficha.php?id=872" TargetMode="External"/><Relationship Id="rId466" Type="http://schemas.openxmlformats.org/officeDocument/2006/relationships/hyperlink" Target="https://www.jivi.com.ar/ficha.php?id=1664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83" TargetMode="External"/><Relationship Id="rId326" Type="http://schemas.openxmlformats.org/officeDocument/2006/relationships/hyperlink" Target="https://www.jivi.com.ar/ficha.php?id=1483" TargetMode="External"/><Relationship Id="rId533" Type="http://schemas.openxmlformats.org/officeDocument/2006/relationships/hyperlink" Target="https://www.jivi.com.ar/ficha.php?id=1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32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17" t="s">
        <v>0</v>
      </c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18"/>
      <c r="S1" s="818"/>
      <c r="T1" s="818"/>
      <c r="U1" s="818"/>
      <c r="V1" s="818"/>
      <c r="W1" s="819"/>
      <c r="X1" s="587">
        <v>1</v>
      </c>
      <c r="Y1" s="808" t="s">
        <v>1</v>
      </c>
      <c r="Z1" s="809"/>
      <c r="AA1" s="809"/>
      <c r="AB1" s="809"/>
      <c r="AC1" s="809"/>
      <c r="AD1" s="810"/>
      <c r="AE1" s="805" t="s">
        <v>2</v>
      </c>
      <c r="AF1" s="806"/>
      <c r="AG1" s="806"/>
      <c r="AH1" s="806"/>
      <c r="AI1" s="807"/>
      <c r="AJ1" s="803" t="s">
        <v>3</v>
      </c>
      <c r="AK1" s="56"/>
      <c r="AL1" s="56"/>
      <c r="AM1" s="54"/>
    </row>
    <row r="2" spans="1:39" ht="14.25" customHeight="1" x14ac:dyDescent="0.2">
      <c r="A2" s="18"/>
      <c r="B2" s="742" t="s">
        <v>869</v>
      </c>
      <c r="C2" s="743"/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743"/>
      <c r="Q2" s="743"/>
      <c r="R2" s="743"/>
      <c r="S2" s="743"/>
      <c r="T2" s="743"/>
      <c r="U2" s="743"/>
      <c r="V2" s="744"/>
      <c r="W2" s="745"/>
      <c r="X2" s="588">
        <v>971</v>
      </c>
      <c r="Y2" s="826" t="s">
        <v>4</v>
      </c>
      <c r="Z2" s="827"/>
      <c r="AA2" s="827"/>
      <c r="AB2" s="827"/>
      <c r="AC2" s="827"/>
      <c r="AD2" s="828"/>
      <c r="AE2" s="815" t="s">
        <v>5</v>
      </c>
      <c r="AF2" s="816"/>
      <c r="AG2" s="816"/>
      <c r="AH2" s="589"/>
      <c r="AI2" s="590"/>
      <c r="AJ2" s="804"/>
      <c r="AK2" s="181"/>
      <c r="AL2" s="181"/>
      <c r="AM2" s="54"/>
    </row>
    <row r="3" spans="1:39" ht="15.75" customHeight="1" x14ac:dyDescent="0.2">
      <c r="A3" s="18"/>
      <c r="B3" s="778"/>
      <c r="C3" s="779"/>
      <c r="D3" s="780"/>
      <c r="E3" s="695" t="s">
        <v>6</v>
      </c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  <c r="Q3" s="696"/>
      <c r="R3" s="696"/>
      <c r="S3" s="696"/>
      <c r="T3" s="696"/>
      <c r="U3" s="696"/>
      <c r="V3" s="697"/>
      <c r="W3" s="698"/>
      <c r="X3" s="820" t="s">
        <v>400</v>
      </c>
      <c r="Y3" s="821"/>
      <c r="Z3" s="821"/>
      <c r="AA3" s="821"/>
      <c r="AB3" s="821"/>
      <c r="AC3" s="821"/>
      <c r="AD3" s="822"/>
      <c r="AE3" s="811"/>
      <c r="AF3" s="812"/>
      <c r="AG3" s="812"/>
      <c r="AH3" s="812"/>
      <c r="AI3" s="812"/>
      <c r="AJ3" s="13"/>
      <c r="AK3" s="13"/>
      <c r="AL3" s="13"/>
      <c r="AM3" s="55"/>
    </row>
    <row r="4" spans="1:39" ht="21.75" customHeight="1" x14ac:dyDescent="0.2">
      <c r="A4" s="18"/>
      <c r="B4" s="781"/>
      <c r="C4" s="782"/>
      <c r="D4" s="783"/>
      <c r="E4" s="699" t="s">
        <v>7</v>
      </c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700"/>
      <c r="T4" s="700"/>
      <c r="U4" s="700"/>
      <c r="V4" s="700"/>
      <c r="W4" s="701"/>
      <c r="X4" s="823"/>
      <c r="Y4" s="824"/>
      <c r="Z4" s="824"/>
      <c r="AA4" s="824"/>
      <c r="AB4" s="824"/>
      <c r="AC4" s="824"/>
      <c r="AD4" s="825"/>
      <c r="AE4" s="812"/>
      <c r="AF4" s="812"/>
      <c r="AG4" s="812"/>
      <c r="AH4" s="812"/>
      <c r="AI4" s="812"/>
      <c r="AJ4" s="13"/>
      <c r="AK4" s="13"/>
      <c r="AL4" s="13"/>
      <c r="AM4" s="55"/>
    </row>
    <row r="5" spans="1:39" ht="23.25" customHeight="1" x14ac:dyDescent="0.2">
      <c r="A5" s="18"/>
      <c r="B5" s="784"/>
      <c r="C5" s="785"/>
      <c r="D5" s="786"/>
      <c r="E5" s="787" t="s">
        <v>8</v>
      </c>
      <c r="F5" s="788"/>
      <c r="G5" s="788"/>
      <c r="H5" s="788"/>
      <c r="I5" s="788"/>
      <c r="J5" s="788"/>
      <c r="K5" s="788"/>
      <c r="L5" s="788"/>
      <c r="M5" s="788"/>
      <c r="N5" s="788"/>
      <c r="O5" s="788"/>
      <c r="P5" s="788"/>
      <c r="Q5" s="788"/>
      <c r="R5" s="788"/>
      <c r="S5" s="788"/>
      <c r="T5" s="788"/>
      <c r="U5" s="788"/>
      <c r="V5" s="788"/>
      <c r="W5" s="789"/>
      <c r="X5" s="793"/>
      <c r="Y5" s="794"/>
      <c r="Z5" s="794"/>
      <c r="AA5" s="794"/>
      <c r="AB5" s="794"/>
      <c r="AC5" s="794"/>
      <c r="AD5" s="795"/>
      <c r="AE5" s="765"/>
      <c r="AF5" s="765"/>
      <c r="AG5" s="765"/>
      <c r="AH5" s="765"/>
      <c r="AI5" s="765"/>
      <c r="AJ5" s="13"/>
      <c r="AK5" s="13"/>
      <c r="AL5" s="13"/>
      <c r="AM5" s="55"/>
    </row>
    <row r="6" spans="1:39" ht="12" customHeight="1" x14ac:dyDescent="0.2">
      <c r="A6" s="18"/>
      <c r="B6" s="790" t="s">
        <v>9</v>
      </c>
      <c r="C6" s="791"/>
      <c r="D6" s="791"/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2"/>
      <c r="X6" s="796"/>
      <c r="Y6" s="797"/>
      <c r="Z6" s="797"/>
      <c r="AA6" s="797"/>
      <c r="AB6" s="797"/>
      <c r="AC6" s="797"/>
      <c r="AD6" s="798"/>
      <c r="AE6" s="765"/>
      <c r="AF6" s="765"/>
      <c r="AG6" s="765"/>
      <c r="AH6" s="765"/>
      <c r="AI6" s="765"/>
      <c r="AJ6" s="13"/>
      <c r="AK6" s="13"/>
      <c r="AL6" s="13"/>
      <c r="AM6" s="55"/>
    </row>
    <row r="7" spans="1:39" ht="13.5" customHeight="1" x14ac:dyDescent="0.2">
      <c r="A7" s="18"/>
      <c r="B7" s="762" t="s">
        <v>10</v>
      </c>
      <c r="C7" s="763"/>
      <c r="D7" s="763"/>
      <c r="E7" s="763"/>
      <c r="F7" s="763"/>
      <c r="G7" s="763"/>
      <c r="H7" s="763"/>
      <c r="I7" s="763"/>
      <c r="J7" s="763"/>
      <c r="K7" s="763"/>
      <c r="L7" s="763"/>
      <c r="M7" s="763"/>
      <c r="N7" s="763"/>
      <c r="O7" s="763"/>
      <c r="P7" s="763"/>
      <c r="Q7" s="763"/>
      <c r="R7" s="763"/>
      <c r="S7" s="763"/>
      <c r="T7" s="763"/>
      <c r="U7" s="763"/>
      <c r="V7" s="763"/>
      <c r="W7" s="764"/>
      <c r="X7" s="799"/>
      <c r="Y7" s="800"/>
      <c r="Z7" s="800"/>
      <c r="AA7" s="800"/>
      <c r="AB7" s="800"/>
      <c r="AC7" s="800"/>
      <c r="AD7" s="801"/>
      <c r="AE7" s="765"/>
      <c r="AF7" s="765"/>
      <c r="AG7" s="765"/>
      <c r="AH7" s="765"/>
      <c r="AI7" s="765"/>
    </row>
    <row r="8" spans="1:39" ht="14.25" customHeight="1" x14ac:dyDescent="0.2">
      <c r="A8" s="18"/>
      <c r="B8" s="653" t="s">
        <v>11</v>
      </c>
      <c r="C8" s="738" t="s">
        <v>12</v>
      </c>
      <c r="D8" s="739"/>
      <c r="E8" s="739"/>
      <c r="F8" s="813" t="s">
        <v>13</v>
      </c>
      <c r="G8" s="813" t="s">
        <v>13</v>
      </c>
      <c r="H8" s="660" t="s">
        <v>870</v>
      </c>
      <c r="I8" s="660"/>
      <c r="J8" s="661"/>
      <c r="K8" s="661"/>
      <c r="L8" s="661"/>
      <c r="M8" s="661"/>
      <c r="N8" s="661"/>
      <c r="O8" s="661"/>
      <c r="P8" s="661"/>
      <c r="Q8" s="661"/>
      <c r="R8" s="661"/>
      <c r="S8" s="661"/>
      <c r="T8" s="661"/>
      <c r="U8" s="661"/>
      <c r="V8" s="661"/>
      <c r="W8" s="661"/>
      <c r="X8" s="632" t="s">
        <v>14</v>
      </c>
      <c r="Y8" s="633"/>
      <c r="Z8" s="633"/>
      <c r="AA8" s="634"/>
      <c r="AB8" s="630" t="s">
        <v>15</v>
      </c>
      <c r="AC8" s="767" t="s">
        <v>16</v>
      </c>
      <c r="AD8" s="768"/>
      <c r="AE8" s="768"/>
      <c r="AF8" s="768"/>
      <c r="AG8" s="768"/>
      <c r="AH8" s="768"/>
      <c r="AI8" s="769"/>
    </row>
    <row r="9" spans="1:39" ht="11.25" customHeight="1" x14ac:dyDescent="0.2">
      <c r="A9" s="18"/>
      <c r="B9" s="653"/>
      <c r="C9" s="739"/>
      <c r="D9" s="739"/>
      <c r="E9" s="739"/>
      <c r="F9" s="814"/>
      <c r="G9" s="814"/>
      <c r="H9" s="585"/>
      <c r="I9" s="583" t="s">
        <v>301</v>
      </c>
      <c r="J9" s="585"/>
      <c r="K9" s="583" t="s">
        <v>17</v>
      </c>
      <c r="L9" s="586"/>
      <c r="M9" s="586" t="s">
        <v>18</v>
      </c>
      <c r="N9" s="586"/>
      <c r="O9" s="583" t="s">
        <v>19</v>
      </c>
      <c r="P9" s="586"/>
      <c r="Q9" s="586" t="s">
        <v>303</v>
      </c>
      <c r="R9" s="586"/>
      <c r="S9" s="586" t="s">
        <v>20</v>
      </c>
      <c r="T9" s="586"/>
      <c r="U9" s="586" t="s">
        <v>21</v>
      </c>
      <c r="V9" s="586"/>
      <c r="W9" s="586" t="s">
        <v>22</v>
      </c>
      <c r="X9" s="635"/>
      <c r="Y9" s="636"/>
      <c r="Z9" s="636"/>
      <c r="AA9" s="637"/>
      <c r="AB9" s="631"/>
      <c r="AC9" s="770"/>
      <c r="AD9" s="771"/>
      <c r="AE9" s="771"/>
      <c r="AF9" s="771"/>
      <c r="AG9" s="771"/>
      <c r="AH9" s="771"/>
      <c r="AI9" s="772"/>
    </row>
    <row r="10" spans="1:39" ht="12.6" customHeight="1" x14ac:dyDescent="0.2">
      <c r="A10" s="18"/>
      <c r="B10" s="755" t="s">
        <v>747</v>
      </c>
      <c r="C10" s="756"/>
      <c r="D10" s="756"/>
      <c r="E10" s="757"/>
      <c r="F10" s="329">
        <v>557</v>
      </c>
      <c r="G10" s="336">
        <f t="shared" ref="G10" si="0">+F10*$X$1</f>
        <v>557</v>
      </c>
      <c r="H10" s="592"/>
      <c r="I10" s="612"/>
      <c r="J10" s="87">
        <f>F10+120</f>
        <v>677</v>
      </c>
      <c r="K10" s="329"/>
      <c r="L10" s="105"/>
      <c r="M10" s="329"/>
      <c r="N10" s="613">
        <f>F10+55</f>
        <v>612</v>
      </c>
      <c r="O10" s="306">
        <f t="shared" ref="O10" si="1">+N10*$X$1</f>
        <v>612</v>
      </c>
      <c r="P10" s="613">
        <f>F10+50</f>
        <v>607</v>
      </c>
      <c r="Q10" s="306">
        <f t="shared" ref="Q10" si="2">+P10*$X$1</f>
        <v>607</v>
      </c>
      <c r="R10" s="613">
        <f>F10+42</f>
        <v>599</v>
      </c>
      <c r="S10" s="306">
        <f t="shared" ref="S10" si="3">+R10*$X$1</f>
        <v>599</v>
      </c>
      <c r="T10" s="613">
        <f>F10+35</f>
        <v>592</v>
      </c>
      <c r="U10" s="306">
        <f t="shared" ref="U10" si="4">+T10*$X$1</f>
        <v>592</v>
      </c>
      <c r="V10" s="613">
        <f>F10+30</f>
        <v>587</v>
      </c>
      <c r="W10" s="306">
        <f t="shared" ref="W10" si="5">+V10*$X$1</f>
        <v>587</v>
      </c>
      <c r="X10" s="136"/>
      <c r="Y10" s="136"/>
      <c r="Z10" s="136"/>
      <c r="AA10" s="136"/>
      <c r="AB10" s="452">
        <v>13</v>
      </c>
      <c r="AE10" s="62"/>
      <c r="AF10" s="766" t="s">
        <v>911</v>
      </c>
      <c r="AG10" s="766"/>
      <c r="AH10" s="766"/>
    </row>
    <row r="11" spans="1:39" ht="12.6" customHeight="1" x14ac:dyDescent="0.2">
      <c r="A11" s="18"/>
      <c r="B11" s="666" t="s">
        <v>884</v>
      </c>
      <c r="C11" s="683"/>
      <c r="D11" s="683"/>
      <c r="E11" s="684"/>
      <c r="F11" s="307">
        <v>1063</v>
      </c>
      <c r="G11" s="335">
        <f t="shared" ref="G11" si="6">+F11*$X$1</f>
        <v>1063</v>
      </c>
      <c r="H11" s="297"/>
      <c r="I11" s="373"/>
      <c r="J11" s="90">
        <f>F11+120</f>
        <v>1183</v>
      </c>
      <c r="K11" s="307"/>
      <c r="L11" s="548"/>
      <c r="M11" s="307"/>
      <c r="N11" s="548">
        <f>F11+55</f>
        <v>1118</v>
      </c>
      <c r="O11" s="307">
        <f t="shared" ref="O11:O12" si="7">+N11*$X$1</f>
        <v>1118</v>
      </c>
      <c r="P11" s="548">
        <f>F11+50</f>
        <v>1113</v>
      </c>
      <c r="Q11" s="307">
        <f t="shared" ref="Q11:Q12" si="8">+P11*$X$1</f>
        <v>1113</v>
      </c>
      <c r="R11" s="548">
        <f>F11+42</f>
        <v>1105</v>
      </c>
      <c r="S11" s="307">
        <f t="shared" ref="S11:S12" si="9">+R11*$X$1</f>
        <v>1105</v>
      </c>
      <c r="T11" s="548">
        <f>F11+35</f>
        <v>1098</v>
      </c>
      <c r="U11" s="307">
        <f t="shared" ref="U11:U12" si="10">+T11*$X$1</f>
        <v>1098</v>
      </c>
      <c r="V11" s="548">
        <f>F11+30</f>
        <v>1093</v>
      </c>
      <c r="W11" s="307">
        <f t="shared" ref="W11:W12" si="11">+V11*$X$1</f>
        <v>1093</v>
      </c>
      <c r="X11" s="136"/>
      <c r="Y11" s="136"/>
      <c r="Z11" s="136"/>
      <c r="AA11" s="136"/>
      <c r="AB11" s="35"/>
      <c r="AE11" s="62"/>
      <c r="AF11" s="766" t="s">
        <v>23</v>
      </c>
      <c r="AG11" s="766"/>
      <c r="AH11" s="766"/>
    </row>
    <row r="12" spans="1:39" ht="12.6" customHeight="1" x14ac:dyDescent="0.2">
      <c r="A12" s="18"/>
      <c r="B12" s="714" t="s">
        <v>746</v>
      </c>
      <c r="C12" s="626"/>
      <c r="D12" s="626"/>
      <c r="E12" s="626"/>
      <c r="F12" s="306">
        <v>1163</v>
      </c>
      <c r="G12" s="336">
        <f t="shared" ref="G12:G13" si="12">+F12*$X$1</f>
        <v>1163</v>
      </c>
      <c r="H12" s="298"/>
      <c r="I12" s="372"/>
      <c r="J12" s="72"/>
      <c r="K12" s="306"/>
      <c r="L12" s="613"/>
      <c r="M12" s="306"/>
      <c r="N12" s="613">
        <f>F12+55</f>
        <v>1218</v>
      </c>
      <c r="O12" s="306">
        <f t="shared" si="7"/>
        <v>1218</v>
      </c>
      <c r="P12" s="613">
        <f>F12+50</f>
        <v>1213</v>
      </c>
      <c r="Q12" s="306">
        <f t="shared" si="8"/>
        <v>1213</v>
      </c>
      <c r="R12" s="613">
        <f>F12+42</f>
        <v>1205</v>
      </c>
      <c r="S12" s="306">
        <f t="shared" si="9"/>
        <v>1205</v>
      </c>
      <c r="T12" s="613">
        <f>F12+35</f>
        <v>1198</v>
      </c>
      <c r="U12" s="306">
        <f t="shared" si="10"/>
        <v>1198</v>
      </c>
      <c r="V12" s="613">
        <f>F12+30</f>
        <v>1193</v>
      </c>
      <c r="W12" s="306">
        <f t="shared" si="11"/>
        <v>1193</v>
      </c>
      <c r="X12" s="136"/>
      <c r="Y12" s="136"/>
      <c r="Z12" s="136"/>
      <c r="AA12" s="136"/>
      <c r="AB12" s="452">
        <v>15</v>
      </c>
      <c r="AE12" s="62"/>
      <c r="AF12" s="766" t="s">
        <v>440</v>
      </c>
      <c r="AG12" s="766"/>
      <c r="AH12" s="766"/>
    </row>
    <row r="13" spans="1:39" ht="12.6" customHeight="1" x14ac:dyDescent="0.2">
      <c r="A13" s="18"/>
      <c r="B13" s="666" t="s">
        <v>442</v>
      </c>
      <c r="C13" s="683"/>
      <c r="D13" s="683"/>
      <c r="E13" s="684"/>
      <c r="F13" s="307">
        <v>510</v>
      </c>
      <c r="G13" s="335">
        <f t="shared" si="12"/>
        <v>510</v>
      </c>
      <c r="H13" s="297"/>
      <c r="I13" s="373"/>
      <c r="J13" s="548">
        <f>F13+120</f>
        <v>630</v>
      </c>
      <c r="K13" s="307">
        <f t="shared" ref="K13:K14" si="13">+J13*$X$1</f>
        <v>630</v>
      </c>
      <c r="L13" s="548">
        <f>F13+90</f>
        <v>600</v>
      </c>
      <c r="M13" s="307">
        <f t="shared" ref="M13:M14" si="14">+L13*$X$1</f>
        <v>600</v>
      </c>
      <c r="N13" s="548">
        <f>F13+55</f>
        <v>565</v>
      </c>
      <c r="O13" s="307">
        <f t="shared" ref="O13:O14" si="15">+N13*$X$1</f>
        <v>565</v>
      </c>
      <c r="P13" s="548">
        <f>F13+49</f>
        <v>559</v>
      </c>
      <c r="Q13" s="307">
        <f t="shared" ref="Q13:Q14" si="16">+P13*$X$1</f>
        <v>559</v>
      </c>
      <c r="R13" s="548">
        <f>F13+42</f>
        <v>552</v>
      </c>
      <c r="S13" s="307">
        <f t="shared" ref="S13:S14" si="17">+R13*$X$1</f>
        <v>552</v>
      </c>
      <c r="T13" s="548">
        <f>F13+34</f>
        <v>544</v>
      </c>
      <c r="U13" s="307">
        <f t="shared" ref="U13:U14" si="18">+T13*$X$1</f>
        <v>544</v>
      </c>
      <c r="V13" s="548"/>
      <c r="W13" s="307"/>
      <c r="X13" s="136"/>
      <c r="Y13" s="136"/>
      <c r="Z13" s="136"/>
      <c r="AA13" s="136"/>
      <c r="AB13" s="452">
        <v>17</v>
      </c>
      <c r="AE13" s="62"/>
      <c r="AF13" s="766" t="s">
        <v>392</v>
      </c>
      <c r="AG13" s="766"/>
      <c r="AH13" s="766"/>
      <c r="AI13" s="62"/>
    </row>
    <row r="14" spans="1:39" ht="12.6" customHeight="1" x14ac:dyDescent="0.2">
      <c r="A14" s="18"/>
      <c r="B14" s="953" t="s">
        <v>762</v>
      </c>
      <c r="C14" s="954"/>
      <c r="D14" s="954"/>
      <c r="E14" s="955"/>
      <c r="F14" s="423">
        <f>29.8*X2</f>
        <v>28935.8</v>
      </c>
      <c r="G14" s="336">
        <f>+F14*$X$1</f>
        <v>28935.8</v>
      </c>
      <c r="H14" s="618">
        <f>F14+400</f>
        <v>29335.8</v>
      </c>
      <c r="I14" s="306">
        <f t="shared" ref="I14" si="19">+H14*$X$1</f>
        <v>29335.8</v>
      </c>
      <c r="J14" s="613">
        <f>F14+150</f>
        <v>29085.8</v>
      </c>
      <c r="K14" s="306">
        <f t="shared" si="13"/>
        <v>29085.8</v>
      </c>
      <c r="L14" s="613">
        <f>F14+100</f>
        <v>29035.8</v>
      </c>
      <c r="M14" s="306">
        <f t="shared" si="14"/>
        <v>29035.8</v>
      </c>
      <c r="N14" s="613">
        <f>F14+70</f>
        <v>29005.8</v>
      </c>
      <c r="O14" s="306">
        <f t="shared" si="15"/>
        <v>29005.8</v>
      </c>
      <c r="P14" s="613">
        <f>F14+60</f>
        <v>28995.8</v>
      </c>
      <c r="Q14" s="306">
        <f t="shared" si="16"/>
        <v>28995.8</v>
      </c>
      <c r="R14" s="613">
        <f>F14+55</f>
        <v>28990.799999999999</v>
      </c>
      <c r="S14" s="306">
        <f t="shared" si="17"/>
        <v>28990.799999999999</v>
      </c>
      <c r="T14" s="613">
        <f>F14+49</f>
        <v>28984.799999999999</v>
      </c>
      <c r="U14" s="306">
        <f t="shared" si="18"/>
        <v>28984.799999999999</v>
      </c>
      <c r="V14" s="613"/>
      <c r="W14" s="306"/>
      <c r="X14" s="623"/>
      <c r="Y14" s="761"/>
      <c r="Z14" s="761"/>
      <c r="AA14" s="624"/>
      <c r="AB14" s="452">
        <v>18</v>
      </c>
      <c r="AE14" s="73"/>
      <c r="AF14" s="766" t="s">
        <v>393</v>
      </c>
      <c r="AG14" s="766"/>
      <c r="AH14" s="766"/>
      <c r="AI14" s="62"/>
    </row>
    <row r="15" spans="1:39" ht="12.6" customHeight="1" x14ac:dyDescent="0.2">
      <c r="A15" s="98"/>
      <c r="B15" s="666" t="s">
        <v>25</v>
      </c>
      <c r="C15" s="683"/>
      <c r="D15" s="683"/>
      <c r="E15" s="684"/>
      <c r="F15" s="422">
        <f>4.1*X2</f>
        <v>3981.0999999999995</v>
      </c>
      <c r="G15" s="335">
        <f>+F15*$X$1</f>
        <v>3981.0999999999995</v>
      </c>
      <c r="H15" s="553">
        <f>F15+400</f>
        <v>4381.0999999999995</v>
      </c>
      <c r="I15" s="307">
        <f t="shared" ref="I15:I16" si="20">+H15*$X$1</f>
        <v>4381.0999999999995</v>
      </c>
      <c r="J15" s="548"/>
      <c r="K15" s="309"/>
      <c r="L15" s="548"/>
      <c r="M15" s="307"/>
      <c r="N15" s="548"/>
      <c r="O15" s="307"/>
      <c r="P15" s="104"/>
      <c r="Q15" s="830" t="s">
        <v>152</v>
      </c>
      <c r="R15" s="831"/>
      <c r="S15" s="831"/>
      <c r="T15" s="831"/>
      <c r="U15" s="831"/>
      <c r="V15" s="831"/>
      <c r="W15" s="832"/>
      <c r="X15" s="623"/>
      <c r="Y15" s="761"/>
      <c r="Z15" s="761"/>
      <c r="AA15" s="624"/>
      <c r="AB15" s="452">
        <v>24</v>
      </c>
      <c r="AE15" s="73"/>
      <c r="AF15" s="773" t="s">
        <v>24</v>
      </c>
      <c r="AG15" s="773"/>
      <c r="AH15" s="773"/>
      <c r="AI15" s="773"/>
      <c r="AJ15" s="100"/>
    </row>
    <row r="16" spans="1:39" ht="12.6" customHeight="1" x14ac:dyDescent="0.2">
      <c r="A16" s="131"/>
      <c r="B16" s="758" t="s">
        <v>585</v>
      </c>
      <c r="C16" s="759"/>
      <c r="D16" s="759"/>
      <c r="E16" s="760"/>
      <c r="F16" s="423">
        <f>4.1*X2</f>
        <v>3981.0999999999995</v>
      </c>
      <c r="G16" s="336">
        <f>+F16*$X$1</f>
        <v>3981.0999999999995</v>
      </c>
      <c r="H16" s="351">
        <f>F16+400</f>
        <v>4381.0999999999995</v>
      </c>
      <c r="I16" s="306">
        <f t="shared" si="20"/>
        <v>4381.0999999999995</v>
      </c>
      <c r="J16" s="613"/>
      <c r="K16" s="308"/>
      <c r="L16" s="116"/>
      <c r="M16" s="308"/>
      <c r="N16" s="116">
        <f>F16+40</f>
        <v>4021.0999999999995</v>
      </c>
      <c r="O16" s="306"/>
      <c r="P16" s="298"/>
      <c r="Q16" s="862" t="s">
        <v>152</v>
      </c>
      <c r="R16" s="863"/>
      <c r="S16" s="863"/>
      <c r="T16" s="863"/>
      <c r="U16" s="863"/>
      <c r="V16" s="863"/>
      <c r="W16" s="864"/>
      <c r="X16" s="256"/>
      <c r="Y16" s="200"/>
      <c r="Z16" s="200"/>
      <c r="AA16" s="199"/>
      <c r="AB16" s="452">
        <v>25</v>
      </c>
      <c r="AE16" s="73"/>
      <c r="AI16" s="99"/>
      <c r="AJ16" s="100"/>
    </row>
    <row r="17" spans="1:37" ht="12.6" customHeight="1" x14ac:dyDescent="0.2">
      <c r="A17" s="130"/>
      <c r="B17" s="666" t="s">
        <v>26</v>
      </c>
      <c r="C17" s="683"/>
      <c r="D17" s="683"/>
      <c r="E17" s="684"/>
      <c r="F17" s="307"/>
      <c r="G17" s="367"/>
      <c r="H17" s="297"/>
      <c r="I17" s="373"/>
      <c r="J17" s="548"/>
      <c r="K17" s="309"/>
      <c r="L17" s="548"/>
      <c r="M17" s="307"/>
      <c r="N17" s="548"/>
      <c r="O17" s="307"/>
      <c r="P17" s="104"/>
      <c r="Q17" s="307"/>
      <c r="R17" s="548"/>
      <c r="S17" s="307"/>
      <c r="T17" s="548"/>
      <c r="U17" s="307"/>
      <c r="V17" s="96"/>
      <c r="W17" s="307"/>
      <c r="X17" s="623"/>
      <c r="Y17" s="761"/>
      <c r="Z17" s="761"/>
      <c r="AA17" s="624"/>
      <c r="AB17" s="35"/>
      <c r="AF17" s="773" t="s">
        <v>405</v>
      </c>
      <c r="AG17" s="773"/>
      <c r="AH17" s="773"/>
      <c r="AI17" s="774"/>
      <c r="AJ17" s="774"/>
    </row>
    <row r="18" spans="1:37" ht="12.6" customHeight="1" x14ac:dyDescent="0.2">
      <c r="A18" s="18"/>
      <c r="B18" s="758" t="s">
        <v>27</v>
      </c>
      <c r="C18" s="644"/>
      <c r="D18" s="644"/>
      <c r="E18" s="645"/>
      <c r="F18" s="306">
        <v>4171</v>
      </c>
      <c r="G18" s="336">
        <f t="shared" ref="G18:G24" si="21">+F18*$X$1</f>
        <v>4171</v>
      </c>
      <c r="H18" s="618">
        <f>F18+400</f>
        <v>4571</v>
      </c>
      <c r="I18" s="306">
        <f t="shared" ref="I18:I19" si="22">+H18*$X$1</f>
        <v>4571</v>
      </c>
      <c r="J18" s="613">
        <f>F18+150</f>
        <v>4321</v>
      </c>
      <c r="K18" s="306">
        <f t="shared" ref="K18:K19" si="23">+J18*$X$1</f>
        <v>4321</v>
      </c>
      <c r="L18" s="613">
        <f>F18+100</f>
        <v>4271</v>
      </c>
      <c r="M18" s="306">
        <f t="shared" ref="M18:M19" si="24">+L18*$X$1</f>
        <v>4271</v>
      </c>
      <c r="N18" s="613">
        <f>F18+70</f>
        <v>4241</v>
      </c>
      <c r="O18" s="306">
        <f t="shared" ref="O18:O19" si="25">+N18*$X$1</f>
        <v>4241</v>
      </c>
      <c r="P18" s="613">
        <f>F18+60</f>
        <v>4231</v>
      </c>
      <c r="Q18" s="306">
        <f t="shared" ref="Q18:Q19" si="26">+P18*$X$1</f>
        <v>4231</v>
      </c>
      <c r="R18" s="613">
        <f>F18+55</f>
        <v>4226</v>
      </c>
      <c r="S18" s="306">
        <f t="shared" ref="S18:S19" si="27">+R18*$X$1</f>
        <v>4226</v>
      </c>
      <c r="T18" s="613">
        <f>F18+49</f>
        <v>4220</v>
      </c>
      <c r="U18" s="306">
        <f t="shared" ref="U18:U19" si="28">+T18*$X$1</f>
        <v>4220</v>
      </c>
      <c r="V18" s="613"/>
      <c r="W18" s="306"/>
      <c r="X18" s="623"/>
      <c r="Y18" s="761"/>
      <c r="Z18" s="761"/>
      <c r="AA18" s="624"/>
      <c r="AB18" s="452" t="s">
        <v>28</v>
      </c>
      <c r="AE18" s="73"/>
      <c r="AF18" s="773" t="s">
        <v>406</v>
      </c>
      <c r="AG18" s="773"/>
      <c r="AH18" s="773"/>
      <c r="AI18" s="773"/>
      <c r="AJ18" s="74"/>
    </row>
    <row r="19" spans="1:37" ht="12.6" customHeight="1" x14ac:dyDescent="0.2">
      <c r="A19" s="18"/>
      <c r="B19" s="737" t="s">
        <v>29</v>
      </c>
      <c r="C19" s="670"/>
      <c r="D19" s="670"/>
      <c r="E19" s="670"/>
      <c r="F19" s="307">
        <v>4171</v>
      </c>
      <c r="G19" s="335">
        <f t="shared" ref="G19" si="29">+F19*$X$1</f>
        <v>4171</v>
      </c>
      <c r="H19" s="619">
        <f>F19+400</f>
        <v>4571</v>
      </c>
      <c r="I19" s="307">
        <f t="shared" si="22"/>
        <v>4571</v>
      </c>
      <c r="J19" s="548">
        <f>F19+150</f>
        <v>4321</v>
      </c>
      <c r="K19" s="307">
        <f t="shared" si="23"/>
        <v>4321</v>
      </c>
      <c r="L19" s="548">
        <f>F19+100</f>
        <v>4271</v>
      </c>
      <c r="M19" s="307">
        <f t="shared" si="24"/>
        <v>4271</v>
      </c>
      <c r="N19" s="548">
        <f>F19+70</f>
        <v>4241</v>
      </c>
      <c r="O19" s="307">
        <f t="shared" si="25"/>
        <v>4241</v>
      </c>
      <c r="P19" s="548">
        <f>F19+60</f>
        <v>4231</v>
      </c>
      <c r="Q19" s="307">
        <f t="shared" si="26"/>
        <v>4231</v>
      </c>
      <c r="R19" s="548">
        <f>F19+55</f>
        <v>4226</v>
      </c>
      <c r="S19" s="307">
        <f t="shared" si="27"/>
        <v>4226</v>
      </c>
      <c r="T19" s="548">
        <f>F19+49</f>
        <v>4220</v>
      </c>
      <c r="U19" s="307">
        <f t="shared" si="28"/>
        <v>4220</v>
      </c>
      <c r="V19" s="548"/>
      <c r="W19" s="307"/>
      <c r="X19" s="623"/>
      <c r="Y19" s="761"/>
      <c r="Z19" s="761"/>
      <c r="AA19" s="624"/>
      <c r="AB19" s="452" t="s">
        <v>30</v>
      </c>
      <c r="AE19" s="73"/>
      <c r="AF19" s="773" t="s">
        <v>426</v>
      </c>
      <c r="AG19" s="773"/>
      <c r="AH19" s="773"/>
      <c r="AI19" s="773"/>
      <c r="AJ19" s="774"/>
    </row>
    <row r="20" spans="1:37" ht="12.6" customHeight="1" x14ac:dyDescent="0.2">
      <c r="A20" s="18"/>
      <c r="B20" s="714" t="s">
        <v>369</v>
      </c>
      <c r="C20" s="626"/>
      <c r="D20" s="626"/>
      <c r="E20" s="626"/>
      <c r="F20" s="306">
        <v>595</v>
      </c>
      <c r="G20" s="382">
        <f t="shared" si="21"/>
        <v>595</v>
      </c>
      <c r="H20" s="303"/>
      <c r="I20" s="394"/>
      <c r="J20" s="217"/>
      <c r="K20" s="308"/>
      <c r="L20" s="116"/>
      <c r="M20" s="308"/>
      <c r="N20" s="116"/>
      <c r="O20" s="306"/>
      <c r="P20" s="298"/>
      <c r="Q20" s="372"/>
      <c r="R20" s="613"/>
      <c r="S20" s="306"/>
      <c r="T20" s="613"/>
      <c r="U20" s="306"/>
      <c r="V20" s="613"/>
      <c r="W20" s="306"/>
      <c r="X20" s="136"/>
      <c r="Y20" s="136"/>
      <c r="Z20" s="136"/>
      <c r="AA20" s="136"/>
      <c r="AB20" s="452">
        <v>35</v>
      </c>
      <c r="AE20" s="73"/>
      <c r="AF20" s="773" t="s">
        <v>370</v>
      </c>
      <c r="AG20" s="774"/>
      <c r="AH20" s="774"/>
      <c r="AI20" s="774"/>
      <c r="AJ20" s="74"/>
    </row>
    <row r="21" spans="1:37" ht="12.6" customHeight="1" x14ac:dyDescent="0.2">
      <c r="A21" s="18"/>
      <c r="B21" s="737" t="s">
        <v>368</v>
      </c>
      <c r="C21" s="670"/>
      <c r="D21" s="670"/>
      <c r="E21" s="670"/>
      <c r="F21" s="307">
        <v>1930</v>
      </c>
      <c r="G21" s="367">
        <f t="shared" si="21"/>
        <v>1930</v>
      </c>
      <c r="H21" s="297"/>
      <c r="I21" s="373"/>
      <c r="J21" s="125"/>
      <c r="K21" s="307"/>
      <c r="L21" s="548"/>
      <c r="M21" s="307"/>
      <c r="N21" s="548"/>
      <c r="O21" s="307"/>
      <c r="P21" s="297"/>
      <c r="Q21" s="373"/>
      <c r="R21" s="548"/>
      <c r="S21" s="395"/>
      <c r="T21" s="104"/>
      <c r="U21" s="343"/>
      <c r="V21" s="104"/>
      <c r="W21" s="307"/>
      <c r="X21" s="136"/>
      <c r="Y21" s="136"/>
      <c r="Z21" s="136"/>
      <c r="AA21" s="136"/>
      <c r="AB21" s="452">
        <v>36</v>
      </c>
      <c r="AE21" s="73"/>
      <c r="AF21" s="773" t="s">
        <v>528</v>
      </c>
      <c r="AG21" s="773"/>
      <c r="AH21" s="773"/>
      <c r="AI21" s="773"/>
      <c r="AJ21" s="74"/>
    </row>
    <row r="22" spans="1:37" ht="12.6" customHeight="1" x14ac:dyDescent="0.2">
      <c r="A22" s="18"/>
      <c r="B22" s="714" t="s">
        <v>31</v>
      </c>
      <c r="C22" s="626"/>
      <c r="D22" s="626"/>
      <c r="E22" s="626"/>
      <c r="F22" s="306">
        <v>1930</v>
      </c>
      <c r="G22" s="330">
        <f t="shared" si="21"/>
        <v>1930</v>
      </c>
      <c r="H22" s="303"/>
      <c r="I22" s="376"/>
      <c r="J22" s="126"/>
      <c r="K22" s="306"/>
      <c r="L22" s="613"/>
      <c r="M22" s="306"/>
      <c r="N22" s="613"/>
      <c r="O22" s="306"/>
      <c r="P22" s="303"/>
      <c r="Q22" s="376"/>
      <c r="R22" s="613"/>
      <c r="S22" s="347"/>
      <c r="T22" s="613"/>
      <c r="U22" s="306"/>
      <c r="V22" s="613"/>
      <c r="W22" s="306"/>
      <c r="X22" s="136"/>
      <c r="Y22" s="136"/>
      <c r="Z22" s="136"/>
      <c r="AA22" s="136"/>
      <c r="AB22" s="452" t="s">
        <v>32</v>
      </c>
      <c r="AE22" s="73"/>
      <c r="AF22" s="773" t="s">
        <v>33</v>
      </c>
      <c r="AG22" s="773"/>
      <c r="AH22" s="773"/>
      <c r="AI22" s="773"/>
      <c r="AJ22" s="74"/>
    </row>
    <row r="23" spans="1:37" ht="12.6" customHeight="1" x14ac:dyDescent="0.2">
      <c r="A23" s="18"/>
      <c r="B23" s="737" t="s">
        <v>34</v>
      </c>
      <c r="C23" s="670"/>
      <c r="D23" s="670"/>
      <c r="E23" s="670"/>
      <c r="F23" s="307"/>
      <c r="G23" s="367"/>
      <c r="H23" s="297"/>
      <c r="I23" s="373"/>
      <c r="J23" s="125"/>
      <c r="K23" s="309"/>
      <c r="L23" s="96"/>
      <c r="M23" s="309"/>
      <c r="N23" s="96"/>
      <c r="O23" s="309"/>
      <c r="P23" s="96"/>
      <c r="Q23" s="309"/>
      <c r="R23" s="96"/>
      <c r="S23" s="416"/>
      <c r="T23" s="96"/>
      <c r="U23" s="378"/>
      <c r="V23" s="96"/>
      <c r="W23" s="309"/>
      <c r="X23" s="136"/>
      <c r="Y23" s="136"/>
      <c r="Z23" s="136"/>
      <c r="AA23" s="136"/>
      <c r="AB23" s="452" t="s">
        <v>35</v>
      </c>
      <c r="AD23" s="23"/>
      <c r="AE23" s="75"/>
      <c r="AF23" s="773" t="s">
        <v>36</v>
      </c>
      <c r="AG23" s="774"/>
      <c r="AH23" s="774"/>
      <c r="AI23" s="774"/>
      <c r="AJ23" s="74"/>
    </row>
    <row r="24" spans="1:37" ht="12.6" customHeight="1" x14ac:dyDescent="0.2">
      <c r="A24" s="18"/>
      <c r="B24" s="758" t="s">
        <v>37</v>
      </c>
      <c r="C24" s="644"/>
      <c r="D24" s="644"/>
      <c r="E24" s="645"/>
      <c r="F24" s="417">
        <f>6.35*X2</f>
        <v>6165.8499999999995</v>
      </c>
      <c r="G24" s="306">
        <f t="shared" si="21"/>
        <v>6165.8499999999995</v>
      </c>
      <c r="H24" s="618"/>
      <c r="I24" s="306"/>
      <c r="J24" s="613"/>
      <c r="K24" s="306"/>
      <c r="L24" s="613">
        <f>F24+100</f>
        <v>6265.8499999999995</v>
      </c>
      <c r="M24" s="306">
        <f t="shared" ref="M24" si="30">+L24*$X$1</f>
        <v>6265.8499999999995</v>
      </c>
      <c r="N24" s="613">
        <f>F24+70</f>
        <v>6235.8499999999995</v>
      </c>
      <c r="O24" s="306">
        <f t="shared" ref="O24" si="31">+N24*$X$1</f>
        <v>6235.8499999999995</v>
      </c>
      <c r="P24" s="613">
        <f>F24+60</f>
        <v>6225.8499999999995</v>
      </c>
      <c r="Q24" s="306">
        <f t="shared" ref="Q24" si="32">+P24*$X$1</f>
        <v>6225.8499999999995</v>
      </c>
      <c r="R24" s="613">
        <f>F24+55</f>
        <v>6220.8499999999995</v>
      </c>
      <c r="S24" s="306">
        <f t="shared" ref="S24" si="33">+R24*$X$1</f>
        <v>6220.8499999999995</v>
      </c>
      <c r="T24" s="613">
        <f>F24+49</f>
        <v>6214.8499999999995</v>
      </c>
      <c r="U24" s="306">
        <f t="shared" ref="U24" si="34">+T24*$X$1</f>
        <v>6214.8499999999995</v>
      </c>
      <c r="V24" s="613"/>
      <c r="W24" s="306"/>
      <c r="X24" s="623"/>
      <c r="Y24" s="748"/>
      <c r="Z24" s="748"/>
      <c r="AA24" s="692"/>
      <c r="AB24" s="452">
        <v>39</v>
      </c>
      <c r="AE24" s="73"/>
      <c r="AF24" s="773" t="s">
        <v>806</v>
      </c>
      <c r="AG24" s="773"/>
      <c r="AH24" s="773"/>
      <c r="AI24" s="774"/>
      <c r="AJ24" s="774"/>
    </row>
    <row r="25" spans="1:37" ht="12.6" customHeight="1" x14ac:dyDescent="0.2">
      <c r="A25" s="18"/>
      <c r="B25" s="775" t="s">
        <v>38</v>
      </c>
      <c r="C25" s="776"/>
      <c r="D25" s="776"/>
      <c r="E25" s="777"/>
      <c r="F25" s="309"/>
      <c r="G25" s="307"/>
      <c r="H25" s="297"/>
      <c r="I25" s="373"/>
      <c r="J25" s="125"/>
      <c r="K25" s="307"/>
      <c r="L25" s="548"/>
      <c r="M25" s="307"/>
      <c r="N25" s="548"/>
      <c r="O25" s="307"/>
      <c r="P25" s="299"/>
      <c r="Q25" s="307"/>
      <c r="R25" s="548"/>
      <c r="S25" s="307"/>
      <c r="T25" s="548"/>
      <c r="U25" s="307"/>
      <c r="V25" s="548"/>
      <c r="W25" s="307"/>
      <c r="X25" s="135"/>
      <c r="Y25" s="136"/>
      <c r="Z25" s="136"/>
      <c r="AA25" s="136"/>
      <c r="AB25" s="452" t="s">
        <v>39</v>
      </c>
      <c r="AE25" s="73"/>
      <c r="AF25" s="773" t="s">
        <v>40</v>
      </c>
      <c r="AG25" s="773"/>
      <c r="AH25" s="773"/>
      <c r="AI25" s="773"/>
      <c r="AJ25" s="74"/>
    </row>
    <row r="26" spans="1:37" ht="12.6" customHeight="1" x14ac:dyDescent="0.2">
      <c r="A26" s="18"/>
      <c r="B26" s="714" t="s">
        <v>41</v>
      </c>
      <c r="C26" s="626"/>
      <c r="D26" s="626"/>
      <c r="E26" s="626"/>
      <c r="F26" s="417"/>
      <c r="G26" s="306"/>
      <c r="H26" s="298"/>
      <c r="I26" s="372"/>
      <c r="J26" s="613"/>
      <c r="K26" s="306"/>
      <c r="L26" s="613">
        <f>6.7*X2</f>
        <v>6505.7</v>
      </c>
      <c r="M26" s="306">
        <f t="shared" ref="M26:M27" si="35">+L26*$X$1</f>
        <v>6505.7</v>
      </c>
      <c r="N26" s="613">
        <f>6.5*X2</f>
        <v>6311.5</v>
      </c>
      <c r="O26" s="306">
        <f t="shared" ref="O26:O27" si="36">+N26*$X$1</f>
        <v>6311.5</v>
      </c>
      <c r="P26" s="345">
        <f>6.3*X2</f>
        <v>6117.3</v>
      </c>
      <c r="Q26" s="306">
        <f t="shared" ref="Q26:Q27" si="37">+P26*$X$1</f>
        <v>6117.3</v>
      </c>
      <c r="R26" s="613">
        <f>6.1*X2</f>
        <v>5923.0999999999995</v>
      </c>
      <c r="S26" s="306">
        <f t="shared" ref="S26:S27" si="38">+R26*$X$1</f>
        <v>5923.0999999999995</v>
      </c>
      <c r="T26" s="613">
        <f>6*X2</f>
        <v>5826</v>
      </c>
      <c r="U26" s="306">
        <f t="shared" ref="U26:U27" si="39">+T26*$X$1</f>
        <v>5826</v>
      </c>
      <c r="V26" s="613"/>
      <c r="W26" s="306"/>
      <c r="X26" s="627"/>
      <c r="Y26" s="748"/>
      <c r="Z26" s="748"/>
      <c r="AA26" s="692"/>
      <c r="AB26" s="452">
        <v>40</v>
      </c>
      <c r="AE26" s="73"/>
      <c r="AF26" s="773" t="s">
        <v>42</v>
      </c>
      <c r="AG26" s="773"/>
      <c r="AH26" s="773"/>
      <c r="AI26" s="773"/>
      <c r="AJ26" s="774"/>
    </row>
    <row r="27" spans="1:37" ht="12.6" customHeight="1" x14ac:dyDescent="0.2">
      <c r="A27" s="18"/>
      <c r="B27" s="666" t="s">
        <v>380</v>
      </c>
      <c r="C27" s="683"/>
      <c r="D27" s="683"/>
      <c r="E27" s="684"/>
      <c r="F27" s="422">
        <f>8.3*X2</f>
        <v>8059.3000000000011</v>
      </c>
      <c r="G27" s="307">
        <f>+F27*$X$1</f>
        <v>8059.3000000000011</v>
      </c>
      <c r="H27" s="297"/>
      <c r="I27" s="373"/>
      <c r="J27" s="548">
        <f>F27+120</f>
        <v>8179.3000000000011</v>
      </c>
      <c r="K27" s="307">
        <f t="shared" ref="K27" si="40">+J27*$X$1</f>
        <v>8179.3000000000011</v>
      </c>
      <c r="L27" s="548">
        <f>F27+100</f>
        <v>8159.3000000000011</v>
      </c>
      <c r="M27" s="307">
        <f t="shared" si="35"/>
        <v>8159.3000000000011</v>
      </c>
      <c r="N27" s="548">
        <f>F27+70</f>
        <v>8129.3000000000011</v>
      </c>
      <c r="O27" s="307">
        <f t="shared" si="36"/>
        <v>8129.3000000000011</v>
      </c>
      <c r="P27" s="548">
        <f>F27+60</f>
        <v>8119.3000000000011</v>
      </c>
      <c r="Q27" s="307">
        <f t="shared" si="37"/>
        <v>8119.3000000000011</v>
      </c>
      <c r="R27" s="548">
        <f>F27+55</f>
        <v>8114.3000000000011</v>
      </c>
      <c r="S27" s="307">
        <f t="shared" si="38"/>
        <v>8114.3000000000011</v>
      </c>
      <c r="T27" s="548">
        <f>F27+49</f>
        <v>8108.3000000000011</v>
      </c>
      <c r="U27" s="307">
        <f t="shared" si="39"/>
        <v>8108.3000000000011</v>
      </c>
      <c r="V27" s="548"/>
      <c r="W27" s="307"/>
      <c r="X27" s="221"/>
      <c r="Y27" s="171"/>
      <c r="Z27" s="171"/>
      <c r="AA27" s="172"/>
      <c r="AB27" s="452">
        <v>44</v>
      </c>
      <c r="AE27" s="73"/>
      <c r="AF27" s="773" t="s">
        <v>447</v>
      </c>
      <c r="AG27" s="773"/>
      <c r="AH27" s="773"/>
      <c r="AI27" s="774"/>
      <c r="AJ27" s="774"/>
      <c r="AK27" s="66"/>
    </row>
    <row r="28" spans="1:37" ht="12.6" customHeight="1" x14ac:dyDescent="0.2">
      <c r="A28" s="18"/>
      <c r="B28" s="877" t="s">
        <v>721</v>
      </c>
      <c r="C28" s="722"/>
      <c r="D28" s="722"/>
      <c r="E28" s="722"/>
      <c r="F28" s="417">
        <f>0.49*X2</f>
        <v>475.78999999999996</v>
      </c>
      <c r="G28" s="306">
        <f>+F28*$X$1</f>
        <v>475.78999999999996</v>
      </c>
      <c r="H28" s="298"/>
      <c r="I28" s="372"/>
      <c r="J28" s="72"/>
      <c r="K28" s="306"/>
      <c r="L28" s="613">
        <f>F28+90</f>
        <v>565.79</v>
      </c>
      <c r="M28" s="306">
        <f t="shared" ref="M28" si="41">+L28*$X$1</f>
        <v>565.79</v>
      </c>
      <c r="N28" s="613">
        <f>F28+55</f>
        <v>530.79</v>
      </c>
      <c r="O28" s="306">
        <f t="shared" ref="O28" si="42">+N28*$X$1</f>
        <v>530.79</v>
      </c>
      <c r="P28" s="613">
        <f>F28+50</f>
        <v>525.79</v>
      </c>
      <c r="Q28" s="306">
        <f t="shared" ref="Q28" si="43">+P28*$X$1</f>
        <v>525.79</v>
      </c>
      <c r="R28" s="613">
        <f>F28+42</f>
        <v>517.79</v>
      </c>
      <c r="S28" s="306">
        <f t="shared" ref="S28" si="44">+R28*$X$1</f>
        <v>517.79</v>
      </c>
      <c r="T28" s="613">
        <f>F28+35</f>
        <v>510.78999999999996</v>
      </c>
      <c r="U28" s="306">
        <f t="shared" ref="U28" si="45">+T28*$X$1</f>
        <v>510.78999999999996</v>
      </c>
      <c r="V28" s="613">
        <f>F28+30</f>
        <v>505.78999999999996</v>
      </c>
      <c r="W28" s="306">
        <f t="shared" ref="W28" si="46">+V28*$X$1</f>
        <v>505.78999999999996</v>
      </c>
      <c r="X28" s="136"/>
      <c r="Y28" s="136"/>
      <c r="Z28" s="136"/>
      <c r="AA28" s="136"/>
      <c r="AB28" s="452">
        <v>45</v>
      </c>
      <c r="AF28" s="773" t="s">
        <v>805</v>
      </c>
      <c r="AG28" s="773"/>
      <c r="AH28" s="773"/>
      <c r="AI28" s="773"/>
      <c r="AJ28" s="773"/>
    </row>
    <row r="29" spans="1:37" ht="12.6" customHeight="1" x14ac:dyDescent="0.2">
      <c r="A29" s="18"/>
      <c r="B29" s="737" t="s">
        <v>43</v>
      </c>
      <c r="C29" s="670"/>
      <c r="D29" s="670"/>
      <c r="E29" s="670"/>
      <c r="F29" s="307">
        <v>510</v>
      </c>
      <c r="G29" s="335">
        <f t="shared" ref="G29:G37" si="47">+F29*$X$1</f>
        <v>510</v>
      </c>
      <c r="H29" s="833" t="s">
        <v>44</v>
      </c>
      <c r="I29" s="833"/>
      <c r="J29" s="834"/>
      <c r="K29" s="835"/>
      <c r="L29" s="297"/>
      <c r="M29" s="373"/>
      <c r="N29" s="91">
        <v>1523</v>
      </c>
      <c r="O29" s="335">
        <f t="shared" ref="O29:O40" si="48">+N29*$X$1</f>
        <v>1523</v>
      </c>
      <c r="P29" s="299">
        <v>1404</v>
      </c>
      <c r="Q29" s="431">
        <f t="shared" ref="Q29:S53" si="49">+P29*$X$1</f>
        <v>1404</v>
      </c>
      <c r="R29" s="104">
        <v>1304</v>
      </c>
      <c r="S29" s="328">
        <f t="shared" si="49"/>
        <v>1304</v>
      </c>
      <c r="T29" s="548">
        <v>1206</v>
      </c>
      <c r="U29" s="328">
        <f t="shared" ref="U29:U46" si="50">+T29*$X$1</f>
        <v>1206</v>
      </c>
      <c r="V29" s="548">
        <v>1171</v>
      </c>
      <c r="W29" s="307">
        <f t="shared" ref="W29:W46" si="51">+V29*$X$1</f>
        <v>1171</v>
      </c>
      <c r="X29" s="623"/>
      <c r="Y29" s="748"/>
      <c r="Z29" s="748"/>
      <c r="AA29" s="692"/>
      <c r="AB29" s="452" t="s">
        <v>45</v>
      </c>
      <c r="AE29" s="73"/>
      <c r="AF29" s="773" t="s">
        <v>623</v>
      </c>
      <c r="AG29" s="773"/>
      <c r="AH29" s="773"/>
      <c r="AI29" s="773"/>
      <c r="AJ29" s="773"/>
    </row>
    <row r="30" spans="1:37" ht="12.6" customHeight="1" x14ac:dyDescent="0.2">
      <c r="A30" s="18"/>
      <c r="B30" s="714" t="s">
        <v>46</v>
      </c>
      <c r="C30" s="626"/>
      <c r="D30" s="626"/>
      <c r="E30" s="626"/>
      <c r="F30" s="306">
        <v>510</v>
      </c>
      <c r="G30" s="336">
        <f t="shared" si="47"/>
        <v>510</v>
      </c>
      <c r="H30" s="752" t="s">
        <v>44</v>
      </c>
      <c r="I30" s="752"/>
      <c r="J30" s="753"/>
      <c r="K30" s="754"/>
      <c r="L30" s="298"/>
      <c r="M30" s="372"/>
      <c r="N30" s="87">
        <v>1523</v>
      </c>
      <c r="O30" s="336">
        <f t="shared" ref="O30:O33" si="52">+N30*$X$1</f>
        <v>1523</v>
      </c>
      <c r="P30" s="345">
        <v>1404</v>
      </c>
      <c r="Q30" s="432">
        <f t="shared" ref="Q30:Q33" si="53">+P30*$X$1</f>
        <v>1404</v>
      </c>
      <c r="R30" s="105">
        <v>1304</v>
      </c>
      <c r="S30" s="271">
        <f t="shared" ref="S30:S33" si="54">+R30*$X$1</f>
        <v>1304</v>
      </c>
      <c r="T30" s="559">
        <v>1206</v>
      </c>
      <c r="U30" s="271">
        <f t="shared" ref="U30:U33" si="55">+T30*$X$1</f>
        <v>1206</v>
      </c>
      <c r="V30" s="559">
        <v>1171</v>
      </c>
      <c r="W30" s="306">
        <f t="shared" ref="W30:W33" si="56">+V30*$X$1</f>
        <v>1171</v>
      </c>
      <c r="X30" s="623"/>
      <c r="Y30" s="748"/>
      <c r="Z30" s="748"/>
      <c r="AA30" s="692"/>
      <c r="AB30" s="452" t="s">
        <v>47</v>
      </c>
    </row>
    <row r="31" spans="1:37" ht="12.6" customHeight="1" x14ac:dyDescent="0.2">
      <c r="A31" s="18"/>
      <c r="B31" s="737" t="s">
        <v>48</v>
      </c>
      <c r="C31" s="670"/>
      <c r="D31" s="670"/>
      <c r="E31" s="670"/>
      <c r="F31" s="307">
        <v>510</v>
      </c>
      <c r="G31" s="335">
        <f t="shared" si="47"/>
        <v>510</v>
      </c>
      <c r="H31" s="749" t="s">
        <v>44</v>
      </c>
      <c r="I31" s="749"/>
      <c r="J31" s="750"/>
      <c r="K31" s="751"/>
      <c r="L31" s="297"/>
      <c r="M31" s="373"/>
      <c r="N31" s="91">
        <v>1523</v>
      </c>
      <c r="O31" s="335">
        <f t="shared" si="52"/>
        <v>1523</v>
      </c>
      <c r="P31" s="299">
        <v>1404</v>
      </c>
      <c r="Q31" s="431">
        <f t="shared" si="53"/>
        <v>1404</v>
      </c>
      <c r="R31" s="104">
        <v>1304</v>
      </c>
      <c r="S31" s="328">
        <f t="shared" si="54"/>
        <v>1304</v>
      </c>
      <c r="T31" s="548">
        <v>1206</v>
      </c>
      <c r="U31" s="328">
        <f t="shared" si="55"/>
        <v>1206</v>
      </c>
      <c r="V31" s="548">
        <v>1171</v>
      </c>
      <c r="W31" s="307">
        <f t="shared" si="56"/>
        <v>1171</v>
      </c>
      <c r="X31" s="623"/>
      <c r="Y31" s="748"/>
      <c r="Z31" s="748"/>
      <c r="AA31" s="692"/>
      <c r="AB31" s="452" t="s">
        <v>49</v>
      </c>
    </row>
    <row r="32" spans="1:37" ht="12.6" customHeight="1" x14ac:dyDescent="0.2">
      <c r="A32" s="18"/>
      <c r="B32" s="714" t="s">
        <v>50</v>
      </c>
      <c r="C32" s="626"/>
      <c r="D32" s="626"/>
      <c r="E32" s="626"/>
      <c r="F32" s="306">
        <v>510</v>
      </c>
      <c r="G32" s="336">
        <f t="shared" si="47"/>
        <v>510</v>
      </c>
      <c r="H32" s="752" t="s">
        <v>44</v>
      </c>
      <c r="I32" s="752"/>
      <c r="J32" s="753"/>
      <c r="K32" s="754"/>
      <c r="L32" s="298"/>
      <c r="M32" s="372"/>
      <c r="N32" s="87">
        <v>1523</v>
      </c>
      <c r="O32" s="336">
        <f t="shared" si="52"/>
        <v>1523</v>
      </c>
      <c r="P32" s="345">
        <v>1404</v>
      </c>
      <c r="Q32" s="432">
        <f t="shared" si="53"/>
        <v>1404</v>
      </c>
      <c r="R32" s="105">
        <v>1304</v>
      </c>
      <c r="S32" s="271">
        <f t="shared" si="54"/>
        <v>1304</v>
      </c>
      <c r="T32" s="559">
        <v>1206</v>
      </c>
      <c r="U32" s="271">
        <f t="shared" si="55"/>
        <v>1206</v>
      </c>
      <c r="V32" s="559">
        <v>1171</v>
      </c>
      <c r="W32" s="306">
        <f t="shared" si="56"/>
        <v>1171</v>
      </c>
      <c r="X32" s="623"/>
      <c r="Y32" s="748"/>
      <c r="Z32" s="748"/>
      <c r="AA32" s="692"/>
      <c r="AB32" s="452" t="s">
        <v>51</v>
      </c>
    </row>
    <row r="33" spans="1:28" ht="12.6" customHeight="1" x14ac:dyDescent="0.2">
      <c r="A33" s="18"/>
      <c r="B33" s="737" t="s">
        <v>52</v>
      </c>
      <c r="C33" s="670"/>
      <c r="D33" s="670"/>
      <c r="E33" s="670"/>
      <c r="F33" s="307">
        <v>510</v>
      </c>
      <c r="G33" s="335">
        <f t="shared" si="47"/>
        <v>510</v>
      </c>
      <c r="H33" s="749" t="s">
        <v>44</v>
      </c>
      <c r="I33" s="749"/>
      <c r="J33" s="750"/>
      <c r="K33" s="751"/>
      <c r="L33" s="297"/>
      <c r="M33" s="373"/>
      <c r="N33" s="91">
        <v>1523</v>
      </c>
      <c r="O33" s="335">
        <f t="shared" si="52"/>
        <v>1523</v>
      </c>
      <c r="P33" s="299">
        <v>1404</v>
      </c>
      <c r="Q33" s="431">
        <f t="shared" si="53"/>
        <v>1404</v>
      </c>
      <c r="R33" s="104">
        <v>1304</v>
      </c>
      <c r="S33" s="328">
        <f t="shared" si="54"/>
        <v>1304</v>
      </c>
      <c r="T33" s="548">
        <v>1206</v>
      </c>
      <c r="U33" s="328">
        <f t="shared" si="55"/>
        <v>1206</v>
      </c>
      <c r="V33" s="548">
        <v>1171</v>
      </c>
      <c r="W33" s="307">
        <f t="shared" si="56"/>
        <v>1171</v>
      </c>
      <c r="X33" s="623"/>
      <c r="Y33" s="748"/>
      <c r="Z33" s="748"/>
      <c r="AA33" s="692"/>
      <c r="AB33" s="452" t="s">
        <v>53</v>
      </c>
    </row>
    <row r="34" spans="1:28" ht="12.6" customHeight="1" x14ac:dyDescent="0.25">
      <c r="A34" s="18"/>
      <c r="B34" s="714" t="s">
        <v>54</v>
      </c>
      <c r="C34" s="626"/>
      <c r="D34" s="626"/>
      <c r="E34" s="626"/>
      <c r="F34" s="306">
        <v>510</v>
      </c>
      <c r="G34" s="336">
        <f t="shared" si="47"/>
        <v>510</v>
      </c>
      <c r="H34" s="752" t="s">
        <v>44</v>
      </c>
      <c r="I34" s="752"/>
      <c r="J34" s="753"/>
      <c r="K34" s="754"/>
      <c r="L34" s="298"/>
      <c r="M34" s="372"/>
      <c r="N34" s="87">
        <v>1322</v>
      </c>
      <c r="O34" s="336">
        <f t="shared" si="48"/>
        <v>1322</v>
      </c>
      <c r="P34" s="345">
        <v>1214</v>
      </c>
      <c r="Q34" s="432">
        <f t="shared" si="49"/>
        <v>1214</v>
      </c>
      <c r="R34" s="559">
        <v>1118</v>
      </c>
      <c r="S34" s="271">
        <f t="shared" si="49"/>
        <v>1118</v>
      </c>
      <c r="T34" s="559">
        <v>1042</v>
      </c>
      <c r="U34" s="271">
        <f t="shared" si="50"/>
        <v>1042</v>
      </c>
      <c r="V34" s="559">
        <v>995</v>
      </c>
      <c r="W34" s="306">
        <f t="shared" si="51"/>
        <v>995</v>
      </c>
      <c r="X34" s="623"/>
      <c r="Y34" s="732"/>
      <c r="Z34" s="732"/>
      <c r="AA34" s="733"/>
      <c r="AB34" s="452" t="s">
        <v>486</v>
      </c>
    </row>
    <row r="35" spans="1:28" ht="12.6" customHeight="1" x14ac:dyDescent="0.2">
      <c r="A35" s="18"/>
      <c r="B35" s="737" t="s">
        <v>55</v>
      </c>
      <c r="C35" s="670"/>
      <c r="D35" s="670"/>
      <c r="E35" s="670"/>
      <c r="F35" s="307">
        <v>510</v>
      </c>
      <c r="G35" s="335">
        <f t="shared" si="47"/>
        <v>510</v>
      </c>
      <c r="H35" s="749" t="s">
        <v>44</v>
      </c>
      <c r="I35" s="749"/>
      <c r="J35" s="750"/>
      <c r="K35" s="751"/>
      <c r="L35" s="297"/>
      <c r="M35" s="373"/>
      <c r="N35" s="91">
        <v>1162</v>
      </c>
      <c r="O35" s="335">
        <f t="shared" ref="O35" si="57">+N35*$X$1</f>
        <v>1162</v>
      </c>
      <c r="P35" s="299">
        <v>1067</v>
      </c>
      <c r="Q35" s="431">
        <f t="shared" ref="Q35" si="58">+P35*$X$1</f>
        <v>1067</v>
      </c>
      <c r="R35" s="104">
        <v>980</v>
      </c>
      <c r="S35" s="328">
        <f t="shared" ref="S35" si="59">+R35*$X$1</f>
        <v>980</v>
      </c>
      <c r="T35" s="548">
        <v>900</v>
      </c>
      <c r="U35" s="328">
        <f t="shared" ref="U35" si="60">+T35*$X$1</f>
        <v>900</v>
      </c>
      <c r="V35" s="548">
        <v>813</v>
      </c>
      <c r="W35" s="307">
        <f t="shared" ref="W35" si="61">+V35*$X$1</f>
        <v>813</v>
      </c>
      <c r="X35" s="623"/>
      <c r="Y35" s="732"/>
      <c r="Z35" s="732"/>
      <c r="AA35" s="733"/>
      <c r="AB35" s="452" t="s">
        <v>484</v>
      </c>
    </row>
    <row r="36" spans="1:28" ht="12.6" customHeight="1" x14ac:dyDescent="0.25">
      <c r="A36" s="18"/>
      <c r="B36" s="714" t="s">
        <v>56</v>
      </c>
      <c r="C36" s="626"/>
      <c r="D36" s="626"/>
      <c r="E36" s="626"/>
      <c r="F36" s="306">
        <v>510</v>
      </c>
      <c r="G36" s="336">
        <f t="shared" si="47"/>
        <v>510</v>
      </c>
      <c r="H36" s="752" t="s">
        <v>44</v>
      </c>
      <c r="I36" s="752"/>
      <c r="J36" s="753"/>
      <c r="K36" s="754"/>
      <c r="L36" s="298"/>
      <c r="M36" s="372"/>
      <c r="N36" s="87">
        <v>1162</v>
      </c>
      <c r="O36" s="336">
        <f t="shared" ref="O36" si="62">+N36*$X$1</f>
        <v>1162</v>
      </c>
      <c r="P36" s="345">
        <v>1067</v>
      </c>
      <c r="Q36" s="432">
        <f t="shared" ref="Q36" si="63">+P36*$X$1</f>
        <v>1067</v>
      </c>
      <c r="R36" s="105">
        <v>980</v>
      </c>
      <c r="S36" s="271">
        <f t="shared" ref="S36" si="64">+R36*$X$1</f>
        <v>980</v>
      </c>
      <c r="T36" s="559">
        <v>900</v>
      </c>
      <c r="U36" s="271">
        <f t="shared" ref="U36" si="65">+T36*$X$1</f>
        <v>900</v>
      </c>
      <c r="V36" s="559">
        <v>813</v>
      </c>
      <c r="W36" s="306">
        <f t="shared" ref="W36" si="66">+V36*$X$1</f>
        <v>813</v>
      </c>
      <c r="X36" s="623"/>
      <c r="Y36" s="732"/>
      <c r="Z36" s="732"/>
      <c r="AA36" s="733"/>
      <c r="AB36" s="452" t="s">
        <v>487</v>
      </c>
    </row>
    <row r="37" spans="1:28" ht="12.6" customHeight="1" x14ac:dyDescent="0.25">
      <c r="A37" s="18"/>
      <c r="B37" s="737" t="s">
        <v>57</v>
      </c>
      <c r="C37" s="670"/>
      <c r="D37" s="670"/>
      <c r="E37" s="670"/>
      <c r="F37" s="307">
        <v>510</v>
      </c>
      <c r="G37" s="335">
        <f t="shared" si="47"/>
        <v>510</v>
      </c>
      <c r="H37" s="749" t="s">
        <v>44</v>
      </c>
      <c r="I37" s="749"/>
      <c r="J37" s="750"/>
      <c r="K37" s="751"/>
      <c r="L37" s="297"/>
      <c r="M37" s="373"/>
      <c r="N37" s="91">
        <v>1580</v>
      </c>
      <c r="O37" s="335">
        <f t="shared" si="48"/>
        <v>1580</v>
      </c>
      <c r="P37" s="299">
        <v>1460</v>
      </c>
      <c r="Q37" s="431">
        <f t="shared" si="49"/>
        <v>1460</v>
      </c>
      <c r="R37" s="548">
        <v>1351</v>
      </c>
      <c r="S37" s="328">
        <f t="shared" si="49"/>
        <v>1351</v>
      </c>
      <c r="T37" s="548">
        <v>1264</v>
      </c>
      <c r="U37" s="328">
        <f t="shared" si="50"/>
        <v>1264</v>
      </c>
      <c r="V37" s="548">
        <v>1216</v>
      </c>
      <c r="W37" s="307">
        <f t="shared" si="51"/>
        <v>1216</v>
      </c>
      <c r="X37" s="623"/>
      <c r="Y37" s="732"/>
      <c r="Z37" s="732"/>
      <c r="AA37" s="733"/>
      <c r="AB37" s="452" t="s">
        <v>485</v>
      </c>
    </row>
    <row r="38" spans="1:28" ht="12.6" customHeight="1" x14ac:dyDescent="0.2">
      <c r="A38" s="18"/>
      <c r="B38" s="714" t="s">
        <v>488</v>
      </c>
      <c r="C38" s="626"/>
      <c r="D38" s="626"/>
      <c r="E38" s="626"/>
      <c r="F38" s="306">
        <v>510</v>
      </c>
      <c r="G38" s="336">
        <f t="shared" ref="G38" si="67">+F38*$X$1</f>
        <v>510</v>
      </c>
      <c r="H38" s="752" t="s">
        <v>44</v>
      </c>
      <c r="I38" s="752"/>
      <c r="J38" s="753"/>
      <c r="K38" s="754"/>
      <c r="L38" s="298"/>
      <c r="M38" s="372"/>
      <c r="N38" s="87">
        <v>1551</v>
      </c>
      <c r="O38" s="336">
        <f t="shared" ref="O38:O39" si="68">+N38*$X$1</f>
        <v>1551</v>
      </c>
      <c r="P38" s="345">
        <v>1434</v>
      </c>
      <c r="Q38" s="432">
        <f t="shared" si="49"/>
        <v>1434</v>
      </c>
      <c r="R38" s="559">
        <v>1329</v>
      </c>
      <c r="S38" s="271">
        <f t="shared" si="49"/>
        <v>1329</v>
      </c>
      <c r="T38" s="559">
        <v>1257</v>
      </c>
      <c r="U38" s="271">
        <f t="shared" si="50"/>
        <v>1257</v>
      </c>
      <c r="V38" s="559">
        <v>1190</v>
      </c>
      <c r="W38" s="306">
        <f t="shared" si="51"/>
        <v>1190</v>
      </c>
      <c r="X38" s="623"/>
      <c r="Y38" s="732"/>
      <c r="Z38" s="732"/>
      <c r="AA38" s="733"/>
      <c r="AB38" s="452" t="s">
        <v>490</v>
      </c>
    </row>
    <row r="39" spans="1:28" ht="12.6" customHeight="1" x14ac:dyDescent="0.2">
      <c r="A39" s="18"/>
      <c r="B39" s="737" t="s">
        <v>489</v>
      </c>
      <c r="C39" s="670"/>
      <c r="D39" s="670"/>
      <c r="E39" s="670"/>
      <c r="F39" s="307">
        <v>510</v>
      </c>
      <c r="G39" s="335">
        <f t="shared" ref="G39" si="69">+F39*$X$1</f>
        <v>510</v>
      </c>
      <c r="H39" s="749" t="s">
        <v>44</v>
      </c>
      <c r="I39" s="749"/>
      <c r="J39" s="750"/>
      <c r="K39" s="751"/>
      <c r="L39" s="297"/>
      <c r="M39" s="373"/>
      <c r="N39" s="91">
        <v>1322</v>
      </c>
      <c r="O39" s="335">
        <f t="shared" si="68"/>
        <v>1322</v>
      </c>
      <c r="P39" s="299">
        <v>1214</v>
      </c>
      <c r="Q39" s="431">
        <f t="shared" ref="Q39" si="70">+P39*$X$1</f>
        <v>1214</v>
      </c>
      <c r="R39" s="548">
        <v>1118</v>
      </c>
      <c r="S39" s="328">
        <f t="shared" ref="S39" si="71">+R39*$X$1</f>
        <v>1118</v>
      </c>
      <c r="T39" s="548">
        <v>1042</v>
      </c>
      <c r="U39" s="328">
        <f t="shared" ref="U39" si="72">+T39*$X$1</f>
        <v>1042</v>
      </c>
      <c r="V39" s="548">
        <v>995</v>
      </c>
      <c r="W39" s="307">
        <f t="shared" ref="W39" si="73">+V39*$X$1</f>
        <v>995</v>
      </c>
      <c r="X39" s="623"/>
      <c r="Y39" s="732"/>
      <c r="Z39" s="732"/>
      <c r="AA39" s="733"/>
      <c r="AB39" s="452" t="s">
        <v>491</v>
      </c>
    </row>
    <row r="40" spans="1:28" ht="12.6" customHeight="1" x14ac:dyDescent="0.2">
      <c r="A40" s="18"/>
      <c r="B40" s="714" t="s">
        <v>58</v>
      </c>
      <c r="C40" s="626"/>
      <c r="D40" s="626"/>
      <c r="E40" s="626"/>
      <c r="F40" s="306">
        <v>976</v>
      </c>
      <c r="G40" s="336">
        <f t="shared" ref="G40:G48" si="74">+F40*$X$1</f>
        <v>976</v>
      </c>
      <c r="H40" s="1020" t="s">
        <v>59</v>
      </c>
      <c r="I40" s="1020"/>
      <c r="J40" s="1021"/>
      <c r="K40" s="1022"/>
      <c r="L40" s="298"/>
      <c r="M40" s="372"/>
      <c r="N40" s="87">
        <v>1760</v>
      </c>
      <c r="O40" s="336">
        <f t="shared" si="48"/>
        <v>1760</v>
      </c>
      <c r="P40" s="345">
        <v>1630</v>
      </c>
      <c r="Q40" s="432">
        <f t="shared" si="49"/>
        <v>1630</v>
      </c>
      <c r="R40" s="559">
        <v>1506</v>
      </c>
      <c r="S40" s="271">
        <f t="shared" si="49"/>
        <v>1506</v>
      </c>
      <c r="T40" s="559">
        <v>1405</v>
      </c>
      <c r="U40" s="271">
        <f t="shared" si="50"/>
        <v>1405</v>
      </c>
      <c r="V40" s="559">
        <v>1350</v>
      </c>
      <c r="W40" s="306">
        <f t="shared" si="51"/>
        <v>1350</v>
      </c>
      <c r="X40" s="623"/>
      <c r="Y40" s="732"/>
      <c r="Z40" s="732"/>
      <c r="AA40" s="733"/>
      <c r="AB40" s="453" t="s">
        <v>60</v>
      </c>
    </row>
    <row r="41" spans="1:28" ht="12.6" customHeight="1" x14ac:dyDescent="0.2">
      <c r="A41" s="18"/>
      <c r="B41" s="737" t="s">
        <v>61</v>
      </c>
      <c r="C41" s="670"/>
      <c r="D41" s="670"/>
      <c r="E41" s="670"/>
      <c r="F41" s="307">
        <v>976</v>
      </c>
      <c r="G41" s="335">
        <f t="shared" si="74"/>
        <v>976</v>
      </c>
      <c r="H41" s="880" t="s">
        <v>59</v>
      </c>
      <c r="I41" s="880"/>
      <c r="J41" s="881"/>
      <c r="K41" s="882"/>
      <c r="L41" s="297"/>
      <c r="M41" s="373"/>
      <c r="N41" s="91">
        <v>1760</v>
      </c>
      <c r="O41" s="335">
        <f t="shared" ref="O41:O42" si="75">+N41*$X$1</f>
        <v>1760</v>
      </c>
      <c r="P41" s="299">
        <v>1630</v>
      </c>
      <c r="Q41" s="431">
        <f t="shared" ref="Q41:Q42" si="76">+P41*$X$1</f>
        <v>1630</v>
      </c>
      <c r="R41" s="548">
        <v>1506</v>
      </c>
      <c r="S41" s="328">
        <f t="shared" ref="S41:S42" si="77">+R41*$X$1</f>
        <v>1506</v>
      </c>
      <c r="T41" s="548">
        <v>1405</v>
      </c>
      <c r="U41" s="328">
        <f t="shared" ref="U41:U42" si="78">+T41*$X$1</f>
        <v>1405</v>
      </c>
      <c r="V41" s="548">
        <v>1350</v>
      </c>
      <c r="W41" s="307">
        <f t="shared" ref="W41:W42" si="79">+V41*$X$1</f>
        <v>1350</v>
      </c>
      <c r="X41" s="623"/>
      <c r="Y41" s="732"/>
      <c r="Z41" s="732"/>
      <c r="AA41" s="733"/>
      <c r="AB41" s="453" t="s">
        <v>62</v>
      </c>
    </row>
    <row r="42" spans="1:28" ht="12.6" customHeight="1" x14ac:dyDescent="0.2">
      <c r="A42" s="18"/>
      <c r="B42" s="714" t="s">
        <v>63</v>
      </c>
      <c r="C42" s="626"/>
      <c r="D42" s="626"/>
      <c r="E42" s="626"/>
      <c r="F42" s="306">
        <v>976</v>
      </c>
      <c r="G42" s="336">
        <f t="shared" si="74"/>
        <v>976</v>
      </c>
      <c r="H42" s="752" t="s">
        <v>59</v>
      </c>
      <c r="I42" s="752"/>
      <c r="J42" s="753"/>
      <c r="K42" s="754"/>
      <c r="L42" s="298"/>
      <c r="M42" s="372"/>
      <c r="N42" s="87">
        <v>1760</v>
      </c>
      <c r="O42" s="336">
        <f t="shared" si="75"/>
        <v>1760</v>
      </c>
      <c r="P42" s="345">
        <v>1630</v>
      </c>
      <c r="Q42" s="432">
        <f t="shared" si="76"/>
        <v>1630</v>
      </c>
      <c r="R42" s="559">
        <v>1506</v>
      </c>
      <c r="S42" s="271">
        <f t="shared" si="77"/>
        <v>1506</v>
      </c>
      <c r="T42" s="559">
        <v>1405</v>
      </c>
      <c r="U42" s="271">
        <f t="shared" si="78"/>
        <v>1405</v>
      </c>
      <c r="V42" s="559">
        <v>1350</v>
      </c>
      <c r="W42" s="306">
        <f t="shared" si="79"/>
        <v>1350</v>
      </c>
      <c r="X42" s="623"/>
      <c r="Y42" s="732"/>
      <c r="Z42" s="732"/>
      <c r="AA42" s="733"/>
      <c r="AB42" s="453" t="s">
        <v>64</v>
      </c>
    </row>
    <row r="43" spans="1:28" ht="12.6" customHeight="1" x14ac:dyDescent="0.2">
      <c r="A43" s="18"/>
      <c r="B43" s="737" t="s">
        <v>582</v>
      </c>
      <c r="C43" s="670"/>
      <c r="D43" s="670"/>
      <c r="E43" s="670"/>
      <c r="F43" s="307">
        <v>1071</v>
      </c>
      <c r="G43" s="335">
        <f t="shared" ref="G43" si="80">+F43*$X$1</f>
        <v>1071</v>
      </c>
      <c r="H43" s="833" t="s">
        <v>59</v>
      </c>
      <c r="I43" s="833"/>
      <c r="J43" s="834"/>
      <c r="K43" s="835"/>
      <c r="L43" s="297"/>
      <c r="M43" s="373"/>
      <c r="N43" s="91">
        <v>1860</v>
      </c>
      <c r="O43" s="335">
        <f t="shared" ref="O43" si="81">+N43*$X$1</f>
        <v>1860</v>
      </c>
      <c r="P43" s="299">
        <v>1736</v>
      </c>
      <c r="Q43" s="431">
        <f t="shared" ref="Q43" si="82">+P43*$X$1</f>
        <v>1736</v>
      </c>
      <c r="R43" s="548">
        <v>1592</v>
      </c>
      <c r="S43" s="328">
        <f t="shared" ref="S43" si="83">+R43*$X$1</f>
        <v>1592</v>
      </c>
      <c r="T43" s="548">
        <v>1495</v>
      </c>
      <c r="U43" s="328">
        <f t="shared" ref="U43" si="84">+T43*$X$1</f>
        <v>1495</v>
      </c>
      <c r="V43" s="548">
        <v>1430</v>
      </c>
      <c r="W43" s="307">
        <f t="shared" ref="W43" si="85">+V43*$X$1</f>
        <v>1430</v>
      </c>
      <c r="X43" s="623"/>
      <c r="Y43" s="732"/>
      <c r="Z43" s="732"/>
      <c r="AA43" s="733"/>
      <c r="AB43" s="454" t="s">
        <v>592</v>
      </c>
    </row>
    <row r="44" spans="1:28" ht="12.6" customHeight="1" x14ac:dyDescent="0.2">
      <c r="A44" s="18"/>
      <c r="B44" s="714" t="s">
        <v>583</v>
      </c>
      <c r="C44" s="626"/>
      <c r="D44" s="626"/>
      <c r="E44" s="626"/>
      <c r="F44" s="306">
        <v>1071</v>
      </c>
      <c r="G44" s="336">
        <f t="shared" ref="G44" si="86">+F44*$X$1</f>
        <v>1071</v>
      </c>
      <c r="H44" s="1020" t="s">
        <v>59</v>
      </c>
      <c r="I44" s="1020"/>
      <c r="J44" s="1021"/>
      <c r="K44" s="1022"/>
      <c r="L44" s="298"/>
      <c r="M44" s="372"/>
      <c r="N44" s="87">
        <v>1860</v>
      </c>
      <c r="O44" s="336">
        <f t="shared" ref="O44:O45" si="87">+N44*$X$1</f>
        <v>1860</v>
      </c>
      <c r="P44" s="345">
        <v>1736</v>
      </c>
      <c r="Q44" s="432">
        <f t="shared" ref="Q44:Q45" si="88">+P44*$X$1</f>
        <v>1736</v>
      </c>
      <c r="R44" s="559">
        <v>1592</v>
      </c>
      <c r="S44" s="271">
        <f t="shared" ref="S44:S45" si="89">+R44*$X$1</f>
        <v>1592</v>
      </c>
      <c r="T44" s="559">
        <v>1495</v>
      </c>
      <c r="U44" s="271">
        <f t="shared" ref="U44:U45" si="90">+T44*$X$1</f>
        <v>1495</v>
      </c>
      <c r="V44" s="559">
        <v>1430</v>
      </c>
      <c r="W44" s="306">
        <f t="shared" ref="W44:W45" si="91">+V44*$X$1</f>
        <v>1430</v>
      </c>
      <c r="X44" s="623"/>
      <c r="Y44" s="732"/>
      <c r="Z44" s="732"/>
      <c r="AA44" s="733"/>
      <c r="AB44" s="454" t="s">
        <v>593</v>
      </c>
    </row>
    <row r="45" spans="1:28" ht="12.6" customHeight="1" x14ac:dyDescent="0.2">
      <c r="A45" s="18"/>
      <c r="B45" s="737" t="s">
        <v>584</v>
      </c>
      <c r="C45" s="670"/>
      <c r="D45" s="670"/>
      <c r="E45" s="670"/>
      <c r="F45" s="307">
        <v>1071</v>
      </c>
      <c r="G45" s="335">
        <f t="shared" ref="G45" si="92">+F45*$X$1</f>
        <v>1071</v>
      </c>
      <c r="H45" s="833" t="s">
        <v>59</v>
      </c>
      <c r="I45" s="833"/>
      <c r="J45" s="834"/>
      <c r="K45" s="835"/>
      <c r="L45" s="297"/>
      <c r="M45" s="373"/>
      <c r="N45" s="91">
        <v>1860</v>
      </c>
      <c r="O45" s="335">
        <f t="shared" si="87"/>
        <v>1860</v>
      </c>
      <c r="P45" s="299">
        <v>1736</v>
      </c>
      <c r="Q45" s="431">
        <f t="shared" si="88"/>
        <v>1736</v>
      </c>
      <c r="R45" s="548">
        <v>1592</v>
      </c>
      <c r="S45" s="328">
        <f t="shared" si="89"/>
        <v>1592</v>
      </c>
      <c r="T45" s="548">
        <v>1495</v>
      </c>
      <c r="U45" s="328">
        <f t="shared" si="90"/>
        <v>1495</v>
      </c>
      <c r="V45" s="548">
        <v>1430</v>
      </c>
      <c r="W45" s="307">
        <f t="shared" si="91"/>
        <v>1430</v>
      </c>
      <c r="X45" s="623"/>
      <c r="Y45" s="732"/>
      <c r="Z45" s="732"/>
      <c r="AA45" s="733"/>
      <c r="AB45" s="454" t="s">
        <v>594</v>
      </c>
    </row>
    <row r="46" spans="1:28" ht="12.6" customHeight="1" x14ac:dyDescent="0.2">
      <c r="A46" s="18"/>
      <c r="B46" s="714" t="s">
        <v>65</v>
      </c>
      <c r="C46" s="626"/>
      <c r="D46" s="626"/>
      <c r="E46" s="626"/>
      <c r="F46" s="306">
        <v>1340</v>
      </c>
      <c r="G46" s="336">
        <f t="shared" si="74"/>
        <v>1340</v>
      </c>
      <c r="H46" s="752" t="s">
        <v>59</v>
      </c>
      <c r="I46" s="752"/>
      <c r="J46" s="753"/>
      <c r="K46" s="754"/>
      <c r="L46" s="298"/>
      <c r="M46" s="372"/>
      <c r="N46" s="72">
        <v>2450</v>
      </c>
      <c r="O46" s="330">
        <f t="shared" ref="O46" si="93">+N46*$X$1</f>
        <v>2450</v>
      </c>
      <c r="P46" s="345">
        <v>2266</v>
      </c>
      <c r="Q46" s="347">
        <f t="shared" si="49"/>
        <v>2266</v>
      </c>
      <c r="R46" s="559">
        <v>2097</v>
      </c>
      <c r="S46" s="306">
        <f t="shared" si="49"/>
        <v>2097</v>
      </c>
      <c r="T46" s="559">
        <v>1952</v>
      </c>
      <c r="U46" s="306">
        <f t="shared" si="50"/>
        <v>1952</v>
      </c>
      <c r="V46" s="559">
        <v>1890</v>
      </c>
      <c r="W46" s="306">
        <f t="shared" si="51"/>
        <v>1890</v>
      </c>
      <c r="X46" s="623"/>
      <c r="Y46" s="732"/>
      <c r="Z46" s="732"/>
      <c r="AA46" s="733"/>
      <c r="AB46" s="454" t="s">
        <v>66</v>
      </c>
    </row>
    <row r="47" spans="1:28" ht="12.6" customHeight="1" x14ac:dyDescent="0.2">
      <c r="A47" s="18"/>
      <c r="B47" s="737" t="s">
        <v>67</v>
      </c>
      <c r="C47" s="670"/>
      <c r="D47" s="670"/>
      <c r="E47" s="670"/>
      <c r="F47" s="307">
        <v>1340</v>
      </c>
      <c r="G47" s="335">
        <f t="shared" si="74"/>
        <v>1340</v>
      </c>
      <c r="H47" s="833" t="s">
        <v>59</v>
      </c>
      <c r="I47" s="833"/>
      <c r="J47" s="834"/>
      <c r="K47" s="835"/>
      <c r="L47" s="297"/>
      <c r="M47" s="373"/>
      <c r="N47" s="90">
        <v>2450</v>
      </c>
      <c r="O47" s="367">
        <f t="shared" ref="O47:O48" si="94">+N47*$X$1</f>
        <v>2450</v>
      </c>
      <c r="P47" s="299">
        <v>2266</v>
      </c>
      <c r="Q47" s="346">
        <f t="shared" ref="Q47:Q48" si="95">+P47*$X$1</f>
        <v>2266</v>
      </c>
      <c r="R47" s="548">
        <v>2097</v>
      </c>
      <c r="S47" s="307">
        <f t="shared" ref="S47:S48" si="96">+R47*$X$1</f>
        <v>2097</v>
      </c>
      <c r="T47" s="548">
        <v>1952</v>
      </c>
      <c r="U47" s="307">
        <f t="shared" ref="U47:U48" si="97">+T47*$X$1</f>
        <v>1952</v>
      </c>
      <c r="V47" s="548">
        <v>1890</v>
      </c>
      <c r="W47" s="307">
        <f t="shared" ref="W47:W48" si="98">+V47*$X$1</f>
        <v>1890</v>
      </c>
      <c r="X47" s="623"/>
      <c r="Y47" s="732"/>
      <c r="Z47" s="732"/>
      <c r="AA47" s="733"/>
      <c r="AB47" s="454" t="s">
        <v>68</v>
      </c>
    </row>
    <row r="48" spans="1:28" ht="12.6" customHeight="1" x14ac:dyDescent="0.2">
      <c r="A48" s="18"/>
      <c r="B48" s="714" t="s">
        <v>69</v>
      </c>
      <c r="C48" s="626"/>
      <c r="D48" s="626"/>
      <c r="E48" s="626"/>
      <c r="F48" s="306">
        <v>1340</v>
      </c>
      <c r="G48" s="366">
        <f t="shared" si="74"/>
        <v>1340</v>
      </c>
      <c r="H48" s="752" t="s">
        <v>59</v>
      </c>
      <c r="I48" s="752"/>
      <c r="J48" s="753"/>
      <c r="K48" s="802"/>
      <c r="L48" s="298"/>
      <c r="M48" s="372"/>
      <c r="N48" s="72">
        <v>2450</v>
      </c>
      <c r="O48" s="330">
        <f t="shared" si="94"/>
        <v>2450</v>
      </c>
      <c r="P48" s="345">
        <v>2266</v>
      </c>
      <c r="Q48" s="347">
        <f t="shared" si="95"/>
        <v>2266</v>
      </c>
      <c r="R48" s="559">
        <v>2097</v>
      </c>
      <c r="S48" s="306">
        <f t="shared" si="96"/>
        <v>2097</v>
      </c>
      <c r="T48" s="559">
        <v>1952</v>
      </c>
      <c r="U48" s="306">
        <f t="shared" si="97"/>
        <v>1952</v>
      </c>
      <c r="V48" s="559">
        <v>1890</v>
      </c>
      <c r="W48" s="306">
        <f t="shared" si="98"/>
        <v>1890</v>
      </c>
      <c r="X48" s="623"/>
      <c r="Y48" s="732"/>
      <c r="Z48" s="732"/>
      <c r="AA48" s="733"/>
      <c r="AB48" s="454" t="s">
        <v>70</v>
      </c>
    </row>
    <row r="49" spans="1:35" ht="12.6" customHeight="1" x14ac:dyDescent="0.2">
      <c r="A49" s="18"/>
      <c r="B49" s="737" t="s">
        <v>71</v>
      </c>
      <c r="C49" s="670"/>
      <c r="D49" s="670"/>
      <c r="E49" s="674"/>
      <c r="F49" s="829" t="s">
        <v>444</v>
      </c>
      <c r="G49" s="753"/>
      <c r="H49" s="753"/>
      <c r="I49" s="753"/>
      <c r="J49" s="276"/>
      <c r="K49" s="427"/>
      <c r="L49" s="428"/>
      <c r="M49" s="307"/>
      <c r="N49" s="433"/>
      <c r="O49" s="335"/>
      <c r="P49" s="297"/>
      <c r="Q49" s="346"/>
      <c r="R49" s="104"/>
      <c r="S49" s="328"/>
      <c r="T49" s="104"/>
      <c r="U49" s="328"/>
      <c r="V49" s="104"/>
      <c r="W49" s="307"/>
      <c r="X49" s="136"/>
      <c r="Y49" s="136"/>
      <c r="Z49" s="136"/>
      <c r="AA49" s="136"/>
      <c r="AB49" s="452" t="s">
        <v>72</v>
      </c>
    </row>
    <row r="50" spans="1:35" ht="12.6" customHeight="1" x14ac:dyDescent="0.2">
      <c r="A50" s="18"/>
      <c r="B50" s="714" t="s">
        <v>73</v>
      </c>
      <c r="C50" s="626"/>
      <c r="D50" s="626"/>
      <c r="E50" s="685"/>
      <c r="F50" s="753"/>
      <c r="G50" s="753"/>
      <c r="H50" s="753"/>
      <c r="I50" s="753"/>
      <c r="J50" s="17"/>
      <c r="K50" s="303"/>
      <c r="L50" s="278"/>
      <c r="M50" s="306"/>
      <c r="N50" s="220"/>
      <c r="O50" s="336"/>
      <c r="P50" s="303"/>
      <c r="Q50" s="347"/>
      <c r="R50" s="340"/>
      <c r="S50" s="271"/>
      <c r="T50" s="340"/>
      <c r="U50" s="271"/>
      <c r="V50" s="340"/>
      <c r="W50" s="306"/>
      <c r="X50" s="136"/>
      <c r="Y50" s="136"/>
      <c r="Z50" s="136"/>
      <c r="AA50" s="136"/>
      <c r="AB50" s="452" t="s">
        <v>74</v>
      </c>
    </row>
    <row r="51" spans="1:35" ht="12.6" customHeight="1" x14ac:dyDescent="0.2">
      <c r="A51" s="18"/>
      <c r="B51" s="737" t="s">
        <v>463</v>
      </c>
      <c r="C51" s="670"/>
      <c r="D51" s="670"/>
      <c r="E51" s="674"/>
      <c r="F51" s="753"/>
      <c r="G51" s="753"/>
      <c r="H51" s="753"/>
      <c r="I51" s="753"/>
      <c r="J51" s="276"/>
      <c r="K51" s="297"/>
      <c r="L51" s="323"/>
      <c r="M51" s="307"/>
      <c r="N51" s="324"/>
      <c r="O51" s="383"/>
      <c r="P51" s="297"/>
      <c r="Q51" s="346"/>
      <c r="R51" s="96"/>
      <c r="S51" s="378"/>
      <c r="T51" s="96"/>
      <c r="U51" s="378"/>
      <c r="V51" s="96"/>
      <c r="W51" s="307"/>
      <c r="X51" s="136"/>
      <c r="Y51" s="136"/>
      <c r="Z51" s="136"/>
      <c r="AA51" s="136"/>
      <c r="AB51" s="36">
        <v>48</v>
      </c>
      <c r="AC51" s="455" t="s">
        <v>75</v>
      </c>
      <c r="AD51" s="455" t="s">
        <v>76</v>
      </c>
      <c r="AE51" s="455" t="s">
        <v>77</v>
      </c>
    </row>
    <row r="52" spans="1:35" ht="12.6" customHeight="1" x14ac:dyDescent="0.2">
      <c r="A52" s="18"/>
      <c r="B52" s="865" t="s">
        <v>78</v>
      </c>
      <c r="C52" s="866"/>
      <c r="D52" s="866"/>
      <c r="E52" s="866"/>
      <c r="F52" s="753"/>
      <c r="G52" s="753"/>
      <c r="H52" s="753"/>
      <c r="I52" s="753"/>
      <c r="J52" s="17"/>
      <c r="K52" s="17"/>
      <c r="L52" s="278"/>
      <c r="M52" s="274"/>
      <c r="N52" s="220"/>
      <c r="O52" s="245"/>
      <c r="P52" s="121"/>
      <c r="Q52" s="280"/>
      <c r="R52" s="245"/>
      <c r="S52" s="245"/>
      <c r="T52" s="245"/>
      <c r="U52" s="245"/>
      <c r="V52" s="93"/>
      <c r="W52" s="93"/>
      <c r="X52" s="173"/>
      <c r="Y52" s="173"/>
      <c r="Z52" s="173"/>
      <c r="AA52" s="173"/>
      <c r="AB52" s="201">
        <v>54</v>
      </c>
    </row>
    <row r="53" spans="1:35" ht="12.6" customHeight="1" x14ac:dyDescent="0.2">
      <c r="A53" s="18"/>
      <c r="B53" s="737" t="s">
        <v>79</v>
      </c>
      <c r="C53" s="670"/>
      <c r="D53" s="670"/>
      <c r="E53" s="670"/>
      <c r="F53" s="307">
        <v>780</v>
      </c>
      <c r="G53" s="328">
        <f t="shared" ref="G53:G56" si="99">+F53*$X$1</f>
        <v>780</v>
      </c>
      <c r="H53" s="128"/>
      <c r="I53" s="307"/>
      <c r="J53" s="548">
        <f>F53+225</f>
        <v>1005</v>
      </c>
      <c r="K53" s="307">
        <f t="shared" ref="K53" si="100">+J53*$X$1</f>
        <v>1005</v>
      </c>
      <c r="L53" s="548">
        <f>F53+135</f>
        <v>915</v>
      </c>
      <c r="M53" s="307">
        <f t="shared" ref="M53" si="101">+L53*$X$1</f>
        <v>915</v>
      </c>
      <c r="N53" s="104">
        <f>F53+83</f>
        <v>863</v>
      </c>
      <c r="O53" s="328">
        <f t="shared" ref="O53" si="102">+N53*$X$1</f>
        <v>863</v>
      </c>
      <c r="P53" s="104">
        <f>F53+75</f>
        <v>855</v>
      </c>
      <c r="Q53" s="307">
        <f t="shared" si="49"/>
        <v>855</v>
      </c>
      <c r="R53" s="104">
        <f>F53+63</f>
        <v>843</v>
      </c>
      <c r="S53" s="328">
        <f t="shared" ref="S53" si="103">+R53*$X$1</f>
        <v>843</v>
      </c>
      <c r="T53" s="104">
        <f>F53+53</f>
        <v>833</v>
      </c>
      <c r="U53" s="328">
        <f t="shared" ref="U53" si="104">+T53*$X$1</f>
        <v>833</v>
      </c>
      <c r="V53" s="104">
        <f>F53+45</f>
        <v>825</v>
      </c>
      <c r="W53" s="307">
        <f t="shared" ref="W53" si="105">+V53*$X$1</f>
        <v>825</v>
      </c>
      <c r="X53" s="135"/>
      <c r="Y53" s="136"/>
      <c r="Z53" s="136"/>
      <c r="AA53" s="136"/>
      <c r="AB53" s="452">
        <v>60</v>
      </c>
    </row>
    <row r="54" spans="1:35" ht="12.6" customHeight="1" x14ac:dyDescent="0.2">
      <c r="A54" s="18"/>
      <c r="B54" s="714" t="s">
        <v>562</v>
      </c>
      <c r="C54" s="626"/>
      <c r="D54" s="626"/>
      <c r="E54" s="626"/>
      <c r="F54" s="306">
        <v>840</v>
      </c>
      <c r="G54" s="271">
        <f t="shared" si="99"/>
        <v>840</v>
      </c>
      <c r="H54" s="127"/>
      <c r="I54" s="306"/>
      <c r="J54" s="613">
        <f>F54+225</f>
        <v>1065</v>
      </c>
      <c r="K54" s="306">
        <f t="shared" ref="K54:K56" si="106">+J54*$X$1</f>
        <v>1065</v>
      </c>
      <c r="L54" s="613">
        <f>F54+135</f>
        <v>975</v>
      </c>
      <c r="M54" s="306">
        <f t="shared" ref="M54:M56" si="107">+L54*$X$1</f>
        <v>975</v>
      </c>
      <c r="N54" s="105">
        <f>F54+83</f>
        <v>923</v>
      </c>
      <c r="O54" s="271">
        <f t="shared" ref="O54:O56" si="108">+N54*$X$1</f>
        <v>923</v>
      </c>
      <c r="P54" s="105">
        <f>F54+75</f>
        <v>915</v>
      </c>
      <c r="Q54" s="306">
        <f t="shared" ref="Q54:Q56" si="109">+P54*$X$1</f>
        <v>915</v>
      </c>
      <c r="R54" s="105">
        <f>F54+63</f>
        <v>903</v>
      </c>
      <c r="S54" s="271">
        <f t="shared" ref="S54:S56" si="110">+R54*$X$1</f>
        <v>903</v>
      </c>
      <c r="T54" s="105">
        <f>F54+53</f>
        <v>893</v>
      </c>
      <c r="U54" s="271">
        <f t="shared" ref="U54:U56" si="111">+T54*$X$1</f>
        <v>893</v>
      </c>
      <c r="V54" s="105">
        <f>F54+45</f>
        <v>885</v>
      </c>
      <c r="W54" s="306">
        <f t="shared" ref="W54:W56" si="112">+V54*$X$1</f>
        <v>885</v>
      </c>
      <c r="X54" s="135"/>
      <c r="Y54" s="136"/>
      <c r="Z54" s="136"/>
      <c r="AA54" s="136"/>
      <c r="AB54" s="452">
        <v>61</v>
      </c>
    </row>
    <row r="55" spans="1:35" ht="12.6" customHeight="1" x14ac:dyDescent="0.2">
      <c r="A55" s="18"/>
      <c r="B55" s="1025" t="s">
        <v>80</v>
      </c>
      <c r="C55" s="912"/>
      <c r="D55" s="912"/>
      <c r="E55" s="912"/>
      <c r="F55" s="309">
        <v>800</v>
      </c>
      <c r="G55" s="378">
        <f t="shared" si="99"/>
        <v>800</v>
      </c>
      <c r="H55" s="483"/>
      <c r="I55" s="307"/>
      <c r="J55" s="548">
        <f>F55+225</f>
        <v>1025</v>
      </c>
      <c r="K55" s="307">
        <f t="shared" si="106"/>
        <v>1025</v>
      </c>
      <c r="L55" s="548">
        <f>F55+135</f>
        <v>935</v>
      </c>
      <c r="M55" s="307">
        <f t="shared" si="107"/>
        <v>935</v>
      </c>
      <c r="N55" s="104">
        <f>F55+83</f>
        <v>883</v>
      </c>
      <c r="O55" s="328">
        <f t="shared" si="108"/>
        <v>883</v>
      </c>
      <c r="P55" s="104">
        <f>F55+75</f>
        <v>875</v>
      </c>
      <c r="Q55" s="307">
        <f t="shared" si="109"/>
        <v>875</v>
      </c>
      <c r="R55" s="104">
        <f>F55+63</f>
        <v>863</v>
      </c>
      <c r="S55" s="328">
        <f t="shared" si="110"/>
        <v>863</v>
      </c>
      <c r="T55" s="104">
        <f>F55+53</f>
        <v>853</v>
      </c>
      <c r="U55" s="328">
        <f t="shared" si="111"/>
        <v>853</v>
      </c>
      <c r="V55" s="104">
        <f>F55+45</f>
        <v>845</v>
      </c>
      <c r="W55" s="307">
        <f t="shared" si="112"/>
        <v>845</v>
      </c>
      <c r="X55" s="135"/>
      <c r="Y55" s="136"/>
      <c r="Z55" s="136"/>
      <c r="AA55" s="136"/>
      <c r="AB55" s="452">
        <v>62</v>
      </c>
    </row>
    <row r="56" spans="1:35" ht="12.6" customHeight="1" x14ac:dyDescent="0.2">
      <c r="A56" s="18"/>
      <c r="B56" s="714" t="s">
        <v>81</v>
      </c>
      <c r="C56" s="649"/>
      <c r="D56" s="649"/>
      <c r="E56" s="649"/>
      <c r="F56" s="306">
        <v>860</v>
      </c>
      <c r="G56" s="306">
        <f t="shared" si="99"/>
        <v>860</v>
      </c>
      <c r="H56" s="127"/>
      <c r="I56" s="306"/>
      <c r="J56" s="613">
        <f>F56+225</f>
        <v>1085</v>
      </c>
      <c r="K56" s="306">
        <f t="shared" si="106"/>
        <v>1085</v>
      </c>
      <c r="L56" s="613">
        <f>F56+135</f>
        <v>995</v>
      </c>
      <c r="M56" s="306">
        <f t="shared" si="107"/>
        <v>995</v>
      </c>
      <c r="N56" s="105">
        <f>F56+83</f>
        <v>943</v>
      </c>
      <c r="O56" s="271">
        <f t="shared" si="108"/>
        <v>943</v>
      </c>
      <c r="P56" s="105">
        <f>F56+75</f>
        <v>935</v>
      </c>
      <c r="Q56" s="306">
        <f t="shared" si="109"/>
        <v>935</v>
      </c>
      <c r="R56" s="105">
        <f>F56+63</f>
        <v>923</v>
      </c>
      <c r="S56" s="271">
        <f t="shared" si="110"/>
        <v>923</v>
      </c>
      <c r="T56" s="105">
        <f>F56+53</f>
        <v>913</v>
      </c>
      <c r="U56" s="271">
        <f t="shared" si="111"/>
        <v>913</v>
      </c>
      <c r="V56" s="105">
        <f>F56+45</f>
        <v>905</v>
      </c>
      <c r="W56" s="306">
        <f t="shared" si="112"/>
        <v>905</v>
      </c>
      <c r="X56" s="135"/>
      <c r="Y56" s="136"/>
      <c r="Z56" s="136"/>
      <c r="AA56" s="136"/>
      <c r="AB56" s="452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37" t="s">
        <v>558</v>
      </c>
      <c r="C57" s="670"/>
      <c r="D57" s="670"/>
      <c r="E57" s="670"/>
      <c r="F57" s="307">
        <v>930</v>
      </c>
      <c r="G57" s="307">
        <f t="shared" ref="G57" si="113">+F57*$X$1</f>
        <v>930</v>
      </c>
      <c r="H57" s="128"/>
      <c r="I57" s="307"/>
      <c r="J57" s="548">
        <f>F57+270</f>
        <v>1200</v>
      </c>
      <c r="K57" s="307">
        <f t="shared" ref="K57" si="114">+J57*$X$1</f>
        <v>1200</v>
      </c>
      <c r="L57" s="548">
        <f>F57+170</f>
        <v>1100</v>
      </c>
      <c r="M57" s="307">
        <f t="shared" ref="M57:M58" si="115">+L57*$X$1</f>
        <v>1100</v>
      </c>
      <c r="N57" s="104">
        <f>F57+110</f>
        <v>1040</v>
      </c>
      <c r="O57" s="328">
        <f t="shared" ref="O57:O58" si="116">+N57*$X$1</f>
        <v>1040</v>
      </c>
      <c r="P57" s="104">
        <f>F57+95</f>
        <v>1025</v>
      </c>
      <c r="Q57" s="307">
        <f t="shared" ref="Q57:Q58" si="117">+P57*$X$1</f>
        <v>1025</v>
      </c>
      <c r="R57" s="104">
        <f>F57+85</f>
        <v>1015</v>
      </c>
      <c r="S57" s="328">
        <f t="shared" ref="S57:S58" si="118">+R57*$X$1</f>
        <v>1015</v>
      </c>
      <c r="T57" s="104">
        <f>F57+79</f>
        <v>1009</v>
      </c>
      <c r="U57" s="328">
        <f t="shared" ref="U57:U58" si="119">+T57*$X$1</f>
        <v>1009</v>
      </c>
      <c r="V57" s="104">
        <f>F57+75</f>
        <v>1005</v>
      </c>
      <c r="W57" s="307">
        <f t="shared" ref="W57:W58" si="120">+V57*$X$1</f>
        <v>1005</v>
      </c>
      <c r="X57" s="135"/>
      <c r="Y57" s="136"/>
      <c r="Z57" s="136"/>
      <c r="AA57" s="136"/>
      <c r="AB57" s="452">
        <v>64</v>
      </c>
    </row>
    <row r="58" spans="1:35" ht="12.6" customHeight="1" x14ac:dyDescent="0.2">
      <c r="A58" s="18"/>
      <c r="B58" s="867" t="s">
        <v>755</v>
      </c>
      <c r="C58" s="868"/>
      <c r="D58" s="868"/>
      <c r="E58" s="868"/>
      <c r="F58" s="365">
        <v>250</v>
      </c>
      <c r="G58" s="365">
        <f t="shared" ref="G58:G68" si="121">+F58*$X$1</f>
        <v>250</v>
      </c>
      <c r="H58" s="304"/>
      <c r="I58" s="371"/>
      <c r="J58" s="497"/>
      <c r="K58" s="365"/>
      <c r="L58" s="614">
        <f>F58+110</f>
        <v>360</v>
      </c>
      <c r="M58" s="364">
        <f t="shared" si="115"/>
        <v>360</v>
      </c>
      <c r="N58" s="614">
        <f>F58+60</f>
        <v>310</v>
      </c>
      <c r="O58" s="364">
        <f t="shared" si="116"/>
        <v>310</v>
      </c>
      <c r="P58" s="614">
        <f>F58+50</f>
        <v>300</v>
      </c>
      <c r="Q58" s="364">
        <f t="shared" si="117"/>
        <v>300</v>
      </c>
      <c r="R58" s="614">
        <f>F58+45</f>
        <v>295</v>
      </c>
      <c r="S58" s="364">
        <f t="shared" si="118"/>
        <v>295</v>
      </c>
      <c r="T58" s="614">
        <f>F58+40</f>
        <v>290</v>
      </c>
      <c r="U58" s="364">
        <f t="shared" si="119"/>
        <v>290</v>
      </c>
      <c r="V58" s="614">
        <f>F58+34</f>
        <v>284</v>
      </c>
      <c r="W58" s="364">
        <f t="shared" si="120"/>
        <v>284</v>
      </c>
      <c r="X58" s="136"/>
      <c r="Y58" s="136"/>
      <c r="Z58" s="136"/>
      <c r="AA58" s="136"/>
      <c r="AB58" s="452">
        <v>85</v>
      </c>
    </row>
    <row r="59" spans="1:35" ht="12.6" customHeight="1" x14ac:dyDescent="0.2">
      <c r="A59" s="18"/>
      <c r="B59" s="875" t="s">
        <v>635</v>
      </c>
      <c r="C59" s="676"/>
      <c r="D59" s="676"/>
      <c r="E59" s="676"/>
      <c r="F59" s="343">
        <v>725</v>
      </c>
      <c r="G59" s="368">
        <f t="shared" si="121"/>
        <v>725</v>
      </c>
      <c r="H59" s="297"/>
      <c r="I59" s="373"/>
      <c r="J59" s="499"/>
      <c r="K59" s="343"/>
      <c r="L59" s="548">
        <f>F59+110</f>
        <v>835</v>
      </c>
      <c r="M59" s="307">
        <f t="shared" ref="M59" si="122">+L59*$X$1</f>
        <v>835</v>
      </c>
      <c r="N59" s="548">
        <f>F59+60</f>
        <v>785</v>
      </c>
      <c r="O59" s="307">
        <f t="shared" ref="O59" si="123">+N59*$X$1</f>
        <v>785</v>
      </c>
      <c r="P59" s="548">
        <f>F59+50</f>
        <v>775</v>
      </c>
      <c r="Q59" s="307">
        <f t="shared" ref="Q59" si="124">+P59*$X$1</f>
        <v>775</v>
      </c>
      <c r="R59" s="548">
        <f>F59+45</f>
        <v>770</v>
      </c>
      <c r="S59" s="307">
        <f t="shared" ref="S59" si="125">+R59*$X$1</f>
        <v>770</v>
      </c>
      <c r="T59" s="548">
        <f>F59+40</f>
        <v>765</v>
      </c>
      <c r="U59" s="307">
        <f t="shared" ref="U59" si="126">+T59*$X$1</f>
        <v>765</v>
      </c>
      <c r="V59" s="548">
        <f>F59+34</f>
        <v>759</v>
      </c>
      <c r="W59" s="307">
        <f t="shared" ref="W59" si="127">+V59*$X$1</f>
        <v>759</v>
      </c>
      <c r="X59" s="136"/>
      <c r="Y59" s="136"/>
      <c r="Z59" s="136"/>
      <c r="AA59" s="136"/>
      <c r="AB59" s="452" t="s">
        <v>840</v>
      </c>
    </row>
    <row r="60" spans="1:35" ht="12.6" customHeight="1" x14ac:dyDescent="0.2">
      <c r="A60" s="18"/>
      <c r="B60" s="877" t="s">
        <v>634</v>
      </c>
      <c r="C60" s="722"/>
      <c r="D60" s="722"/>
      <c r="E60" s="722"/>
      <c r="F60" s="329">
        <v>650</v>
      </c>
      <c r="G60" s="366">
        <f t="shared" ref="G60" si="128">+F60*$X$1</f>
        <v>650</v>
      </c>
      <c r="H60" s="298"/>
      <c r="I60" s="372"/>
      <c r="J60" s="498"/>
      <c r="K60" s="329"/>
      <c r="L60" s="613">
        <f>F60+110</f>
        <v>760</v>
      </c>
      <c r="M60" s="306">
        <f t="shared" ref="M60" si="129">+L60*$X$1</f>
        <v>760</v>
      </c>
      <c r="N60" s="613">
        <f>F60+60</f>
        <v>710</v>
      </c>
      <c r="O60" s="306">
        <f t="shared" ref="O60" si="130">+N60*$X$1</f>
        <v>710</v>
      </c>
      <c r="P60" s="613">
        <f>F60+50</f>
        <v>700</v>
      </c>
      <c r="Q60" s="306">
        <f t="shared" ref="Q60" si="131">+P60*$X$1</f>
        <v>700</v>
      </c>
      <c r="R60" s="613">
        <f>F60+45</f>
        <v>695</v>
      </c>
      <c r="S60" s="306">
        <f t="shared" ref="S60" si="132">+R60*$X$1</f>
        <v>695</v>
      </c>
      <c r="T60" s="613">
        <f>F60+40</f>
        <v>690</v>
      </c>
      <c r="U60" s="306">
        <f t="shared" ref="U60" si="133">+T60*$X$1</f>
        <v>690</v>
      </c>
      <c r="V60" s="613">
        <f>F60+34</f>
        <v>684</v>
      </c>
      <c r="W60" s="306">
        <f t="shared" ref="W60" si="134">+V60*$X$1</f>
        <v>684</v>
      </c>
      <c r="X60" s="136"/>
      <c r="Y60" s="136"/>
      <c r="Z60" s="136"/>
      <c r="AA60" s="136"/>
      <c r="AB60" s="452" t="s">
        <v>841</v>
      </c>
    </row>
    <row r="61" spans="1:35" ht="12.6" customHeight="1" x14ac:dyDescent="0.2">
      <c r="A61" s="18"/>
      <c r="B61" s="861" t="s">
        <v>824</v>
      </c>
      <c r="C61" s="665"/>
      <c r="D61" s="665"/>
      <c r="E61" s="665"/>
      <c r="F61" s="343">
        <v>570</v>
      </c>
      <c r="G61" s="368">
        <f t="shared" ref="G61:G62" si="135">+F61*$X$1</f>
        <v>570</v>
      </c>
      <c r="H61" s="297"/>
      <c r="I61" s="373"/>
      <c r="J61" s="499"/>
      <c r="K61" s="343"/>
      <c r="L61" s="548">
        <f>F61+110</f>
        <v>680</v>
      </c>
      <c r="M61" s="307">
        <f t="shared" ref="M61" si="136">+L61*$X$1</f>
        <v>680</v>
      </c>
      <c r="N61" s="548">
        <f>F61+60</f>
        <v>630</v>
      </c>
      <c r="O61" s="307">
        <f t="shared" ref="O61" si="137">+N61*$X$1</f>
        <v>630</v>
      </c>
      <c r="P61" s="548">
        <f>F61+50</f>
        <v>620</v>
      </c>
      <c r="Q61" s="307">
        <f t="shared" ref="Q61" si="138">+P61*$X$1</f>
        <v>620</v>
      </c>
      <c r="R61" s="548">
        <f>F61+45</f>
        <v>615</v>
      </c>
      <c r="S61" s="307">
        <f t="shared" ref="S61" si="139">+R61*$X$1</f>
        <v>615</v>
      </c>
      <c r="T61" s="548">
        <f>F61+40</f>
        <v>610</v>
      </c>
      <c r="U61" s="307">
        <f t="shared" ref="U61" si="140">+T61*$X$1</f>
        <v>610</v>
      </c>
      <c r="V61" s="548">
        <f>F61+34</f>
        <v>604</v>
      </c>
      <c r="W61" s="307">
        <f t="shared" ref="W61" si="141">+V61*$X$1</f>
        <v>604</v>
      </c>
      <c r="X61" s="136"/>
      <c r="Y61" s="136"/>
      <c r="Z61" s="136"/>
      <c r="AA61" s="136"/>
      <c r="AB61" s="452" t="s">
        <v>839</v>
      </c>
    </row>
    <row r="62" spans="1:35" ht="12.6" customHeight="1" x14ac:dyDescent="0.2">
      <c r="A62" s="18"/>
      <c r="B62" s="861" t="s">
        <v>837</v>
      </c>
      <c r="C62" s="665"/>
      <c r="D62" s="665"/>
      <c r="E62" s="665"/>
      <c r="F62" s="417">
        <f>2.55*X2</f>
        <v>2476.0499999999997</v>
      </c>
      <c r="G62" s="306">
        <f t="shared" si="135"/>
        <v>2476.0499999999997</v>
      </c>
      <c r="H62" s="72"/>
      <c r="I62" s="306"/>
      <c r="J62" s="72">
        <f>F62+150</f>
        <v>2626.0499999999997</v>
      </c>
      <c r="K62" s="306">
        <f t="shared" ref="K62" si="142">+J62*$X$1</f>
        <v>2626.0499999999997</v>
      </c>
      <c r="L62" s="613">
        <f>F62+90</f>
        <v>2566.0499999999997</v>
      </c>
      <c r="M62" s="306">
        <f t="shared" ref="M62" si="143">+L62*$X$1</f>
        <v>2566.0499999999997</v>
      </c>
      <c r="N62" s="613">
        <f>F62+55</f>
        <v>2531.0499999999997</v>
      </c>
      <c r="O62" s="306">
        <f t="shared" ref="O62" si="144">+N62*$X$1</f>
        <v>2531.0499999999997</v>
      </c>
      <c r="P62" s="613">
        <f>F62+50</f>
        <v>2526.0499999999997</v>
      </c>
      <c r="Q62" s="306">
        <f t="shared" ref="Q62" si="145">+P62*$X$1</f>
        <v>2526.0499999999997</v>
      </c>
      <c r="R62" s="613">
        <f>F62+42</f>
        <v>2518.0499999999997</v>
      </c>
      <c r="S62" s="306">
        <f t="shared" ref="S62" si="146">+R62*$X$1</f>
        <v>2518.0499999999997</v>
      </c>
      <c r="T62" s="613">
        <f>F62+35</f>
        <v>2511.0499999999997</v>
      </c>
      <c r="U62" s="306">
        <f t="shared" ref="U62" si="147">+T62*$X$1</f>
        <v>2511.0499999999997</v>
      </c>
      <c r="V62" s="613">
        <f>F62+30</f>
        <v>2506.0499999999997</v>
      </c>
      <c r="W62" s="306">
        <f t="shared" ref="W62" si="148">+V62*$X$1</f>
        <v>2506.0499999999997</v>
      </c>
      <c r="X62" s="136"/>
      <c r="Y62" s="136"/>
      <c r="Z62" s="136"/>
      <c r="AA62" s="136"/>
      <c r="AB62" s="452" t="s">
        <v>838</v>
      </c>
    </row>
    <row r="63" spans="1:35" ht="12.6" customHeight="1" x14ac:dyDescent="0.2">
      <c r="A63" s="18"/>
      <c r="B63" s="666" t="s">
        <v>436</v>
      </c>
      <c r="C63" s="667"/>
      <c r="D63" s="667"/>
      <c r="E63" s="668"/>
      <c r="F63" s="343">
        <v>962</v>
      </c>
      <c r="G63" s="368">
        <f t="shared" si="121"/>
        <v>962</v>
      </c>
      <c r="H63" s="297"/>
      <c r="I63" s="373"/>
      <c r="J63" s="90">
        <f>F63+150</f>
        <v>1112</v>
      </c>
      <c r="K63" s="307">
        <f t="shared" ref="K63" si="149">+J63*$X$1</f>
        <v>1112</v>
      </c>
      <c r="L63" s="548">
        <f>F63+110</f>
        <v>1072</v>
      </c>
      <c r="M63" s="307">
        <f t="shared" ref="M63" si="150">+L63*$X$1</f>
        <v>1072</v>
      </c>
      <c r="N63" s="548">
        <f>F63+80</f>
        <v>1042</v>
      </c>
      <c r="O63" s="307">
        <f t="shared" ref="O63:O65" si="151">+N63*$X$1</f>
        <v>1042</v>
      </c>
      <c r="P63" s="548">
        <f>F63+60</f>
        <v>1022</v>
      </c>
      <c r="Q63" s="307">
        <f t="shared" ref="Q63:Q65" si="152">+P63*$X$1</f>
        <v>1022</v>
      </c>
      <c r="R63" s="548">
        <f>F63+50</f>
        <v>1012</v>
      </c>
      <c r="S63" s="307">
        <f t="shared" ref="S63:S65" si="153">+R63*$X$1</f>
        <v>1012</v>
      </c>
      <c r="T63" s="548">
        <f>F63+43</f>
        <v>1005</v>
      </c>
      <c r="U63" s="307">
        <f t="shared" ref="U63:U65" si="154">+T63*$X$1</f>
        <v>1005</v>
      </c>
      <c r="V63" s="548">
        <f>F63+39</f>
        <v>1001</v>
      </c>
      <c r="W63" s="307">
        <f t="shared" ref="W63:W65" si="155">+V63*$X$1</f>
        <v>1001</v>
      </c>
      <c r="X63" s="136"/>
      <c r="Y63" s="136"/>
      <c r="Z63" s="136"/>
      <c r="AA63" s="136"/>
      <c r="AB63" s="452">
        <v>89</v>
      </c>
    </row>
    <row r="64" spans="1:35" ht="12.6" customHeight="1" x14ac:dyDescent="0.2">
      <c r="A64" s="18"/>
      <c r="B64" s="714" t="s">
        <v>535</v>
      </c>
      <c r="C64" s="626"/>
      <c r="D64" s="626"/>
      <c r="E64" s="626"/>
      <c r="F64" s="306">
        <v>484</v>
      </c>
      <c r="G64" s="366">
        <f t="shared" si="121"/>
        <v>484</v>
      </c>
      <c r="H64" s="298"/>
      <c r="I64" s="372"/>
      <c r="J64" s="72"/>
      <c r="K64" s="271"/>
      <c r="L64" s="613"/>
      <c r="M64" s="271"/>
      <c r="N64" s="613">
        <f>F64+55</f>
        <v>539</v>
      </c>
      <c r="O64" s="306">
        <f t="shared" si="151"/>
        <v>539</v>
      </c>
      <c r="P64" s="613">
        <f>F64+50</f>
        <v>534</v>
      </c>
      <c r="Q64" s="306">
        <f t="shared" si="152"/>
        <v>534</v>
      </c>
      <c r="R64" s="613">
        <f>F64+42</f>
        <v>526</v>
      </c>
      <c r="S64" s="306">
        <f t="shared" si="153"/>
        <v>526</v>
      </c>
      <c r="T64" s="613">
        <f>F64+35</f>
        <v>519</v>
      </c>
      <c r="U64" s="306">
        <f t="shared" si="154"/>
        <v>519</v>
      </c>
      <c r="V64" s="613">
        <f>F64+30</f>
        <v>514</v>
      </c>
      <c r="W64" s="306">
        <f t="shared" si="155"/>
        <v>514</v>
      </c>
      <c r="X64" s="152"/>
      <c r="Y64" s="152"/>
      <c r="Z64" s="152" t="s">
        <v>82</v>
      </c>
      <c r="AA64" s="136"/>
      <c r="AB64" s="452">
        <v>91</v>
      </c>
    </row>
    <row r="65" spans="1:38" ht="12.6" customHeight="1" x14ac:dyDescent="0.2">
      <c r="A65" s="18"/>
      <c r="B65" s="734" t="s">
        <v>83</v>
      </c>
      <c r="C65" s="735"/>
      <c r="D65" s="735"/>
      <c r="E65" s="736"/>
      <c r="F65" s="307">
        <v>245</v>
      </c>
      <c r="G65" s="335">
        <f t="shared" si="121"/>
        <v>245</v>
      </c>
      <c r="H65" s="297"/>
      <c r="I65" s="373"/>
      <c r="J65" s="90"/>
      <c r="K65" s="328"/>
      <c r="L65" s="548"/>
      <c r="M65" s="328"/>
      <c r="N65" s="548">
        <f>F65+55</f>
        <v>300</v>
      </c>
      <c r="O65" s="307">
        <f t="shared" si="151"/>
        <v>300</v>
      </c>
      <c r="P65" s="548">
        <f>F65+50</f>
        <v>295</v>
      </c>
      <c r="Q65" s="307">
        <f t="shared" si="152"/>
        <v>295</v>
      </c>
      <c r="R65" s="548">
        <f>F65+42</f>
        <v>287</v>
      </c>
      <c r="S65" s="307">
        <f t="shared" si="153"/>
        <v>287</v>
      </c>
      <c r="T65" s="548">
        <f>F65+35</f>
        <v>280</v>
      </c>
      <c r="U65" s="307">
        <f t="shared" si="154"/>
        <v>280</v>
      </c>
      <c r="V65" s="548">
        <f>F65+30</f>
        <v>275</v>
      </c>
      <c r="W65" s="307">
        <f t="shared" si="155"/>
        <v>275</v>
      </c>
      <c r="X65" s="152"/>
      <c r="Y65" s="152"/>
      <c r="Z65" s="152"/>
      <c r="AA65" s="136"/>
      <c r="AB65" s="452" t="s">
        <v>84</v>
      </c>
    </row>
    <row r="66" spans="1:38" ht="12.6" customHeight="1" x14ac:dyDescent="0.2">
      <c r="A66" s="18"/>
      <c r="B66" s="865" t="s">
        <v>365</v>
      </c>
      <c r="C66" s="866"/>
      <c r="D66" s="866"/>
      <c r="E66" s="1026"/>
      <c r="F66" s="306"/>
      <c r="G66" s="336"/>
      <c r="H66" s="298"/>
      <c r="I66" s="298"/>
      <c r="J66" s="72"/>
      <c r="K66" s="97"/>
      <c r="L66" s="613"/>
      <c r="M66" s="271"/>
      <c r="N66" s="105"/>
      <c r="O66" s="271"/>
      <c r="P66" s="105"/>
      <c r="Q66" s="306"/>
      <c r="R66" s="105"/>
      <c r="S66" s="271"/>
      <c r="T66" s="105"/>
      <c r="U66" s="271"/>
      <c r="V66" s="105"/>
      <c r="W66" s="306"/>
      <c r="X66" s="152"/>
      <c r="Y66" s="152"/>
      <c r="Z66" s="152"/>
      <c r="AA66" s="136"/>
      <c r="AB66" s="35"/>
    </row>
    <row r="67" spans="1:38" ht="12.6" customHeight="1" x14ac:dyDescent="0.2">
      <c r="A67" s="18"/>
      <c r="B67" s="734" t="s">
        <v>366</v>
      </c>
      <c r="C67" s="735"/>
      <c r="D67" s="735"/>
      <c r="E67" s="736"/>
      <c r="F67" s="307"/>
      <c r="G67" s="335"/>
      <c r="H67" s="297"/>
      <c r="I67" s="297"/>
      <c r="J67" s="90"/>
      <c r="K67" s="95"/>
      <c r="L67" s="548"/>
      <c r="M67" s="328"/>
      <c r="N67" s="104"/>
      <c r="O67" s="328"/>
      <c r="P67" s="104"/>
      <c r="Q67" s="307"/>
      <c r="R67" s="104"/>
      <c r="S67" s="328"/>
      <c r="T67" s="104"/>
      <c r="U67" s="328"/>
      <c r="V67" s="104"/>
      <c r="W67" s="307"/>
      <c r="X67" s="152"/>
      <c r="Y67" s="152"/>
      <c r="Z67" s="152"/>
      <c r="AA67" s="136"/>
      <c r="AB67" s="35"/>
    </row>
    <row r="68" spans="1:38" ht="12.6" customHeight="1" x14ac:dyDescent="0.2">
      <c r="A68" s="18"/>
      <c r="B68" s="714" t="s">
        <v>85</v>
      </c>
      <c r="C68" s="626"/>
      <c r="D68" s="626"/>
      <c r="E68" s="626"/>
      <c r="F68" s="306">
        <v>5318</v>
      </c>
      <c r="G68" s="336">
        <f t="shared" si="121"/>
        <v>5318</v>
      </c>
      <c r="H68" s="72">
        <f>F68+400</f>
        <v>5718</v>
      </c>
      <c r="I68" s="306">
        <f>+H68*$X$1</f>
        <v>5718</v>
      </c>
      <c r="J68" s="72">
        <f>F68+150</f>
        <v>5468</v>
      </c>
      <c r="K68" s="306">
        <f t="shared" ref="K68" si="156">+J68*$X$1</f>
        <v>5468</v>
      </c>
      <c r="L68" s="613">
        <f>F68+90</f>
        <v>5408</v>
      </c>
      <c r="M68" s="306">
        <f t="shared" ref="M68" si="157">+L68*$X$1</f>
        <v>5408</v>
      </c>
      <c r="N68" s="613">
        <f>F68+55</f>
        <v>5373</v>
      </c>
      <c r="O68" s="306">
        <f t="shared" ref="O68" si="158">+N68*$X$1</f>
        <v>5373</v>
      </c>
      <c r="P68" s="613">
        <f>F68+50</f>
        <v>5368</v>
      </c>
      <c r="Q68" s="306">
        <f t="shared" ref="Q68" si="159">+P68*$X$1</f>
        <v>5368</v>
      </c>
      <c r="R68" s="613">
        <f>F68+42</f>
        <v>5360</v>
      </c>
      <c r="S68" s="306">
        <f t="shared" ref="S68" si="160">+R68*$X$1</f>
        <v>5360</v>
      </c>
      <c r="T68" s="613">
        <f>F68+35</f>
        <v>5353</v>
      </c>
      <c r="U68" s="306">
        <f t="shared" ref="U68" si="161">+T68*$X$1</f>
        <v>5353</v>
      </c>
      <c r="V68" s="613">
        <f>F68+30</f>
        <v>5348</v>
      </c>
      <c r="W68" s="306">
        <f t="shared" ref="W68" si="162">+V68*$X$1</f>
        <v>5348</v>
      </c>
      <c r="X68" s="139"/>
      <c r="Y68" s="136"/>
      <c r="Z68" s="136"/>
      <c r="AA68" s="136"/>
      <c r="AB68" s="452">
        <v>92</v>
      </c>
    </row>
    <row r="69" spans="1:38" ht="12.6" customHeight="1" x14ac:dyDescent="0.25">
      <c r="A69" s="58"/>
      <c r="B69" s="737" t="s">
        <v>501</v>
      </c>
      <c r="C69" s="741"/>
      <c r="D69" s="741"/>
      <c r="E69" s="741"/>
      <c r="F69" s="307"/>
      <c r="G69" s="328"/>
      <c r="H69" s="262"/>
      <c r="I69" s="854" t="s">
        <v>509</v>
      </c>
      <c r="J69" s="855"/>
      <c r="K69" s="855"/>
      <c r="L69" s="856"/>
      <c r="M69" s="857"/>
      <c r="N69" s="548">
        <v>792</v>
      </c>
      <c r="O69" s="335">
        <f>+N69*$X$1</f>
        <v>792</v>
      </c>
      <c r="P69" s="299">
        <v>788</v>
      </c>
      <c r="Q69" s="367">
        <f>+P69*$X$1</f>
        <v>788</v>
      </c>
      <c r="R69" s="548">
        <v>743</v>
      </c>
      <c r="S69" s="328">
        <f>+R69*$X$1</f>
        <v>743</v>
      </c>
      <c r="T69" s="548">
        <v>710</v>
      </c>
      <c r="U69" s="307">
        <f>+T69*$X$1</f>
        <v>710</v>
      </c>
      <c r="V69" s="548">
        <v>646</v>
      </c>
      <c r="W69" s="307">
        <f>+V69*$X$1</f>
        <v>646</v>
      </c>
      <c r="X69" s="702"/>
      <c r="Y69" s="702"/>
      <c r="Z69" s="702"/>
      <c r="AA69" s="702"/>
      <c r="AB69" s="201" t="s">
        <v>502</v>
      </c>
    </row>
    <row r="70" spans="1:38" ht="12.6" customHeight="1" x14ac:dyDescent="0.25">
      <c r="A70" s="58"/>
      <c r="B70" s="714" t="s">
        <v>355</v>
      </c>
      <c r="C70" s="649"/>
      <c r="D70" s="649"/>
      <c r="E70" s="649"/>
      <c r="F70" s="306"/>
      <c r="G70" s="271"/>
      <c r="H70" s="110"/>
      <c r="I70" s="883" t="s">
        <v>509</v>
      </c>
      <c r="J70" s="884"/>
      <c r="K70" s="884"/>
      <c r="L70" s="885"/>
      <c r="M70" s="886"/>
      <c r="N70" s="340">
        <v>850</v>
      </c>
      <c r="O70" s="336">
        <f>+N70*$X$1</f>
        <v>850</v>
      </c>
      <c r="P70" s="318">
        <v>845</v>
      </c>
      <c r="Q70" s="330">
        <f>+P70*$X$1</f>
        <v>845</v>
      </c>
      <c r="R70" s="340">
        <v>796</v>
      </c>
      <c r="S70" s="271">
        <f>+R70*$X$1</f>
        <v>796</v>
      </c>
      <c r="T70" s="340">
        <v>778</v>
      </c>
      <c r="U70" s="306">
        <f>+T70*$X$1</f>
        <v>778</v>
      </c>
      <c r="V70" s="340">
        <v>701</v>
      </c>
      <c r="W70" s="306">
        <f>+V70*$X$1</f>
        <v>701</v>
      </c>
      <c r="X70" s="702"/>
      <c r="Y70" s="702"/>
      <c r="Z70" s="702"/>
      <c r="AA70" s="702"/>
      <c r="AB70" s="201" t="s">
        <v>86</v>
      </c>
    </row>
    <row r="71" spans="1:38" ht="12.6" customHeight="1" x14ac:dyDescent="0.25">
      <c r="A71" s="58"/>
      <c r="B71" s="737" t="s">
        <v>503</v>
      </c>
      <c r="C71" s="741"/>
      <c r="D71" s="741"/>
      <c r="E71" s="741"/>
      <c r="F71" s="307"/>
      <c r="G71" s="328"/>
      <c r="H71" s="262"/>
      <c r="I71" s="854" t="s">
        <v>509</v>
      </c>
      <c r="J71" s="855"/>
      <c r="K71" s="855"/>
      <c r="L71" s="856"/>
      <c r="M71" s="857"/>
      <c r="N71" s="548">
        <v>1210</v>
      </c>
      <c r="O71" s="335">
        <f>+N71*$X$1</f>
        <v>1210</v>
      </c>
      <c r="P71" s="317">
        <v>1199</v>
      </c>
      <c r="Q71" s="367">
        <f>+P71*$X$1</f>
        <v>1199</v>
      </c>
      <c r="R71" s="548">
        <v>1151</v>
      </c>
      <c r="S71" s="328">
        <f>+R71*$X$1</f>
        <v>1151</v>
      </c>
      <c r="T71" s="548">
        <v>1133</v>
      </c>
      <c r="U71" s="307">
        <f>+T71*$X$1</f>
        <v>1133</v>
      </c>
      <c r="V71" s="548">
        <v>1053</v>
      </c>
      <c r="W71" s="307">
        <f>+V71*$X$1</f>
        <v>1053</v>
      </c>
      <c r="X71" s="702"/>
      <c r="Y71" s="702"/>
      <c r="Z71" s="702"/>
      <c r="AA71" s="702"/>
      <c r="AB71" s="201" t="s">
        <v>504</v>
      </c>
    </row>
    <row r="72" spans="1:38" ht="12.6" customHeight="1" x14ac:dyDescent="0.25">
      <c r="A72" s="18"/>
      <c r="B72" s="714" t="s">
        <v>356</v>
      </c>
      <c r="C72" s="649"/>
      <c r="D72" s="649"/>
      <c r="E72" s="649"/>
      <c r="F72" s="306"/>
      <c r="G72" s="271"/>
      <c r="H72" s="110"/>
      <c r="I72" s="717"/>
      <c r="J72" s="718"/>
      <c r="K72" s="718"/>
      <c r="L72" s="298"/>
      <c r="M72" s="372"/>
      <c r="N72" s="340"/>
      <c r="O72" s="336"/>
      <c r="P72" s="340"/>
      <c r="Q72" s="306"/>
      <c r="R72" s="340"/>
      <c r="S72" s="271"/>
      <c r="T72" s="340"/>
      <c r="U72" s="306"/>
      <c r="V72" s="116"/>
      <c r="W72" s="306"/>
      <c r="X72" s="702"/>
      <c r="Y72" s="702"/>
      <c r="Z72" s="702"/>
      <c r="AA72" s="702"/>
      <c r="AB72" s="201" t="s">
        <v>87</v>
      </c>
      <c r="AH72" s="4"/>
      <c r="AI72" s="4"/>
      <c r="AJ72" s="4"/>
    </row>
    <row r="73" spans="1:38" s="6" customFormat="1" ht="12.6" customHeight="1" x14ac:dyDescent="0.25">
      <c r="A73" s="58"/>
      <c r="B73" s="740" t="s">
        <v>424</v>
      </c>
      <c r="C73" s="683"/>
      <c r="D73" s="683"/>
      <c r="E73" s="684"/>
      <c r="F73" s="307"/>
      <c r="G73" s="328"/>
      <c r="H73" s="548"/>
      <c r="I73" s="335"/>
      <c r="J73" s="313"/>
      <c r="K73" s="393"/>
      <c r="L73" s="552">
        <v>2132</v>
      </c>
      <c r="M73" s="307">
        <f>+L73*$X$1</f>
        <v>2132</v>
      </c>
      <c r="N73" s="548">
        <v>1998</v>
      </c>
      <c r="O73" s="335">
        <f>+N73*$X$1</f>
        <v>1998</v>
      </c>
      <c r="P73" s="435">
        <v>1842</v>
      </c>
      <c r="Q73" s="367">
        <f>+P73*$X$1</f>
        <v>1842</v>
      </c>
      <c r="R73" s="548">
        <v>1833</v>
      </c>
      <c r="S73" s="328">
        <f>+R73*$X$1</f>
        <v>1833</v>
      </c>
      <c r="T73" s="548">
        <v>1765</v>
      </c>
      <c r="U73" s="307">
        <f>+T73*$X$1</f>
        <v>1765</v>
      </c>
      <c r="V73" s="547"/>
      <c r="W73" s="391"/>
      <c r="X73" s="260"/>
      <c r="Y73" s="261"/>
      <c r="Z73" s="261"/>
      <c r="AA73" s="261"/>
      <c r="AB73" s="201" t="s">
        <v>88</v>
      </c>
      <c r="AC73" s="8"/>
      <c r="AD73" s="8"/>
      <c r="AE73" s="8"/>
      <c r="AF73" s="8"/>
      <c r="AG73" s="8"/>
      <c r="AH73" s="57"/>
      <c r="AI73" s="24"/>
      <c r="AJ73" s="57"/>
      <c r="AK73" s="8"/>
      <c r="AL73" s="8"/>
    </row>
    <row r="74" spans="1:38" s="6" customFormat="1" ht="12.6" customHeight="1" x14ac:dyDescent="0.25">
      <c r="A74" s="58"/>
      <c r="B74" s="858" t="s">
        <v>425</v>
      </c>
      <c r="C74" s="859"/>
      <c r="D74" s="859"/>
      <c r="E74" s="860"/>
      <c r="F74" s="306"/>
      <c r="G74" s="549"/>
      <c r="H74" s="340"/>
      <c r="I74" s="550"/>
      <c r="J74" s="341"/>
      <c r="K74" s="392"/>
      <c r="L74" s="551">
        <v>2990</v>
      </c>
      <c r="M74" s="306">
        <f>+L74*$X$1</f>
        <v>2990</v>
      </c>
      <c r="N74" s="568">
        <v>2801</v>
      </c>
      <c r="O74" s="550">
        <f>+N74*$X$1</f>
        <v>2801</v>
      </c>
      <c r="P74" s="434">
        <v>2736</v>
      </c>
      <c r="Q74" s="330">
        <f>+P74*$X$1</f>
        <v>2736</v>
      </c>
      <c r="R74" s="568">
        <v>2722</v>
      </c>
      <c r="S74" s="549">
        <f>+R74*$X$1</f>
        <v>2722</v>
      </c>
      <c r="T74" s="568">
        <v>2535</v>
      </c>
      <c r="U74" s="306">
        <f>+T74*$X$1</f>
        <v>2535</v>
      </c>
      <c r="V74" s="546"/>
      <c r="W74" s="390"/>
      <c r="X74" s="719"/>
      <c r="Y74" s="720"/>
      <c r="Z74" s="720"/>
      <c r="AA74" s="720"/>
      <c r="AB74" s="201" t="s">
        <v>89</v>
      </c>
      <c r="AC74" s="8"/>
      <c r="AD74" s="8"/>
      <c r="AE74" s="8"/>
      <c r="AF74" s="8"/>
      <c r="AG74" s="8"/>
      <c r="AH74" s="57"/>
      <c r="AI74" s="57"/>
      <c r="AJ74" s="57"/>
      <c r="AK74" s="8"/>
      <c r="AL74" s="8"/>
    </row>
    <row r="75" spans="1:38" ht="12.6" customHeight="1" x14ac:dyDescent="0.2">
      <c r="A75" s="98"/>
      <c r="B75" s="112"/>
      <c r="C75" s="68"/>
      <c r="D75" s="68"/>
      <c r="E75" s="68"/>
      <c r="F75" s="192"/>
      <c r="G75" s="192"/>
      <c r="H75" s="192"/>
      <c r="I75" s="192"/>
      <c r="J75" s="192"/>
      <c r="K75" s="192"/>
      <c r="L75" s="113"/>
      <c r="M75" s="113"/>
      <c r="N75" s="114"/>
      <c r="O75" s="114"/>
      <c r="P75" s="114"/>
      <c r="Q75" s="115"/>
      <c r="R75" s="89"/>
      <c r="S75" s="64"/>
      <c r="T75" s="64"/>
      <c r="U75" s="64"/>
      <c r="V75" s="64"/>
      <c r="W75" s="64"/>
      <c r="X75" s="77"/>
      <c r="AB75" s="111"/>
    </row>
    <row r="76" spans="1:38" ht="12.6" customHeight="1" x14ac:dyDescent="0.2">
      <c r="A76" s="98"/>
      <c r="B76" s="112"/>
      <c r="C76" s="339"/>
      <c r="D76" s="339"/>
      <c r="E76" s="339"/>
      <c r="F76" s="246"/>
      <c r="G76" s="246"/>
      <c r="H76" s="246"/>
      <c r="I76" s="246"/>
      <c r="J76" s="246"/>
      <c r="K76" s="246"/>
      <c r="L76" s="113"/>
      <c r="M76" s="113"/>
      <c r="N76" s="114"/>
      <c r="O76" s="114"/>
      <c r="P76" s="114"/>
      <c r="Q76" s="115"/>
      <c r="R76" s="89"/>
      <c r="S76" s="64"/>
      <c r="T76" s="64"/>
      <c r="U76" s="64"/>
      <c r="V76" s="64"/>
      <c r="W76" s="64"/>
      <c r="X76" s="77"/>
      <c r="AB76" s="111"/>
    </row>
    <row r="77" spans="1:38" ht="12.6" customHeight="1" x14ac:dyDescent="0.2">
      <c r="A77" s="98"/>
      <c r="B77" s="112"/>
      <c r="C77" s="247"/>
      <c r="D77" s="247"/>
      <c r="E77" s="247"/>
      <c r="F77" s="246"/>
      <c r="G77" s="246"/>
      <c r="H77" s="246"/>
      <c r="I77" s="246"/>
      <c r="J77" s="246"/>
      <c r="K77" s="246"/>
      <c r="L77" s="113"/>
      <c r="M77" s="113"/>
      <c r="N77" s="114"/>
      <c r="O77" s="114"/>
      <c r="P77" s="114"/>
      <c r="Q77" s="115"/>
      <c r="R77" s="89"/>
      <c r="S77" s="64"/>
      <c r="T77" s="64"/>
      <c r="U77" s="64"/>
      <c r="V77" s="64"/>
      <c r="W77" s="64"/>
      <c r="X77" s="77"/>
      <c r="AB77" s="111"/>
    </row>
    <row r="78" spans="1:38" ht="15.75" customHeight="1" x14ac:dyDescent="0.2">
      <c r="A78" s="18"/>
      <c r="B78" s="653" t="s">
        <v>11</v>
      </c>
      <c r="C78" s="738" t="s">
        <v>12</v>
      </c>
      <c r="D78" s="739"/>
      <c r="E78" s="739"/>
      <c r="F78" s="813" t="s">
        <v>13</v>
      </c>
      <c r="G78" s="813" t="s">
        <v>13</v>
      </c>
      <c r="H78" s="660" t="s">
        <v>870</v>
      </c>
      <c r="I78" s="660"/>
      <c r="J78" s="661"/>
      <c r="K78" s="661"/>
      <c r="L78" s="661"/>
      <c r="M78" s="661"/>
      <c r="N78" s="661"/>
      <c r="O78" s="661"/>
      <c r="P78" s="661"/>
      <c r="Q78" s="661"/>
      <c r="R78" s="661"/>
      <c r="S78" s="661"/>
      <c r="T78" s="661"/>
      <c r="U78" s="661"/>
      <c r="V78" s="661"/>
      <c r="W78" s="661"/>
      <c r="X78" s="632" t="s">
        <v>14</v>
      </c>
      <c r="Y78" s="633"/>
      <c r="Z78" s="633"/>
      <c r="AA78" s="634"/>
      <c r="AB78" s="630" t="s">
        <v>15</v>
      </c>
      <c r="AF78" s="628" t="s">
        <v>3</v>
      </c>
      <c r="AG78" s="629"/>
      <c r="AH78" s="629"/>
    </row>
    <row r="79" spans="1:38" ht="12" customHeight="1" x14ac:dyDescent="0.2">
      <c r="A79" s="18"/>
      <c r="B79" s="653"/>
      <c r="C79" s="739"/>
      <c r="D79" s="739"/>
      <c r="E79" s="739"/>
      <c r="F79" s="814"/>
      <c r="G79" s="814"/>
      <c r="H79" s="585"/>
      <c r="I79" s="583" t="s">
        <v>301</v>
      </c>
      <c r="J79" s="585"/>
      <c r="K79" s="583" t="s">
        <v>17</v>
      </c>
      <c r="L79" s="586"/>
      <c r="M79" s="586" t="s">
        <v>18</v>
      </c>
      <c r="N79" s="586"/>
      <c r="O79" s="583" t="s">
        <v>19</v>
      </c>
      <c r="P79" s="586"/>
      <c r="Q79" s="586" t="s">
        <v>303</v>
      </c>
      <c r="R79" s="586"/>
      <c r="S79" s="586" t="s">
        <v>20</v>
      </c>
      <c r="T79" s="586"/>
      <c r="U79" s="586" t="s">
        <v>21</v>
      </c>
      <c r="V79" s="586"/>
      <c r="W79" s="586" t="s">
        <v>22</v>
      </c>
      <c r="X79" s="635"/>
      <c r="Y79" s="636"/>
      <c r="Z79" s="636"/>
      <c r="AA79" s="637"/>
      <c r="AB79" s="631"/>
    </row>
    <row r="80" spans="1:38" ht="12.6" customHeight="1" x14ac:dyDescent="0.2">
      <c r="A80" s="18"/>
      <c r="B80" s="721" t="s">
        <v>90</v>
      </c>
      <c r="C80" s="722"/>
      <c r="D80" s="722"/>
      <c r="E80" s="723"/>
      <c r="F80" s="870" t="s">
        <v>717</v>
      </c>
      <c r="G80" s="871"/>
      <c r="H80" s="871"/>
      <c r="I80" s="871"/>
      <c r="J80" s="607"/>
      <c r="K80" s="592"/>
      <c r="L80" s="608"/>
      <c r="M80" s="329"/>
      <c r="N80" s="105"/>
      <c r="O80" s="366"/>
      <c r="P80" s="609"/>
      <c r="Q80" s="366"/>
      <c r="R80" s="105"/>
      <c r="S80" s="329"/>
      <c r="T80" s="105"/>
      <c r="U80" s="329"/>
      <c r="V80" s="105"/>
      <c r="W80" s="329"/>
      <c r="X80" s="136"/>
      <c r="Y80" s="136"/>
      <c r="Z80" s="136"/>
      <c r="AA80" s="136"/>
      <c r="AB80" s="459" t="s">
        <v>91</v>
      </c>
      <c r="AC80" s="455" t="s">
        <v>92</v>
      </c>
      <c r="AD80" s="455" t="s">
        <v>93</v>
      </c>
      <c r="AE80" s="455" t="s">
        <v>94</v>
      </c>
      <c r="AF80" s="455" t="s">
        <v>95</v>
      </c>
      <c r="AG80" s="455" t="s">
        <v>96</v>
      </c>
    </row>
    <row r="81" spans="1:34" ht="12.6" customHeight="1" x14ac:dyDescent="0.2">
      <c r="A81" s="18"/>
      <c r="B81" s="669" t="s">
        <v>97</v>
      </c>
      <c r="C81" s="670"/>
      <c r="D81" s="670"/>
      <c r="E81" s="674"/>
      <c r="F81" s="872"/>
      <c r="G81" s="871"/>
      <c r="H81" s="871"/>
      <c r="I81" s="871"/>
      <c r="J81" s="276"/>
      <c r="K81" s="297"/>
      <c r="L81" s="325"/>
      <c r="M81" s="307"/>
      <c r="N81" s="104"/>
      <c r="O81" s="335"/>
      <c r="P81" s="299"/>
      <c r="Q81" s="367"/>
      <c r="R81" s="104"/>
      <c r="S81" s="328"/>
      <c r="T81" s="104"/>
      <c r="U81" s="307"/>
      <c r="V81" s="548"/>
      <c r="W81" s="307"/>
      <c r="X81" s="140"/>
      <c r="Y81" s="140"/>
      <c r="Z81" s="140"/>
      <c r="AA81" s="140"/>
      <c r="AB81" s="459" t="s">
        <v>98</v>
      </c>
      <c r="AC81" s="455" t="s">
        <v>99</v>
      </c>
      <c r="AD81" s="455" t="s">
        <v>100</v>
      </c>
      <c r="AE81" s="455" t="s">
        <v>101</v>
      </c>
      <c r="AF81" s="455" t="s">
        <v>102</v>
      </c>
      <c r="AG81" s="455" t="s">
        <v>103</v>
      </c>
      <c r="AH81" s="455" t="s">
        <v>104</v>
      </c>
    </row>
    <row r="82" spans="1:34" ht="12.6" customHeight="1" x14ac:dyDescent="0.25">
      <c r="A82" s="18"/>
      <c r="B82" s="625" t="s">
        <v>105</v>
      </c>
      <c r="C82" s="626"/>
      <c r="D82" s="626"/>
      <c r="E82" s="685"/>
      <c r="F82" s="872"/>
      <c r="G82" s="871"/>
      <c r="H82" s="871"/>
      <c r="I82" s="871"/>
      <c r="J82" s="279"/>
      <c r="K82" s="298"/>
      <c r="L82" s="610"/>
      <c r="M82" s="306"/>
      <c r="N82" s="605"/>
      <c r="O82" s="336"/>
      <c r="P82" s="345"/>
      <c r="Q82" s="330"/>
      <c r="R82" s="605"/>
      <c r="S82" s="271"/>
      <c r="T82" s="605"/>
      <c r="U82" s="306"/>
      <c r="V82" s="605"/>
      <c r="W82" s="306"/>
      <c r="X82" s="680"/>
      <c r="Y82" s="681"/>
      <c r="Z82" s="681"/>
      <c r="AA82" s="194"/>
      <c r="AB82" s="459" t="s">
        <v>106</v>
      </c>
      <c r="AC82" s="455" t="s">
        <v>107</v>
      </c>
      <c r="AD82" s="455" t="s">
        <v>108</v>
      </c>
      <c r="AE82" s="455" t="s">
        <v>109</v>
      </c>
      <c r="AF82" s="455" t="s">
        <v>110</v>
      </c>
      <c r="AG82" s="460" t="s">
        <v>111</v>
      </c>
      <c r="AH82" s="455" t="s">
        <v>112</v>
      </c>
    </row>
    <row r="83" spans="1:34" ht="12.6" customHeight="1" x14ac:dyDescent="0.25">
      <c r="A83" s="18"/>
      <c r="B83" s="669" t="s">
        <v>113</v>
      </c>
      <c r="C83" s="670"/>
      <c r="D83" s="670"/>
      <c r="E83" s="674"/>
      <c r="F83" s="872"/>
      <c r="G83" s="871"/>
      <c r="H83" s="871"/>
      <c r="I83" s="871"/>
      <c r="J83" s="276"/>
      <c r="K83" s="297"/>
      <c r="L83" s="325"/>
      <c r="M83" s="307"/>
      <c r="N83" s="548"/>
      <c r="O83" s="335"/>
      <c r="P83" s="299"/>
      <c r="Q83" s="367"/>
      <c r="R83" s="548"/>
      <c r="S83" s="328"/>
      <c r="T83" s="548"/>
      <c r="U83" s="307"/>
      <c r="V83" s="548"/>
      <c r="W83" s="307"/>
      <c r="X83" s="680"/>
      <c r="Y83" s="681"/>
      <c r="Z83" s="681"/>
      <c r="AA83" s="194"/>
      <c r="AB83" s="459" t="s">
        <v>114</v>
      </c>
      <c r="AC83" s="461" t="s">
        <v>115</v>
      </c>
      <c r="AD83" s="461" t="s">
        <v>116</v>
      </c>
      <c r="AE83" s="461" t="s">
        <v>117</v>
      </c>
      <c r="AF83" s="461" t="s">
        <v>118</v>
      </c>
      <c r="AG83" s="30"/>
    </row>
    <row r="84" spans="1:34" ht="12.6" customHeight="1" x14ac:dyDescent="0.2">
      <c r="A84" s="18"/>
      <c r="B84" s="625" t="s">
        <v>119</v>
      </c>
      <c r="C84" s="626"/>
      <c r="D84" s="626"/>
      <c r="E84" s="685"/>
      <c r="F84" s="872"/>
      <c r="G84" s="871"/>
      <c r="H84" s="871"/>
      <c r="I84" s="871"/>
      <c r="J84" s="279"/>
      <c r="K84" s="298"/>
      <c r="L84" s="610"/>
      <c r="M84" s="306"/>
      <c r="N84" s="605"/>
      <c r="O84" s="336"/>
      <c r="P84" s="345"/>
      <c r="Q84" s="330"/>
      <c r="R84" s="605"/>
      <c r="S84" s="271"/>
      <c r="T84" s="605"/>
      <c r="U84" s="306"/>
      <c r="V84" s="605"/>
      <c r="W84" s="306"/>
      <c r="X84" s="157"/>
      <c r="Y84" s="157"/>
      <c r="Z84" s="157"/>
      <c r="AA84" s="157"/>
      <c r="AB84" s="31" t="s">
        <v>120</v>
      </c>
      <c r="AC84" s="455" t="s">
        <v>121</v>
      </c>
      <c r="AD84" s="455" t="s">
        <v>122</v>
      </c>
      <c r="AE84" s="455" t="s">
        <v>123</v>
      </c>
      <c r="AF84" s="455" t="s">
        <v>124</v>
      </c>
      <c r="AG84" s="455" t="s">
        <v>125</v>
      </c>
    </row>
    <row r="85" spans="1:34" ht="12.6" customHeight="1" x14ac:dyDescent="0.2">
      <c r="A85" s="18"/>
      <c r="B85" s="669" t="s">
        <v>126</v>
      </c>
      <c r="C85" s="670"/>
      <c r="D85" s="670"/>
      <c r="E85" s="674"/>
      <c r="F85" s="872"/>
      <c r="G85" s="871"/>
      <c r="H85" s="871"/>
      <c r="I85" s="871"/>
      <c r="J85" s="276"/>
      <c r="K85" s="297"/>
      <c r="L85" s="325"/>
      <c r="M85" s="307"/>
      <c r="N85" s="548"/>
      <c r="O85" s="335"/>
      <c r="P85" s="299"/>
      <c r="Q85" s="367"/>
      <c r="R85" s="548"/>
      <c r="S85" s="328"/>
      <c r="T85" s="548"/>
      <c r="U85" s="307"/>
      <c r="V85" s="548"/>
      <c r="W85" s="307"/>
      <c r="X85" s="157"/>
      <c r="Y85" s="157"/>
      <c r="Z85" s="157"/>
      <c r="AA85" s="157"/>
      <c r="AB85" s="31" t="s">
        <v>127</v>
      </c>
      <c r="AC85" s="461" t="s">
        <v>128</v>
      </c>
      <c r="AD85" s="461" t="s">
        <v>129</v>
      </c>
      <c r="AE85" s="461" t="s">
        <v>130</v>
      </c>
    </row>
    <row r="86" spans="1:34" ht="12.6" customHeight="1" x14ac:dyDescent="0.25">
      <c r="A86" s="18"/>
      <c r="B86" s="625" t="s">
        <v>131</v>
      </c>
      <c r="C86" s="626"/>
      <c r="D86" s="626"/>
      <c r="E86" s="685"/>
      <c r="F86" s="872"/>
      <c r="G86" s="871"/>
      <c r="H86" s="871"/>
      <c r="I86" s="871"/>
      <c r="J86" s="279"/>
      <c r="K86" s="298"/>
      <c r="L86" s="610"/>
      <c r="M86" s="306"/>
      <c r="N86" s="605"/>
      <c r="O86" s="336"/>
      <c r="P86" s="345"/>
      <c r="Q86" s="330"/>
      <c r="R86" s="605"/>
      <c r="S86" s="271"/>
      <c r="T86" s="605"/>
      <c r="U86" s="306"/>
      <c r="V86" s="605"/>
      <c r="W86" s="306"/>
      <c r="X86" s="680"/>
      <c r="Y86" s="681"/>
      <c r="Z86" s="681"/>
      <c r="AA86" s="194"/>
      <c r="AB86" s="31" t="s">
        <v>132</v>
      </c>
      <c r="AC86" s="455" t="s">
        <v>133</v>
      </c>
      <c r="AD86" s="455" t="s">
        <v>134</v>
      </c>
      <c r="AE86" s="455" t="s">
        <v>135</v>
      </c>
      <c r="AF86" s="455" t="s">
        <v>136</v>
      </c>
      <c r="AG86" s="455" t="s">
        <v>137</v>
      </c>
      <c r="AH86" s="455" t="s">
        <v>138</v>
      </c>
    </row>
    <row r="87" spans="1:34" ht="12.6" customHeight="1" x14ac:dyDescent="0.25">
      <c r="A87" s="18"/>
      <c r="B87" s="669" t="s">
        <v>139</v>
      </c>
      <c r="C87" s="670"/>
      <c r="D87" s="670"/>
      <c r="E87" s="674"/>
      <c r="F87" s="872"/>
      <c r="G87" s="871"/>
      <c r="H87" s="871"/>
      <c r="I87" s="871"/>
      <c r="J87" s="276"/>
      <c r="K87" s="297"/>
      <c r="L87" s="325"/>
      <c r="M87" s="307"/>
      <c r="N87" s="548"/>
      <c r="O87" s="335"/>
      <c r="P87" s="299"/>
      <c r="Q87" s="367"/>
      <c r="R87" s="548"/>
      <c r="S87" s="328"/>
      <c r="T87" s="548"/>
      <c r="U87" s="307"/>
      <c r="V87" s="548"/>
      <c r="W87" s="307"/>
      <c r="X87" s="680"/>
      <c r="Y87" s="681"/>
      <c r="Z87" s="681"/>
      <c r="AA87" s="194"/>
      <c r="AB87" s="457" t="s">
        <v>140</v>
      </c>
      <c r="AC87" s="65"/>
      <c r="AD87" s="65"/>
      <c r="AE87" s="65"/>
      <c r="AF87" s="65"/>
      <c r="AG87" s="65"/>
    </row>
    <row r="88" spans="1:34" ht="12.6" customHeight="1" x14ac:dyDescent="0.2">
      <c r="A88" s="18"/>
      <c r="B88" s="625" t="s">
        <v>141</v>
      </c>
      <c r="C88" s="626"/>
      <c r="D88" s="626"/>
      <c r="E88" s="685"/>
      <c r="F88" s="872"/>
      <c r="G88" s="871"/>
      <c r="H88" s="871"/>
      <c r="I88" s="871"/>
      <c r="J88" s="279"/>
      <c r="K88" s="298"/>
      <c r="L88" s="610"/>
      <c r="M88" s="306"/>
      <c r="N88" s="605"/>
      <c r="O88" s="336"/>
      <c r="P88" s="345"/>
      <c r="Q88" s="330"/>
      <c r="R88" s="605"/>
      <c r="S88" s="271"/>
      <c r="T88" s="605"/>
      <c r="U88" s="306"/>
      <c r="V88" s="605"/>
      <c r="W88" s="306"/>
      <c r="X88" s="156"/>
      <c r="Y88" s="156"/>
      <c r="Z88" s="156"/>
      <c r="AA88" s="156"/>
      <c r="AB88" s="455" t="s">
        <v>142</v>
      </c>
      <c r="AC88" s="65"/>
      <c r="AD88" s="65"/>
      <c r="AE88" s="65"/>
      <c r="AF88" s="65"/>
      <c r="AG88" s="65"/>
    </row>
    <row r="89" spans="1:34" ht="12.6" customHeight="1" x14ac:dyDescent="0.2">
      <c r="A89" s="18"/>
      <c r="B89" s="669" t="s">
        <v>143</v>
      </c>
      <c r="C89" s="670"/>
      <c r="D89" s="670"/>
      <c r="E89" s="674"/>
      <c r="F89" s="872"/>
      <c r="G89" s="871"/>
      <c r="H89" s="871"/>
      <c r="I89" s="871"/>
      <c r="J89" s="276"/>
      <c r="K89" s="297"/>
      <c r="L89" s="325"/>
      <c r="M89" s="307"/>
      <c r="N89" s="548"/>
      <c r="O89" s="335"/>
      <c r="P89" s="299"/>
      <c r="Q89" s="335"/>
      <c r="R89" s="548"/>
      <c r="S89" s="335"/>
      <c r="T89" s="548"/>
      <c r="U89" s="307"/>
      <c r="V89" s="548"/>
      <c r="W89" s="307"/>
      <c r="X89" s="156"/>
      <c r="Y89" s="156"/>
      <c r="Z89" s="156"/>
      <c r="AA89" s="156"/>
      <c r="AB89" s="455" t="s">
        <v>144</v>
      </c>
      <c r="AC89" s="65"/>
      <c r="AD89" s="65"/>
      <c r="AE89" s="65"/>
      <c r="AF89" s="65"/>
      <c r="AG89" s="65"/>
    </row>
    <row r="90" spans="1:34" ht="12.6" customHeight="1" x14ac:dyDescent="0.2">
      <c r="A90" s="18"/>
      <c r="B90" s="625" t="s">
        <v>145</v>
      </c>
      <c r="C90" s="626"/>
      <c r="D90" s="626"/>
      <c r="E90" s="685"/>
      <c r="F90" s="873"/>
      <c r="G90" s="874"/>
      <c r="H90" s="874"/>
      <c r="I90" s="874"/>
      <c r="J90" s="279"/>
      <c r="K90" s="298"/>
      <c r="L90" s="610"/>
      <c r="M90" s="306"/>
      <c r="N90" s="605"/>
      <c r="O90" s="382"/>
      <c r="P90" s="345"/>
      <c r="Q90" s="330"/>
      <c r="R90" s="116"/>
      <c r="S90" s="509"/>
      <c r="T90" s="605"/>
      <c r="U90" s="306"/>
      <c r="V90" s="605"/>
      <c r="W90" s="306"/>
      <c r="X90" s="136"/>
      <c r="Y90" s="136"/>
      <c r="Z90" s="136"/>
      <c r="AA90" s="136"/>
      <c r="AB90" s="458" t="s">
        <v>146</v>
      </c>
      <c r="AC90" s="455" t="s">
        <v>147</v>
      </c>
      <c r="AD90" s="455" t="s">
        <v>148</v>
      </c>
      <c r="AE90" s="455" t="s">
        <v>149</v>
      </c>
      <c r="AF90" s="455" t="s">
        <v>150</v>
      </c>
      <c r="AG90" s="455" t="s">
        <v>151</v>
      </c>
    </row>
    <row r="91" spans="1:34" ht="12.6" customHeight="1" x14ac:dyDescent="0.2">
      <c r="A91" s="18"/>
      <c r="B91" s="669" t="s">
        <v>497</v>
      </c>
      <c r="C91" s="670"/>
      <c r="D91" s="670"/>
      <c r="E91" s="670"/>
      <c r="F91" s="307"/>
      <c r="G91" s="367"/>
      <c r="H91" s="276"/>
      <c r="I91" s="312"/>
      <c r="J91" s="548"/>
      <c r="K91" s="307"/>
      <c r="L91" s="430"/>
      <c r="M91" s="307"/>
      <c r="N91" s="430"/>
      <c r="O91" s="307"/>
      <c r="P91" s="430"/>
      <c r="Q91" s="307"/>
      <c r="R91" s="430"/>
      <c r="S91" s="307"/>
      <c r="T91" s="430"/>
      <c r="U91" s="307"/>
      <c r="V91" s="90"/>
      <c r="W91" s="374"/>
      <c r="X91" s="167"/>
      <c r="Y91" s="140"/>
      <c r="Z91" s="140"/>
      <c r="AA91" s="143"/>
      <c r="AB91" s="456">
        <v>117</v>
      </c>
    </row>
    <row r="92" spans="1:34" ht="12.6" customHeight="1" x14ac:dyDescent="0.2">
      <c r="A92" s="18"/>
      <c r="B92" s="641" t="s">
        <v>516</v>
      </c>
      <c r="C92" s="644"/>
      <c r="D92" s="644"/>
      <c r="E92" s="645"/>
      <c r="F92" s="306"/>
      <c r="G92" s="330"/>
      <c r="H92" s="279"/>
      <c r="I92" s="298"/>
      <c r="J92" s="340"/>
      <c r="K92" s="306"/>
      <c r="L92" s="340"/>
      <c r="M92" s="306"/>
      <c r="N92" s="340"/>
      <c r="O92" s="306"/>
      <c r="P92" s="340"/>
      <c r="Q92" s="306"/>
      <c r="R92" s="340"/>
      <c r="S92" s="306"/>
      <c r="T92" s="340"/>
      <c r="U92" s="306"/>
      <c r="V92" s="72"/>
      <c r="W92" s="375"/>
      <c r="X92" s="167"/>
      <c r="Y92" s="140"/>
      <c r="Z92" s="140"/>
      <c r="AA92" s="143"/>
      <c r="AB92" s="456"/>
    </row>
    <row r="93" spans="1:34" ht="12.6" customHeight="1" x14ac:dyDescent="0.2">
      <c r="A93" s="18"/>
      <c r="B93" s="669" t="s">
        <v>498</v>
      </c>
      <c r="C93" s="670"/>
      <c r="D93" s="670"/>
      <c r="E93" s="670"/>
      <c r="F93" s="307"/>
      <c r="G93" s="367"/>
      <c r="H93" s="276"/>
      <c r="I93" s="297"/>
      <c r="J93" s="405"/>
      <c r="K93" s="307"/>
      <c r="L93" s="414"/>
      <c r="M93" s="307"/>
      <c r="N93" s="414"/>
      <c r="O93" s="307"/>
      <c r="P93" s="414"/>
      <c r="Q93" s="307"/>
      <c r="R93" s="414"/>
      <c r="S93" s="307"/>
      <c r="T93" s="414"/>
      <c r="U93" s="307"/>
      <c r="V93" s="90"/>
      <c r="W93" s="374"/>
      <c r="X93" s="167"/>
      <c r="Y93" s="140"/>
      <c r="Z93" s="140"/>
      <c r="AA93" s="143"/>
      <c r="AB93" s="456">
        <v>129</v>
      </c>
    </row>
    <row r="94" spans="1:34" ht="12.6" customHeight="1" x14ac:dyDescent="0.2">
      <c r="A94" s="108"/>
      <c r="B94" s="876" t="s">
        <v>415</v>
      </c>
      <c r="C94" s="868"/>
      <c r="D94" s="868"/>
      <c r="E94" s="868"/>
      <c r="F94" s="365">
        <v>480</v>
      </c>
      <c r="G94" s="388">
        <f t="shared" ref="G94:G99" si="163">+F94*$X$1</f>
        <v>480</v>
      </c>
      <c r="H94" s="277"/>
      <c r="I94" s="304"/>
      <c r="J94" s="254">
        <f>F94+150</f>
        <v>630</v>
      </c>
      <c r="K94" s="415">
        <f>+J94*$X$1</f>
        <v>630</v>
      </c>
      <c r="L94" s="117">
        <f>F94+90</f>
        <v>570</v>
      </c>
      <c r="M94" s="415">
        <f t="shared" ref="M94:M96" si="164">+L94*$X$1</f>
        <v>570</v>
      </c>
      <c r="N94" s="107">
        <f>F94+7.2</f>
        <v>487.2</v>
      </c>
      <c r="O94" s="686" t="s">
        <v>152</v>
      </c>
      <c r="P94" s="687"/>
      <c r="Q94" s="687"/>
      <c r="R94" s="687"/>
      <c r="S94" s="687"/>
      <c r="T94" s="687"/>
      <c r="U94" s="687"/>
      <c r="V94" s="687"/>
      <c r="W94" s="687"/>
      <c r="X94" s="168"/>
      <c r="Y94" s="140"/>
      <c r="Z94" s="140"/>
      <c r="AA94" s="143"/>
      <c r="AB94" s="462">
        <v>247</v>
      </c>
    </row>
    <row r="95" spans="1:34" ht="12.6" customHeight="1" x14ac:dyDescent="0.2">
      <c r="A95" s="98"/>
      <c r="B95" s="682" t="s">
        <v>531</v>
      </c>
      <c r="C95" s="683"/>
      <c r="D95" s="683"/>
      <c r="E95" s="684"/>
      <c r="F95" s="418">
        <f>2.631*X2</f>
        <v>2554.7009999999996</v>
      </c>
      <c r="G95" s="335">
        <f>+F95*$X$1</f>
        <v>2554.7009999999996</v>
      </c>
      <c r="H95" s="297"/>
      <c r="I95" s="297"/>
      <c r="J95" s="90">
        <f>F95+150</f>
        <v>2704.7009999999996</v>
      </c>
      <c r="K95" s="307">
        <f t="shared" ref="K95:K96" si="165">+J95*$X$1</f>
        <v>2704.7009999999996</v>
      </c>
      <c r="L95" s="548">
        <f>F95+90</f>
        <v>2644.7009999999996</v>
      </c>
      <c r="M95" s="307">
        <f t="shared" si="164"/>
        <v>2644.7009999999996</v>
      </c>
      <c r="N95" s="548">
        <f>F95+55</f>
        <v>2609.7009999999996</v>
      </c>
      <c r="O95" s="307">
        <f t="shared" ref="O95:O96" si="166">+N95*$X$1</f>
        <v>2609.7009999999996</v>
      </c>
      <c r="P95" s="548">
        <f>F95+50</f>
        <v>2604.7009999999996</v>
      </c>
      <c r="Q95" s="307">
        <f t="shared" ref="Q95:Q96" si="167">+P95*$X$1</f>
        <v>2604.7009999999996</v>
      </c>
      <c r="R95" s="548">
        <f>F95+42</f>
        <v>2596.7009999999996</v>
      </c>
      <c r="S95" s="307">
        <f t="shared" ref="S95:S96" si="168">+R95*$X$1</f>
        <v>2596.7009999999996</v>
      </c>
      <c r="T95" s="548">
        <f>F95+35</f>
        <v>2589.7009999999996</v>
      </c>
      <c r="U95" s="307">
        <f t="shared" ref="U95:U96" si="169">+T95*$X$1</f>
        <v>2589.7009999999996</v>
      </c>
      <c r="V95" s="548">
        <f>F95+30</f>
        <v>2584.7009999999996</v>
      </c>
      <c r="W95" s="307">
        <f t="shared" ref="W95:W96" si="170">+V95*$X$1</f>
        <v>2584.7009999999996</v>
      </c>
      <c r="X95" s="168"/>
      <c r="Y95" s="140"/>
      <c r="Z95" s="140"/>
      <c r="AA95" s="143"/>
      <c r="AB95" s="462">
        <v>249</v>
      </c>
    </row>
    <row r="96" spans="1:34" ht="12.6" customHeight="1" x14ac:dyDescent="0.2">
      <c r="A96" s="108"/>
      <c r="B96" s="715" t="s">
        <v>414</v>
      </c>
      <c r="C96" s="716"/>
      <c r="D96" s="716"/>
      <c r="E96" s="716"/>
      <c r="F96" s="364">
        <v>60</v>
      </c>
      <c r="G96" s="389">
        <f t="shared" si="163"/>
        <v>60</v>
      </c>
      <c r="H96" s="311"/>
      <c r="I96" s="311"/>
      <c r="J96" s="106">
        <f>F96+200</f>
        <v>260</v>
      </c>
      <c r="K96" s="364">
        <f t="shared" si="165"/>
        <v>260</v>
      </c>
      <c r="L96" s="614">
        <f>F96+140</f>
        <v>200</v>
      </c>
      <c r="M96" s="364">
        <f t="shared" si="164"/>
        <v>200</v>
      </c>
      <c r="N96" s="614">
        <f>F96+90</f>
        <v>150</v>
      </c>
      <c r="O96" s="364">
        <f t="shared" si="166"/>
        <v>150</v>
      </c>
      <c r="P96" s="614">
        <f>F96+80</f>
        <v>140</v>
      </c>
      <c r="Q96" s="364">
        <f t="shared" si="167"/>
        <v>140</v>
      </c>
      <c r="R96" s="614">
        <f>F96+70</f>
        <v>130</v>
      </c>
      <c r="S96" s="364">
        <f t="shared" si="168"/>
        <v>130</v>
      </c>
      <c r="T96" s="614">
        <f>F96+65</f>
        <v>125</v>
      </c>
      <c r="U96" s="364">
        <f t="shared" si="169"/>
        <v>125</v>
      </c>
      <c r="V96" s="614">
        <f>F96+60</f>
        <v>120</v>
      </c>
      <c r="W96" s="364">
        <f t="shared" si="170"/>
        <v>120</v>
      </c>
      <c r="X96" s="169"/>
      <c r="Y96" s="140"/>
      <c r="Z96" s="140"/>
      <c r="AA96" s="143"/>
      <c r="AB96" s="463">
        <v>251</v>
      </c>
    </row>
    <row r="97" spans="1:30" ht="12.6" customHeight="1" x14ac:dyDescent="0.2">
      <c r="A97" s="18"/>
      <c r="B97" s="669" t="s">
        <v>381</v>
      </c>
      <c r="C97" s="670"/>
      <c r="D97" s="670"/>
      <c r="E97" s="670"/>
      <c r="F97" s="307">
        <v>690</v>
      </c>
      <c r="G97" s="307">
        <f t="shared" si="163"/>
        <v>690</v>
      </c>
      <c r="H97" s="297"/>
      <c r="I97" s="297"/>
      <c r="J97" s="120">
        <f t="shared" ref="J97:J104" si="171">F97+150</f>
        <v>840</v>
      </c>
      <c r="K97" s="307">
        <f t="shared" ref="K97:K98" si="172">+J97*$X$1</f>
        <v>840</v>
      </c>
      <c r="L97" s="548"/>
      <c r="M97" s="548"/>
      <c r="N97" s="548">
        <f>F97+23</f>
        <v>713</v>
      </c>
      <c r="O97" s="548"/>
      <c r="P97" s="297"/>
      <c r="Q97" s="297"/>
      <c r="R97" s="548">
        <f>F97+15</f>
        <v>705</v>
      </c>
      <c r="S97" s="548"/>
      <c r="T97" s="548">
        <f>F97+12</f>
        <v>702</v>
      </c>
      <c r="U97" s="548"/>
      <c r="V97" s="548">
        <f>F97+10</f>
        <v>700</v>
      </c>
      <c r="W97" s="548"/>
      <c r="X97" s="169"/>
      <c r="Y97" s="140"/>
      <c r="Z97" s="140"/>
      <c r="AA97" s="143"/>
      <c r="AB97" s="463" t="s">
        <v>153</v>
      </c>
    </row>
    <row r="98" spans="1:30" ht="12.6" customHeight="1" x14ac:dyDescent="0.2">
      <c r="A98" s="18"/>
      <c r="B98" s="641" t="s">
        <v>520</v>
      </c>
      <c r="C98" s="642"/>
      <c r="D98" s="642"/>
      <c r="E98" s="643"/>
      <c r="F98" s="417">
        <f>12.097*X2</f>
        <v>11746.187</v>
      </c>
      <c r="G98" s="306">
        <f t="shared" si="163"/>
        <v>11746.187</v>
      </c>
      <c r="H98" s="72">
        <f t="shared" ref="H98:H103" si="173">F98+400</f>
        <v>12146.187</v>
      </c>
      <c r="I98" s="306">
        <f t="shared" ref="I98:I103" si="174">+H98*$X$1</f>
        <v>12146.187</v>
      </c>
      <c r="J98" s="72">
        <f t="shared" si="171"/>
        <v>11896.187</v>
      </c>
      <c r="K98" s="306">
        <f t="shared" si="172"/>
        <v>11896.187</v>
      </c>
      <c r="L98" s="613">
        <f t="shared" ref="L98:L104" si="175">F98+90</f>
        <v>11836.187</v>
      </c>
      <c r="M98" s="306">
        <f t="shared" ref="M98" si="176">+L98*$X$1</f>
        <v>11836.187</v>
      </c>
      <c r="N98" s="613">
        <f t="shared" ref="N98:N104" si="177">F98+55</f>
        <v>11801.187</v>
      </c>
      <c r="O98" s="306">
        <f t="shared" ref="O98" si="178">+N98*$X$1</f>
        <v>11801.187</v>
      </c>
      <c r="P98" s="613">
        <f t="shared" ref="P98:P104" si="179">F98+50</f>
        <v>11796.187</v>
      </c>
      <c r="Q98" s="306">
        <f t="shared" ref="Q98" si="180">+P98*$X$1</f>
        <v>11796.187</v>
      </c>
      <c r="R98" s="613">
        <f t="shared" ref="R98:R104" si="181">F98+42</f>
        <v>11788.187</v>
      </c>
      <c r="S98" s="306">
        <f t="shared" ref="S98" si="182">+R98*$X$1</f>
        <v>11788.187</v>
      </c>
      <c r="T98" s="613">
        <f t="shared" ref="T98:T104" si="183">F98+35</f>
        <v>11781.187</v>
      </c>
      <c r="U98" s="306">
        <f t="shared" ref="U98" si="184">+T98*$X$1</f>
        <v>11781.187</v>
      </c>
      <c r="V98" s="613">
        <f t="shared" ref="V98:V104" si="185">F98+30</f>
        <v>11776.187</v>
      </c>
      <c r="W98" s="306">
        <f t="shared" ref="W98" si="186">+V98*$X$1</f>
        <v>11776.187</v>
      </c>
      <c r="X98" s="170"/>
      <c r="Y98" s="140"/>
      <c r="Z98" s="140"/>
      <c r="AA98" s="143"/>
      <c r="AB98" s="463">
        <v>268</v>
      </c>
    </row>
    <row r="99" spans="1:30" ht="12.6" customHeight="1" x14ac:dyDescent="0.2">
      <c r="A99" s="18"/>
      <c r="B99" s="669" t="s">
        <v>703</v>
      </c>
      <c r="C99" s="670"/>
      <c r="D99" s="670"/>
      <c r="E99" s="670"/>
      <c r="F99" s="418">
        <f>4.502*X2</f>
        <v>4371.442</v>
      </c>
      <c r="G99" s="307">
        <f t="shared" si="163"/>
        <v>4371.442</v>
      </c>
      <c r="H99" s="90">
        <f t="shared" si="173"/>
        <v>4771.442</v>
      </c>
      <c r="I99" s="307">
        <f t="shared" si="174"/>
        <v>4771.442</v>
      </c>
      <c r="J99" s="90">
        <f t="shared" si="171"/>
        <v>4521.442</v>
      </c>
      <c r="K99" s="307">
        <f t="shared" ref="K99:K104" si="187">+J99*$X$1</f>
        <v>4521.442</v>
      </c>
      <c r="L99" s="548">
        <f t="shared" si="175"/>
        <v>4461.442</v>
      </c>
      <c r="M99" s="307">
        <f t="shared" ref="M99:M104" si="188">+L99*$X$1</f>
        <v>4461.442</v>
      </c>
      <c r="N99" s="548">
        <f t="shared" si="177"/>
        <v>4426.442</v>
      </c>
      <c r="O99" s="307">
        <f t="shared" ref="O99:O104" si="189">+N99*$X$1</f>
        <v>4426.442</v>
      </c>
      <c r="P99" s="548">
        <f t="shared" si="179"/>
        <v>4421.442</v>
      </c>
      <c r="Q99" s="307">
        <f t="shared" ref="Q99:Q104" si="190">+P99*$X$1</f>
        <v>4421.442</v>
      </c>
      <c r="R99" s="548">
        <f t="shared" si="181"/>
        <v>4413.442</v>
      </c>
      <c r="S99" s="307">
        <f t="shared" ref="S99:S104" si="191">+R99*$X$1</f>
        <v>4413.442</v>
      </c>
      <c r="T99" s="548">
        <f t="shared" si="183"/>
        <v>4406.442</v>
      </c>
      <c r="U99" s="307">
        <f t="shared" ref="U99:U104" si="192">+T99*$X$1</f>
        <v>4406.442</v>
      </c>
      <c r="V99" s="548">
        <f t="shared" si="185"/>
        <v>4401.442</v>
      </c>
      <c r="W99" s="307">
        <f t="shared" ref="W99:W104" si="193">+V99*$X$1</f>
        <v>4401.442</v>
      </c>
      <c r="X99" s="170"/>
      <c r="Y99" s="144"/>
      <c r="Z99" s="140"/>
      <c r="AA99" s="143"/>
      <c r="AB99" s="463">
        <v>270</v>
      </c>
      <c r="AC99" s="30"/>
    </row>
    <row r="100" spans="1:30" ht="12.6" customHeight="1" x14ac:dyDescent="0.2">
      <c r="A100" s="18"/>
      <c r="B100" s="625" t="s">
        <v>154</v>
      </c>
      <c r="C100" s="626"/>
      <c r="D100" s="626"/>
      <c r="E100" s="626"/>
      <c r="F100" s="417">
        <f>14.042*X2</f>
        <v>13634.781999999999</v>
      </c>
      <c r="G100" s="306">
        <f t="shared" ref="G100:G102" si="194">+F100*$X$1</f>
        <v>13634.781999999999</v>
      </c>
      <c r="H100" s="72">
        <f t="shared" si="173"/>
        <v>14034.781999999999</v>
      </c>
      <c r="I100" s="306">
        <f t="shared" si="174"/>
        <v>14034.781999999999</v>
      </c>
      <c r="J100" s="72">
        <f t="shared" si="171"/>
        <v>13784.781999999999</v>
      </c>
      <c r="K100" s="306">
        <f t="shared" si="187"/>
        <v>13784.781999999999</v>
      </c>
      <c r="L100" s="613">
        <f t="shared" si="175"/>
        <v>13724.781999999999</v>
      </c>
      <c r="M100" s="306">
        <f t="shared" si="188"/>
        <v>13724.781999999999</v>
      </c>
      <c r="N100" s="613">
        <f t="shared" si="177"/>
        <v>13689.781999999999</v>
      </c>
      <c r="O100" s="306">
        <f t="shared" si="189"/>
        <v>13689.781999999999</v>
      </c>
      <c r="P100" s="613">
        <f t="shared" si="179"/>
        <v>13684.781999999999</v>
      </c>
      <c r="Q100" s="306">
        <f t="shared" si="190"/>
        <v>13684.781999999999</v>
      </c>
      <c r="R100" s="613">
        <f t="shared" si="181"/>
        <v>13676.781999999999</v>
      </c>
      <c r="S100" s="306">
        <f t="shared" si="191"/>
        <v>13676.781999999999</v>
      </c>
      <c r="T100" s="613">
        <f t="shared" si="183"/>
        <v>13669.781999999999</v>
      </c>
      <c r="U100" s="306">
        <f t="shared" si="192"/>
        <v>13669.781999999999</v>
      </c>
      <c r="V100" s="613">
        <f t="shared" si="185"/>
        <v>13664.781999999999</v>
      </c>
      <c r="W100" s="306">
        <f t="shared" si="193"/>
        <v>13664.781999999999</v>
      </c>
      <c r="X100" s="169"/>
      <c r="Y100" s="140"/>
      <c r="Z100" s="140"/>
      <c r="AA100" s="143"/>
      <c r="AB100" s="463">
        <v>273</v>
      </c>
      <c r="AC100" s="30"/>
    </row>
    <row r="101" spans="1:30" ht="12.6" customHeight="1" x14ac:dyDescent="0.2">
      <c r="A101" s="18"/>
      <c r="B101" s="669" t="s">
        <v>155</v>
      </c>
      <c r="C101" s="670"/>
      <c r="D101" s="670"/>
      <c r="E101" s="670"/>
      <c r="F101" s="418">
        <f>11.208*X2</f>
        <v>10882.968000000001</v>
      </c>
      <c r="G101" s="307">
        <f t="shared" si="194"/>
        <v>10882.968000000001</v>
      </c>
      <c r="H101" s="90">
        <f t="shared" si="173"/>
        <v>11282.968000000001</v>
      </c>
      <c r="I101" s="307">
        <f t="shared" si="174"/>
        <v>11282.968000000001</v>
      </c>
      <c r="J101" s="90">
        <f t="shared" si="171"/>
        <v>11032.968000000001</v>
      </c>
      <c r="K101" s="307">
        <f t="shared" si="187"/>
        <v>11032.968000000001</v>
      </c>
      <c r="L101" s="548">
        <f t="shared" si="175"/>
        <v>10972.968000000001</v>
      </c>
      <c r="M101" s="307">
        <f t="shared" si="188"/>
        <v>10972.968000000001</v>
      </c>
      <c r="N101" s="548">
        <f t="shared" si="177"/>
        <v>10937.968000000001</v>
      </c>
      <c r="O101" s="307">
        <f t="shared" si="189"/>
        <v>10937.968000000001</v>
      </c>
      <c r="P101" s="548">
        <f t="shared" si="179"/>
        <v>10932.968000000001</v>
      </c>
      <c r="Q101" s="307">
        <f t="shared" si="190"/>
        <v>10932.968000000001</v>
      </c>
      <c r="R101" s="548">
        <f t="shared" si="181"/>
        <v>10924.968000000001</v>
      </c>
      <c r="S101" s="307">
        <f t="shared" si="191"/>
        <v>10924.968000000001</v>
      </c>
      <c r="T101" s="548">
        <f t="shared" si="183"/>
        <v>10917.968000000001</v>
      </c>
      <c r="U101" s="307">
        <f t="shared" si="192"/>
        <v>10917.968000000001</v>
      </c>
      <c r="V101" s="548">
        <f t="shared" si="185"/>
        <v>10912.968000000001</v>
      </c>
      <c r="W101" s="307">
        <f t="shared" si="193"/>
        <v>10912.968000000001</v>
      </c>
      <c r="X101" s="170"/>
      <c r="Y101" s="144"/>
      <c r="Z101" s="140"/>
      <c r="AA101" s="143"/>
      <c r="AB101" s="463" t="s">
        <v>156</v>
      </c>
      <c r="AC101" s="30"/>
    </row>
    <row r="102" spans="1:30" ht="12.6" customHeight="1" x14ac:dyDescent="0.2">
      <c r="A102" s="18"/>
      <c r="B102" s="625" t="s">
        <v>157</v>
      </c>
      <c r="C102" s="626"/>
      <c r="D102" s="626"/>
      <c r="E102" s="626"/>
      <c r="F102" s="417">
        <f>8.73*X2</f>
        <v>8476.83</v>
      </c>
      <c r="G102" s="306">
        <f t="shared" si="194"/>
        <v>8476.83</v>
      </c>
      <c r="H102" s="72">
        <f t="shared" si="173"/>
        <v>8876.83</v>
      </c>
      <c r="I102" s="306">
        <f t="shared" si="174"/>
        <v>8876.83</v>
      </c>
      <c r="J102" s="72">
        <f t="shared" si="171"/>
        <v>8626.83</v>
      </c>
      <c r="K102" s="306">
        <f t="shared" si="187"/>
        <v>8626.83</v>
      </c>
      <c r="L102" s="613">
        <f t="shared" si="175"/>
        <v>8566.83</v>
      </c>
      <c r="M102" s="306">
        <f t="shared" si="188"/>
        <v>8566.83</v>
      </c>
      <c r="N102" s="613">
        <f t="shared" si="177"/>
        <v>8531.83</v>
      </c>
      <c r="O102" s="306">
        <f t="shared" si="189"/>
        <v>8531.83</v>
      </c>
      <c r="P102" s="613">
        <f t="shared" si="179"/>
        <v>8526.83</v>
      </c>
      <c r="Q102" s="306">
        <f t="shared" si="190"/>
        <v>8526.83</v>
      </c>
      <c r="R102" s="613">
        <f t="shared" si="181"/>
        <v>8518.83</v>
      </c>
      <c r="S102" s="306">
        <f t="shared" si="191"/>
        <v>8518.83</v>
      </c>
      <c r="T102" s="613">
        <f t="shared" si="183"/>
        <v>8511.83</v>
      </c>
      <c r="U102" s="306">
        <f t="shared" si="192"/>
        <v>8511.83</v>
      </c>
      <c r="V102" s="613">
        <f t="shared" si="185"/>
        <v>8506.83</v>
      </c>
      <c r="W102" s="306">
        <f t="shared" si="193"/>
        <v>8506.83</v>
      </c>
      <c r="X102" s="170"/>
      <c r="Y102" s="144"/>
      <c r="Z102" s="140"/>
      <c r="AA102" s="143"/>
      <c r="AB102" s="463">
        <v>278</v>
      </c>
      <c r="AC102" s="30"/>
    </row>
    <row r="103" spans="1:30" ht="12.6" customHeight="1" x14ac:dyDescent="0.2">
      <c r="A103" s="18"/>
      <c r="B103" s="688" t="s">
        <v>158</v>
      </c>
      <c r="C103" s="689"/>
      <c r="D103" s="689"/>
      <c r="E103" s="689"/>
      <c r="F103" s="418">
        <f>2.02*X2</f>
        <v>1961.42</v>
      </c>
      <c r="G103" s="307">
        <f>+F103*$X$1</f>
        <v>1961.42</v>
      </c>
      <c r="H103" s="90">
        <f t="shared" si="173"/>
        <v>2361.42</v>
      </c>
      <c r="I103" s="307">
        <f t="shared" si="174"/>
        <v>2361.42</v>
      </c>
      <c r="J103" s="90">
        <f t="shared" si="171"/>
        <v>2111.42</v>
      </c>
      <c r="K103" s="307">
        <f t="shared" si="187"/>
        <v>2111.42</v>
      </c>
      <c r="L103" s="548">
        <f t="shared" si="175"/>
        <v>2051.42</v>
      </c>
      <c r="M103" s="307">
        <f t="shared" si="188"/>
        <v>2051.42</v>
      </c>
      <c r="N103" s="548">
        <f t="shared" si="177"/>
        <v>2016.42</v>
      </c>
      <c r="O103" s="307">
        <f t="shared" si="189"/>
        <v>2016.42</v>
      </c>
      <c r="P103" s="548">
        <f t="shared" si="179"/>
        <v>2011.42</v>
      </c>
      <c r="Q103" s="307">
        <f t="shared" si="190"/>
        <v>2011.42</v>
      </c>
      <c r="R103" s="548">
        <f t="shared" si="181"/>
        <v>2003.42</v>
      </c>
      <c r="S103" s="307">
        <f t="shared" si="191"/>
        <v>2003.42</v>
      </c>
      <c r="T103" s="548">
        <f t="shared" si="183"/>
        <v>1996.42</v>
      </c>
      <c r="U103" s="307">
        <f t="shared" si="192"/>
        <v>1996.42</v>
      </c>
      <c r="V103" s="548">
        <f t="shared" si="185"/>
        <v>1991.42</v>
      </c>
      <c r="W103" s="307">
        <f t="shared" si="193"/>
        <v>1991.42</v>
      </c>
      <c r="X103" s="167"/>
      <c r="Y103" s="144"/>
      <c r="Z103" s="140"/>
      <c r="AA103" s="143"/>
      <c r="AB103" s="463">
        <v>288</v>
      </c>
      <c r="AC103" s="30"/>
    </row>
    <row r="104" spans="1:30" ht="12.6" customHeight="1" x14ac:dyDescent="0.2">
      <c r="A104" s="18"/>
      <c r="B104" s="625" t="s">
        <v>159</v>
      </c>
      <c r="C104" s="626"/>
      <c r="D104" s="626"/>
      <c r="E104" s="626"/>
      <c r="F104" s="306">
        <v>380</v>
      </c>
      <c r="G104" s="306">
        <f>+F104*$X$1</f>
        <v>380</v>
      </c>
      <c r="H104" s="72"/>
      <c r="I104" s="306"/>
      <c r="J104" s="72">
        <f t="shared" si="171"/>
        <v>530</v>
      </c>
      <c r="K104" s="306">
        <f t="shared" si="187"/>
        <v>530</v>
      </c>
      <c r="L104" s="613">
        <f t="shared" si="175"/>
        <v>470</v>
      </c>
      <c r="M104" s="306">
        <f t="shared" si="188"/>
        <v>470</v>
      </c>
      <c r="N104" s="613">
        <f t="shared" si="177"/>
        <v>435</v>
      </c>
      <c r="O104" s="306">
        <f t="shared" si="189"/>
        <v>435</v>
      </c>
      <c r="P104" s="613">
        <f t="shared" si="179"/>
        <v>430</v>
      </c>
      <c r="Q104" s="306">
        <f t="shared" si="190"/>
        <v>430</v>
      </c>
      <c r="R104" s="613">
        <f t="shared" si="181"/>
        <v>422</v>
      </c>
      <c r="S104" s="306">
        <f t="shared" si="191"/>
        <v>422</v>
      </c>
      <c r="T104" s="613">
        <f t="shared" si="183"/>
        <v>415</v>
      </c>
      <c r="U104" s="306">
        <f t="shared" si="192"/>
        <v>415</v>
      </c>
      <c r="V104" s="613">
        <f t="shared" si="185"/>
        <v>410</v>
      </c>
      <c r="W104" s="306">
        <f t="shared" si="193"/>
        <v>410</v>
      </c>
      <c r="X104" s="167"/>
      <c r="Y104" s="144"/>
      <c r="Z104" s="140"/>
      <c r="AA104" s="143"/>
      <c r="AB104" s="463">
        <v>289</v>
      </c>
      <c r="AC104" s="30"/>
    </row>
    <row r="105" spans="1:30" ht="12.6" customHeight="1" x14ac:dyDescent="0.2">
      <c r="A105" s="18"/>
      <c r="B105" s="669" t="s">
        <v>160</v>
      </c>
      <c r="C105" s="670"/>
      <c r="D105" s="670"/>
      <c r="E105" s="670"/>
      <c r="F105" s="307"/>
      <c r="G105" s="708" t="s">
        <v>619</v>
      </c>
      <c r="H105" s="709"/>
      <c r="I105" s="709"/>
      <c r="J105" s="709"/>
      <c r="K105" s="709"/>
      <c r="L105" s="709"/>
      <c r="M105" s="709"/>
      <c r="N105" s="709"/>
      <c r="O105" s="710"/>
      <c r="P105" s="299">
        <v>383</v>
      </c>
      <c r="Q105" s="307">
        <f t="shared" ref="Q105:Q109" si="195">+P105*$X$1</f>
        <v>383</v>
      </c>
      <c r="R105" s="118">
        <v>380</v>
      </c>
      <c r="S105" s="328">
        <f t="shared" ref="S105:S108" si="196">+R105*$X$1</f>
        <v>380</v>
      </c>
      <c r="T105" s="104">
        <v>370</v>
      </c>
      <c r="U105" s="328">
        <f t="shared" ref="U105:U108" si="197">+T105*$X$1</f>
        <v>370</v>
      </c>
      <c r="V105" s="104">
        <v>361</v>
      </c>
      <c r="W105" s="328">
        <f t="shared" ref="W105:W108" si="198">+V105*$X$1</f>
        <v>361</v>
      </c>
      <c r="X105" s="671"/>
      <c r="Y105" s="672"/>
      <c r="Z105" s="672"/>
      <c r="AA105" s="673"/>
      <c r="AB105" s="463">
        <v>290</v>
      </c>
    </row>
    <row r="106" spans="1:30" ht="12.6" customHeight="1" x14ac:dyDescent="0.2">
      <c r="A106" s="18"/>
      <c r="B106" s="625" t="s">
        <v>430</v>
      </c>
      <c r="C106" s="626"/>
      <c r="D106" s="626"/>
      <c r="E106" s="626"/>
      <c r="F106" s="306"/>
      <c r="G106" s="708" t="s">
        <v>620</v>
      </c>
      <c r="H106" s="709"/>
      <c r="I106" s="709"/>
      <c r="J106" s="709"/>
      <c r="K106" s="709"/>
      <c r="L106" s="709"/>
      <c r="M106" s="709"/>
      <c r="N106" s="709"/>
      <c r="O106" s="710"/>
      <c r="P106" s="300">
        <v>504</v>
      </c>
      <c r="Q106" s="306">
        <f t="shared" si="195"/>
        <v>504</v>
      </c>
      <c r="R106" s="448">
        <v>501</v>
      </c>
      <c r="S106" s="271">
        <f t="shared" si="196"/>
        <v>501</v>
      </c>
      <c r="T106" s="559">
        <v>488</v>
      </c>
      <c r="U106" s="271">
        <f t="shared" si="197"/>
        <v>488</v>
      </c>
      <c r="V106" s="559">
        <v>479</v>
      </c>
      <c r="W106" s="271">
        <f t="shared" si="198"/>
        <v>479</v>
      </c>
      <c r="X106" s="671"/>
      <c r="Y106" s="672"/>
      <c r="Z106" s="672"/>
      <c r="AA106" s="673"/>
      <c r="AB106" s="463" t="s">
        <v>161</v>
      </c>
    </row>
    <row r="107" spans="1:30" ht="12.6" customHeight="1" x14ac:dyDescent="0.2">
      <c r="A107" s="18"/>
      <c r="B107" s="669" t="s">
        <v>431</v>
      </c>
      <c r="C107" s="670"/>
      <c r="D107" s="670"/>
      <c r="E107" s="670"/>
      <c r="F107" s="307"/>
      <c r="G107" s="708" t="s">
        <v>621</v>
      </c>
      <c r="H107" s="709"/>
      <c r="I107" s="709"/>
      <c r="J107" s="709"/>
      <c r="K107" s="709"/>
      <c r="L107" s="709"/>
      <c r="M107" s="710"/>
      <c r="N107" s="299">
        <v>565</v>
      </c>
      <c r="O107" s="307">
        <f t="shared" ref="O107:O108" si="199">+N107*$X$1</f>
        <v>565</v>
      </c>
      <c r="P107" s="299">
        <v>474</v>
      </c>
      <c r="Q107" s="307">
        <f t="shared" si="195"/>
        <v>474</v>
      </c>
      <c r="R107" s="555">
        <v>471</v>
      </c>
      <c r="S107" s="328">
        <f t="shared" si="196"/>
        <v>471</v>
      </c>
      <c r="T107" s="548">
        <v>462</v>
      </c>
      <c r="U107" s="328">
        <f t="shared" si="197"/>
        <v>462</v>
      </c>
      <c r="V107" s="548">
        <v>453</v>
      </c>
      <c r="W107" s="328">
        <f t="shared" si="198"/>
        <v>453</v>
      </c>
      <c r="X107" s="671"/>
      <c r="Y107" s="672"/>
      <c r="Z107" s="672"/>
      <c r="AA107" s="673"/>
      <c r="AB107" s="463">
        <v>291</v>
      </c>
    </row>
    <row r="108" spans="1:30" ht="12.6" customHeight="1" x14ac:dyDescent="0.2">
      <c r="A108" s="18"/>
      <c r="B108" s="625" t="s">
        <v>432</v>
      </c>
      <c r="C108" s="626"/>
      <c r="D108" s="626"/>
      <c r="E108" s="626"/>
      <c r="F108" s="306"/>
      <c r="G108" s="708" t="s">
        <v>622</v>
      </c>
      <c r="H108" s="709"/>
      <c r="I108" s="709"/>
      <c r="J108" s="709"/>
      <c r="K108" s="709"/>
      <c r="L108" s="709"/>
      <c r="M108" s="710"/>
      <c r="N108" s="300">
        <v>781</v>
      </c>
      <c r="O108" s="306">
        <f t="shared" si="199"/>
        <v>781</v>
      </c>
      <c r="P108" s="300">
        <v>654</v>
      </c>
      <c r="Q108" s="306">
        <f t="shared" si="195"/>
        <v>654</v>
      </c>
      <c r="R108" s="448">
        <v>651</v>
      </c>
      <c r="S108" s="271">
        <f t="shared" si="196"/>
        <v>651</v>
      </c>
      <c r="T108" s="559">
        <v>641</v>
      </c>
      <c r="U108" s="271">
        <f t="shared" si="197"/>
        <v>641</v>
      </c>
      <c r="V108" s="559">
        <v>631</v>
      </c>
      <c r="W108" s="271">
        <f t="shared" si="198"/>
        <v>631</v>
      </c>
      <c r="X108" s="671"/>
      <c r="Y108" s="672"/>
      <c r="Z108" s="672"/>
      <c r="AA108" s="673"/>
      <c r="AB108" s="463" t="s">
        <v>162</v>
      </c>
    </row>
    <row r="109" spans="1:30" ht="12.6" customHeight="1" x14ac:dyDescent="0.2">
      <c r="A109" s="18"/>
      <c r="B109" s="669" t="s">
        <v>163</v>
      </c>
      <c r="C109" s="669"/>
      <c r="D109" s="669"/>
      <c r="E109" s="669"/>
      <c r="F109" s="367">
        <v>230</v>
      </c>
      <c r="G109" s="307">
        <f t="shared" ref="G109:G110" si="200">+F109*$X$1</f>
        <v>230</v>
      </c>
      <c r="H109" s="724" t="s">
        <v>429</v>
      </c>
      <c r="I109" s="725"/>
      <c r="J109" s="725"/>
      <c r="K109" s="725"/>
      <c r="L109" s="726"/>
      <c r="M109" s="727"/>
      <c r="N109" s="118">
        <f>F109+55</f>
        <v>285</v>
      </c>
      <c r="O109" s="343">
        <f>+N109*$X$1</f>
        <v>285</v>
      </c>
      <c r="P109" s="118">
        <f>F109+50</f>
        <v>280</v>
      </c>
      <c r="Q109" s="307">
        <f t="shared" si="195"/>
        <v>280</v>
      </c>
      <c r="R109" s="621">
        <f>F109+42</f>
        <v>272</v>
      </c>
      <c r="S109" s="328">
        <f>+R109*$X$1</f>
        <v>272</v>
      </c>
      <c r="T109" s="548">
        <f>F109+35</f>
        <v>265</v>
      </c>
      <c r="U109" s="328">
        <f>+T109*$X$1</f>
        <v>265</v>
      </c>
      <c r="V109" s="548">
        <f>F109+30</f>
        <v>260</v>
      </c>
      <c r="W109" s="328">
        <f>+V109*$X$1</f>
        <v>260</v>
      </c>
      <c r="X109" s="671"/>
      <c r="Y109" s="672"/>
      <c r="Z109" s="672"/>
      <c r="AA109" s="673"/>
      <c r="AB109" s="201">
        <v>296</v>
      </c>
      <c r="AD109" s="65"/>
    </row>
    <row r="110" spans="1:30" ht="12.6" customHeight="1" x14ac:dyDescent="0.2">
      <c r="A110" s="18"/>
      <c r="B110" s="625" t="s">
        <v>164</v>
      </c>
      <c r="C110" s="625"/>
      <c r="D110" s="625"/>
      <c r="E110" s="625"/>
      <c r="F110" s="330">
        <v>310</v>
      </c>
      <c r="G110" s="306">
        <f t="shared" si="200"/>
        <v>310</v>
      </c>
      <c r="H110" s="728"/>
      <c r="I110" s="729"/>
      <c r="J110" s="729"/>
      <c r="K110" s="729"/>
      <c r="L110" s="730"/>
      <c r="M110" s="731"/>
      <c r="N110" s="310">
        <f>F110+55</f>
        <v>365</v>
      </c>
      <c r="O110" s="329">
        <f>+N110*$X$1</f>
        <v>365</v>
      </c>
      <c r="P110" s="310">
        <f>F110+50</f>
        <v>360</v>
      </c>
      <c r="Q110" s="306">
        <f t="shared" ref="Q110" si="201">+P110*$X$1</f>
        <v>360</v>
      </c>
      <c r="R110" s="220">
        <f>F110+42</f>
        <v>352</v>
      </c>
      <c r="S110" s="271">
        <f>+R110*$X$1</f>
        <v>352</v>
      </c>
      <c r="T110" s="613">
        <f>F110+35</f>
        <v>345</v>
      </c>
      <c r="U110" s="271">
        <f>+T110*$X$1</f>
        <v>345</v>
      </c>
      <c r="V110" s="613">
        <f>F110+30</f>
        <v>340</v>
      </c>
      <c r="W110" s="271">
        <f>+V110*$X$1</f>
        <v>340</v>
      </c>
      <c r="X110" s="671"/>
      <c r="Y110" s="672"/>
      <c r="Z110" s="672"/>
      <c r="AA110" s="673"/>
      <c r="AB110" s="201">
        <v>297</v>
      </c>
    </row>
    <row r="111" spans="1:30" ht="12.6" customHeight="1" x14ac:dyDescent="0.2">
      <c r="A111" s="18"/>
      <c r="B111" s="675" t="s">
        <v>371</v>
      </c>
      <c r="C111" s="676"/>
      <c r="D111" s="676"/>
      <c r="E111" s="676"/>
      <c r="F111" s="343"/>
      <c r="G111" s="343"/>
      <c r="H111" s="94"/>
      <c r="I111" s="838" t="s">
        <v>372</v>
      </c>
      <c r="J111" s="839"/>
      <c r="K111" s="839"/>
      <c r="L111" s="839"/>
      <c r="M111" s="839"/>
      <c r="N111" s="839"/>
      <c r="O111" s="839"/>
      <c r="P111" s="839"/>
      <c r="Q111" s="839"/>
      <c r="R111" s="839"/>
      <c r="S111" s="839"/>
      <c r="T111" s="839"/>
      <c r="U111" s="839"/>
      <c r="V111" s="839"/>
      <c r="W111" s="878"/>
      <c r="X111" s="622"/>
      <c r="Y111" s="623"/>
      <c r="Z111" s="623"/>
      <c r="AA111" s="624"/>
      <c r="AB111" s="463"/>
    </row>
    <row r="112" spans="1:30" ht="12.6" customHeight="1" x14ac:dyDescent="0.2">
      <c r="A112" s="18"/>
      <c r="B112" s="721" t="s">
        <v>373</v>
      </c>
      <c r="C112" s="722"/>
      <c r="D112" s="722"/>
      <c r="E112" s="722"/>
      <c r="F112" s="329"/>
      <c r="G112" s="382"/>
      <c r="H112" s="123"/>
      <c r="I112" s="842"/>
      <c r="J112" s="843"/>
      <c r="K112" s="843"/>
      <c r="L112" s="848"/>
      <c r="M112" s="848"/>
      <c r="N112" s="848"/>
      <c r="O112" s="843"/>
      <c r="P112" s="843"/>
      <c r="Q112" s="843"/>
      <c r="R112" s="843"/>
      <c r="S112" s="843"/>
      <c r="T112" s="848"/>
      <c r="U112" s="848"/>
      <c r="V112" s="848"/>
      <c r="W112" s="879"/>
      <c r="X112" s="622"/>
      <c r="Y112" s="623"/>
      <c r="Z112" s="623"/>
      <c r="AA112" s="624"/>
      <c r="AB112" s="463"/>
    </row>
    <row r="113" spans="1:28" ht="12.6" customHeight="1" x14ac:dyDescent="0.2">
      <c r="A113" s="18"/>
      <c r="B113" s="669" t="s">
        <v>829</v>
      </c>
      <c r="C113" s="670"/>
      <c r="D113" s="670"/>
      <c r="E113" s="670"/>
      <c r="F113" s="386"/>
      <c r="G113" s="708" t="s">
        <v>428</v>
      </c>
      <c r="H113" s="709"/>
      <c r="I113" s="709"/>
      <c r="J113" s="709"/>
      <c r="K113" s="710"/>
      <c r="L113" s="557">
        <v>1565</v>
      </c>
      <c r="M113" s="307">
        <f t="shared" ref="M113:O125" si="202">+L113*$X$1</f>
        <v>1565</v>
      </c>
      <c r="N113" s="129">
        <v>1333</v>
      </c>
      <c r="O113" s="307">
        <f t="shared" si="202"/>
        <v>1333</v>
      </c>
      <c r="P113" s="436">
        <v>1110</v>
      </c>
      <c r="Q113" s="307">
        <f t="shared" ref="Q113:Q124" si="203">+P113*$X$1</f>
        <v>1110</v>
      </c>
      <c r="R113" s="548">
        <v>1105</v>
      </c>
      <c r="S113" s="307">
        <f t="shared" ref="S113:S125" si="204">+R113*$X$1</f>
        <v>1105</v>
      </c>
      <c r="T113" s="548">
        <v>1093</v>
      </c>
      <c r="U113" s="343">
        <f t="shared" ref="U113:U123" si="205">+T113*$X$1</f>
        <v>1093</v>
      </c>
      <c r="V113" s="548">
        <v>827</v>
      </c>
      <c r="W113" s="343">
        <f t="shared" ref="W113:W123" si="206">+V113*$X$1</f>
        <v>827</v>
      </c>
      <c r="X113" s="671"/>
      <c r="Y113" s="672"/>
      <c r="Z113" s="672"/>
      <c r="AA113" s="673"/>
      <c r="AB113" s="463">
        <v>301</v>
      </c>
    </row>
    <row r="114" spans="1:28" ht="12.6" customHeight="1" x14ac:dyDescent="0.2">
      <c r="A114" s="18"/>
      <c r="B114" s="625" t="s">
        <v>830</v>
      </c>
      <c r="C114" s="626"/>
      <c r="D114" s="626"/>
      <c r="E114" s="626"/>
      <c r="F114" s="387"/>
      <c r="G114" s="708" t="s">
        <v>428</v>
      </c>
      <c r="H114" s="709"/>
      <c r="I114" s="709"/>
      <c r="J114" s="709"/>
      <c r="K114" s="710"/>
      <c r="L114" s="326">
        <v>1722</v>
      </c>
      <c r="M114" s="564">
        <f t="shared" si="202"/>
        <v>1722</v>
      </c>
      <c r="N114" s="448">
        <v>1468</v>
      </c>
      <c r="O114" s="564">
        <f t="shared" si="202"/>
        <v>1468</v>
      </c>
      <c r="P114" s="327">
        <v>1221</v>
      </c>
      <c r="Q114" s="306">
        <f t="shared" si="203"/>
        <v>1221</v>
      </c>
      <c r="R114" s="123">
        <v>1217</v>
      </c>
      <c r="S114" s="564">
        <f t="shared" si="204"/>
        <v>1217</v>
      </c>
      <c r="T114" s="559">
        <v>1205</v>
      </c>
      <c r="U114" s="329">
        <f t="shared" si="205"/>
        <v>1205</v>
      </c>
      <c r="V114" s="559">
        <v>949</v>
      </c>
      <c r="W114" s="329">
        <f t="shared" si="206"/>
        <v>949</v>
      </c>
      <c r="X114" s="671"/>
      <c r="Y114" s="672"/>
      <c r="Z114" s="672"/>
      <c r="AA114" s="673"/>
      <c r="AB114" s="463" t="s">
        <v>165</v>
      </c>
    </row>
    <row r="115" spans="1:28" ht="12.6" customHeight="1" x14ac:dyDescent="0.2">
      <c r="A115" s="18"/>
      <c r="B115" s="669" t="s">
        <v>831</v>
      </c>
      <c r="C115" s="670"/>
      <c r="D115" s="670"/>
      <c r="E115" s="670"/>
      <c r="F115" s="386"/>
      <c r="G115" s="708" t="s">
        <v>428</v>
      </c>
      <c r="H115" s="709"/>
      <c r="I115" s="709"/>
      <c r="J115" s="709"/>
      <c r="K115" s="710"/>
      <c r="L115" s="557">
        <v>4142</v>
      </c>
      <c r="M115" s="307">
        <f t="shared" ref="M115" si="207">+L115*$X$1</f>
        <v>4142</v>
      </c>
      <c r="N115" s="129">
        <v>3532</v>
      </c>
      <c r="O115" s="307">
        <f t="shared" ref="O115" si="208">+N115*$X$1</f>
        <v>3532</v>
      </c>
      <c r="P115" s="436">
        <v>3227</v>
      </c>
      <c r="Q115" s="307">
        <f t="shared" ref="Q115" si="209">+P115*$X$1</f>
        <v>3227</v>
      </c>
      <c r="R115" s="548">
        <v>3221</v>
      </c>
      <c r="S115" s="307">
        <f t="shared" ref="S115" si="210">+R115*$X$1</f>
        <v>3221</v>
      </c>
      <c r="T115" s="548">
        <v>3197</v>
      </c>
      <c r="U115" s="343">
        <f t="shared" ref="U115" si="211">+T115*$X$1</f>
        <v>3197</v>
      </c>
      <c r="V115" s="548">
        <v>2811</v>
      </c>
      <c r="W115" s="343">
        <f t="shared" ref="W115" si="212">+V115*$X$1</f>
        <v>2811</v>
      </c>
      <c r="X115" s="671"/>
      <c r="Y115" s="672"/>
      <c r="Z115" s="672"/>
      <c r="AA115" s="673"/>
      <c r="AB115" s="463" t="s">
        <v>166</v>
      </c>
    </row>
    <row r="116" spans="1:28" ht="12.6" customHeight="1" x14ac:dyDescent="0.2">
      <c r="A116" s="18"/>
      <c r="B116" s="625" t="s">
        <v>856</v>
      </c>
      <c r="C116" s="707"/>
      <c r="D116" s="707"/>
      <c r="E116" s="707"/>
      <c r="F116" s="387"/>
      <c r="G116" s="708" t="s">
        <v>428</v>
      </c>
      <c r="H116" s="709"/>
      <c r="I116" s="709"/>
      <c r="J116" s="709"/>
      <c r="K116" s="710"/>
      <c r="L116" s="557">
        <v>2895</v>
      </c>
      <c r="M116" s="306">
        <f t="shared" ref="M116" si="213">+L116*$X$1</f>
        <v>2895</v>
      </c>
      <c r="N116" s="72">
        <v>2467</v>
      </c>
      <c r="O116" s="306">
        <f t="shared" ref="O116" si="214">+N116*$X$1</f>
        <v>2467</v>
      </c>
      <c r="P116" s="345">
        <v>2270</v>
      </c>
      <c r="Q116" s="306">
        <f t="shared" ref="Q116" si="215">+P116*$X$1</f>
        <v>2270</v>
      </c>
      <c r="R116" s="559">
        <v>2250</v>
      </c>
      <c r="S116" s="306">
        <f t="shared" ref="S116" si="216">+R116*$X$1</f>
        <v>2250</v>
      </c>
      <c r="T116" s="559">
        <v>2232</v>
      </c>
      <c r="U116" s="306">
        <f t="shared" ref="U116" si="217">+T116*$X$1</f>
        <v>2232</v>
      </c>
      <c r="V116" s="559">
        <v>1851</v>
      </c>
      <c r="W116" s="306">
        <f t="shared" ref="W116" si="218">+V116*$X$1</f>
        <v>1851</v>
      </c>
      <c r="X116" s="671"/>
      <c r="Y116" s="672"/>
      <c r="Z116" s="672"/>
      <c r="AA116" s="673"/>
      <c r="AB116" s="463" t="s">
        <v>859</v>
      </c>
    </row>
    <row r="117" spans="1:28" ht="12.6" customHeight="1" x14ac:dyDescent="0.2">
      <c r="A117" s="18"/>
      <c r="B117" s="693" t="s">
        <v>858</v>
      </c>
      <c r="C117" s="694"/>
      <c r="D117" s="694"/>
      <c r="E117" s="694"/>
      <c r="F117" s="386"/>
      <c r="G117" s="708" t="s">
        <v>428</v>
      </c>
      <c r="H117" s="709"/>
      <c r="I117" s="709"/>
      <c r="J117" s="709"/>
      <c r="K117" s="710"/>
      <c r="L117" s="557">
        <v>2258</v>
      </c>
      <c r="M117" s="307">
        <f t="shared" ref="M117" si="219">+L117*$X$1</f>
        <v>2258</v>
      </c>
      <c r="N117" s="90">
        <v>1922</v>
      </c>
      <c r="O117" s="307">
        <f t="shared" ref="O117" si="220">+N117*$X$1</f>
        <v>1922</v>
      </c>
      <c r="P117" s="299">
        <v>1614</v>
      </c>
      <c r="Q117" s="307">
        <f t="shared" ref="Q117" si="221">+P117*$X$1</f>
        <v>1614</v>
      </c>
      <c r="R117" s="548">
        <v>1594</v>
      </c>
      <c r="S117" s="307">
        <f t="shared" ref="S117" si="222">+R117*$X$1</f>
        <v>1594</v>
      </c>
      <c r="T117" s="548">
        <v>1579</v>
      </c>
      <c r="U117" s="307">
        <f t="shared" ref="U117" si="223">+T117*$X$1</f>
        <v>1579</v>
      </c>
      <c r="V117" s="548">
        <v>1201</v>
      </c>
      <c r="W117" s="307">
        <f t="shared" ref="W117" si="224">+V117*$X$1</f>
        <v>1201</v>
      </c>
      <c r="X117" s="671"/>
      <c r="Y117" s="672"/>
      <c r="Z117" s="672"/>
      <c r="AA117" s="673"/>
      <c r="AB117" s="463" t="s">
        <v>862</v>
      </c>
    </row>
    <row r="118" spans="1:28" ht="12.6" customHeight="1" x14ac:dyDescent="0.2">
      <c r="A118" s="18"/>
      <c r="B118" s="625" t="s">
        <v>433</v>
      </c>
      <c r="C118" s="626"/>
      <c r="D118" s="626"/>
      <c r="E118" s="626"/>
      <c r="F118" s="375"/>
      <c r="G118" s="708" t="s">
        <v>427</v>
      </c>
      <c r="H118" s="709"/>
      <c r="I118" s="709"/>
      <c r="J118" s="709"/>
      <c r="K118" s="710"/>
      <c r="L118" s="560">
        <v>1060</v>
      </c>
      <c r="M118" s="306">
        <f t="shared" si="202"/>
        <v>1060</v>
      </c>
      <c r="N118" s="72">
        <v>901</v>
      </c>
      <c r="O118" s="306">
        <f t="shared" si="202"/>
        <v>901</v>
      </c>
      <c r="P118" s="345">
        <v>751</v>
      </c>
      <c r="Q118" s="306">
        <f t="shared" si="203"/>
        <v>751</v>
      </c>
      <c r="R118" s="559">
        <v>747</v>
      </c>
      <c r="S118" s="306">
        <f t="shared" si="204"/>
        <v>747</v>
      </c>
      <c r="T118" s="559">
        <v>737</v>
      </c>
      <c r="U118" s="306">
        <f t="shared" si="205"/>
        <v>737</v>
      </c>
      <c r="V118" s="559">
        <v>621</v>
      </c>
      <c r="W118" s="306">
        <f t="shared" si="206"/>
        <v>621</v>
      </c>
      <c r="X118" s="671"/>
      <c r="Y118" s="672"/>
      <c r="Z118" s="672"/>
      <c r="AA118" s="673"/>
      <c r="AB118" s="463">
        <v>302</v>
      </c>
    </row>
    <row r="119" spans="1:28" ht="12.6" customHeight="1" x14ac:dyDescent="0.2">
      <c r="A119" s="18"/>
      <c r="B119" s="669" t="s">
        <v>434</v>
      </c>
      <c r="C119" s="670"/>
      <c r="D119" s="670"/>
      <c r="E119" s="670"/>
      <c r="F119" s="307"/>
      <c r="G119" s="708" t="s">
        <v>427</v>
      </c>
      <c r="H119" s="709"/>
      <c r="I119" s="709"/>
      <c r="J119" s="709"/>
      <c r="K119" s="710"/>
      <c r="L119" s="557">
        <v>1215</v>
      </c>
      <c r="M119" s="307">
        <f t="shared" si="202"/>
        <v>1215</v>
      </c>
      <c r="N119" s="90">
        <v>1036</v>
      </c>
      <c r="O119" s="307">
        <f t="shared" si="202"/>
        <v>1036</v>
      </c>
      <c r="P119" s="299">
        <v>863</v>
      </c>
      <c r="Q119" s="307">
        <f t="shared" si="203"/>
        <v>863</v>
      </c>
      <c r="R119" s="548">
        <v>859</v>
      </c>
      <c r="S119" s="307">
        <f t="shared" si="204"/>
        <v>859</v>
      </c>
      <c r="T119" s="548">
        <v>848</v>
      </c>
      <c r="U119" s="307">
        <f t="shared" si="205"/>
        <v>848</v>
      </c>
      <c r="V119" s="548">
        <v>744</v>
      </c>
      <c r="W119" s="307">
        <f t="shared" si="206"/>
        <v>744</v>
      </c>
      <c r="X119" s="671"/>
      <c r="Y119" s="672"/>
      <c r="Z119" s="672"/>
      <c r="AA119" s="673"/>
      <c r="AB119" s="463" t="s">
        <v>167</v>
      </c>
    </row>
    <row r="120" spans="1:28" ht="12.6" customHeight="1" x14ac:dyDescent="0.2">
      <c r="A120" s="18"/>
      <c r="B120" s="625" t="s">
        <v>397</v>
      </c>
      <c r="C120" s="626"/>
      <c r="D120" s="626"/>
      <c r="E120" s="626"/>
      <c r="F120" s="375"/>
      <c r="G120" s="708" t="s">
        <v>427</v>
      </c>
      <c r="H120" s="709"/>
      <c r="I120" s="709"/>
      <c r="J120" s="709"/>
      <c r="K120" s="710"/>
      <c r="L120" s="560">
        <v>3635</v>
      </c>
      <c r="M120" s="306">
        <f t="shared" ref="M120" si="225">+L120*$X$1</f>
        <v>3635</v>
      </c>
      <c r="N120" s="72">
        <v>3100</v>
      </c>
      <c r="O120" s="306">
        <f t="shared" ref="O120" si="226">+N120*$X$1</f>
        <v>3100</v>
      </c>
      <c r="P120" s="345">
        <v>2833</v>
      </c>
      <c r="Q120" s="306">
        <f t="shared" ref="Q120" si="227">+P120*$X$1</f>
        <v>2833</v>
      </c>
      <c r="R120" s="559">
        <v>2827</v>
      </c>
      <c r="S120" s="306">
        <f t="shared" ref="S120" si="228">+R120*$X$1</f>
        <v>2827</v>
      </c>
      <c r="T120" s="559">
        <v>2806</v>
      </c>
      <c r="U120" s="306">
        <f t="shared" ref="U120" si="229">+T120*$X$1</f>
        <v>2806</v>
      </c>
      <c r="V120" s="559">
        <v>2606</v>
      </c>
      <c r="W120" s="306">
        <f t="shared" ref="W120" si="230">+V120*$X$1</f>
        <v>2606</v>
      </c>
      <c r="X120" s="671"/>
      <c r="Y120" s="672"/>
      <c r="Z120" s="672"/>
      <c r="AA120" s="673"/>
      <c r="AB120" s="463" t="s">
        <v>168</v>
      </c>
    </row>
    <row r="121" spans="1:28" ht="12.6" customHeight="1" x14ac:dyDescent="0.2">
      <c r="A121" s="18"/>
      <c r="B121" s="669" t="s">
        <v>857</v>
      </c>
      <c r="C121" s="869"/>
      <c r="D121" s="869"/>
      <c r="E121" s="869"/>
      <c r="F121" s="374"/>
      <c r="G121" s="708" t="s">
        <v>427</v>
      </c>
      <c r="H121" s="709"/>
      <c r="I121" s="709"/>
      <c r="J121" s="709"/>
      <c r="K121" s="710"/>
      <c r="L121" s="557">
        <v>2390</v>
      </c>
      <c r="M121" s="307">
        <f t="shared" ref="M121" si="231">+L121*$X$1</f>
        <v>2390</v>
      </c>
      <c r="N121" s="90">
        <v>2035</v>
      </c>
      <c r="O121" s="307">
        <f t="shared" ref="O121" si="232">+N121*$X$1</f>
        <v>2035</v>
      </c>
      <c r="P121" s="299">
        <v>1875</v>
      </c>
      <c r="Q121" s="307">
        <f t="shared" ref="Q121" si="233">+P121*$X$1</f>
        <v>1875</v>
      </c>
      <c r="R121" s="548">
        <v>1855</v>
      </c>
      <c r="S121" s="307">
        <f t="shared" ref="S121" si="234">+R121*$X$1</f>
        <v>1855</v>
      </c>
      <c r="T121" s="548">
        <v>1840</v>
      </c>
      <c r="U121" s="307">
        <f t="shared" ref="U121" si="235">+T121*$X$1</f>
        <v>1840</v>
      </c>
      <c r="V121" s="548">
        <v>1645</v>
      </c>
      <c r="W121" s="307">
        <f t="shared" ref="W121" si="236">+V121*$X$1</f>
        <v>1645</v>
      </c>
      <c r="X121" s="671"/>
      <c r="Y121" s="672"/>
      <c r="Z121" s="672"/>
      <c r="AA121" s="673"/>
      <c r="AB121" s="463" t="s">
        <v>860</v>
      </c>
    </row>
    <row r="122" spans="1:28" ht="12.6" customHeight="1" x14ac:dyDescent="0.2">
      <c r="A122" s="18"/>
      <c r="B122" s="693" t="s">
        <v>861</v>
      </c>
      <c r="C122" s="694"/>
      <c r="D122" s="694"/>
      <c r="E122" s="694"/>
      <c r="F122" s="375"/>
      <c r="G122" s="708" t="s">
        <v>427</v>
      </c>
      <c r="H122" s="709"/>
      <c r="I122" s="709"/>
      <c r="J122" s="709"/>
      <c r="K122" s="710"/>
      <c r="L122" s="560">
        <v>1701</v>
      </c>
      <c r="M122" s="306">
        <f t="shared" ref="M122" si="237">+L122*$X$1</f>
        <v>1701</v>
      </c>
      <c r="N122" s="72">
        <v>1447</v>
      </c>
      <c r="O122" s="306">
        <f t="shared" ref="O122" si="238">+N122*$X$1</f>
        <v>1447</v>
      </c>
      <c r="P122" s="345">
        <v>1220</v>
      </c>
      <c r="Q122" s="306">
        <f t="shared" ref="Q122" si="239">+P122*$X$1</f>
        <v>1220</v>
      </c>
      <c r="R122" s="559">
        <v>1200</v>
      </c>
      <c r="S122" s="306">
        <f t="shared" ref="S122" si="240">+R122*$X$1</f>
        <v>1200</v>
      </c>
      <c r="T122" s="559">
        <v>1188</v>
      </c>
      <c r="U122" s="306">
        <f t="shared" ref="U122" si="241">+T122*$X$1</f>
        <v>1188</v>
      </c>
      <c r="V122" s="559">
        <v>996</v>
      </c>
      <c r="W122" s="306">
        <f t="shared" ref="W122" si="242">+V122*$X$1</f>
        <v>996</v>
      </c>
      <c r="X122" s="671"/>
      <c r="Y122" s="672"/>
      <c r="Z122" s="672"/>
      <c r="AA122" s="673"/>
      <c r="AB122" s="463" t="s">
        <v>864</v>
      </c>
    </row>
    <row r="123" spans="1:28" ht="12.6" customHeight="1" x14ac:dyDescent="0.2">
      <c r="A123" s="18"/>
      <c r="B123" s="675" t="s">
        <v>677</v>
      </c>
      <c r="C123" s="676"/>
      <c r="D123" s="676"/>
      <c r="E123" s="676"/>
      <c r="F123" s="343"/>
      <c r="G123" s="708" t="s">
        <v>428</v>
      </c>
      <c r="H123" s="709"/>
      <c r="I123" s="709"/>
      <c r="J123" s="709"/>
      <c r="K123" s="710"/>
      <c r="L123" s="557">
        <v>1717</v>
      </c>
      <c r="M123" s="307">
        <f t="shared" si="202"/>
        <v>1717</v>
      </c>
      <c r="N123" s="449">
        <v>1465</v>
      </c>
      <c r="O123" s="307">
        <f t="shared" si="202"/>
        <v>1465</v>
      </c>
      <c r="P123" s="436">
        <v>1220</v>
      </c>
      <c r="Q123" s="307">
        <f t="shared" si="203"/>
        <v>1220</v>
      </c>
      <c r="R123" s="548">
        <v>1215</v>
      </c>
      <c r="S123" s="307">
        <f t="shared" si="204"/>
        <v>1215</v>
      </c>
      <c r="T123" s="124">
        <v>1201</v>
      </c>
      <c r="U123" s="450">
        <f t="shared" si="205"/>
        <v>1201</v>
      </c>
      <c r="V123" s="124">
        <v>1189</v>
      </c>
      <c r="W123" s="450">
        <f t="shared" si="206"/>
        <v>1189</v>
      </c>
      <c r="X123" s="671"/>
      <c r="Y123" s="672"/>
      <c r="Z123" s="672"/>
      <c r="AA123" s="673"/>
      <c r="AB123" s="463">
        <v>303</v>
      </c>
    </row>
    <row r="124" spans="1:28" ht="12.6" customHeight="1" x14ac:dyDescent="0.2">
      <c r="A124" s="18"/>
      <c r="B124" s="625" t="s">
        <v>828</v>
      </c>
      <c r="C124" s="626"/>
      <c r="D124" s="626"/>
      <c r="E124" s="626"/>
      <c r="F124" s="417">
        <v>2184</v>
      </c>
      <c r="G124" s="306">
        <f t="shared" ref="G124" si="243">+F124*$X$1</f>
        <v>2184</v>
      </c>
      <c r="H124" s="340"/>
      <c r="I124" s="306"/>
      <c r="J124" s="613"/>
      <c r="K124" s="306"/>
      <c r="L124" s="613">
        <f>F124+90</f>
        <v>2274</v>
      </c>
      <c r="M124" s="306">
        <f t="shared" si="202"/>
        <v>2274</v>
      </c>
      <c r="N124" s="613">
        <f>F124+55</f>
        <v>2239</v>
      </c>
      <c r="O124" s="306">
        <f>+N124*$X$1</f>
        <v>2239</v>
      </c>
      <c r="P124" s="613">
        <f>F124+49</f>
        <v>2233</v>
      </c>
      <c r="Q124" s="306">
        <f t="shared" si="203"/>
        <v>2233</v>
      </c>
      <c r="R124" s="613">
        <f>F124+42</f>
        <v>2226</v>
      </c>
      <c r="S124" s="306">
        <f>+R124*$X$1</f>
        <v>2226</v>
      </c>
      <c r="T124" s="613">
        <f>F124+36</f>
        <v>2220</v>
      </c>
      <c r="U124" s="306">
        <f>+T124*$X$1</f>
        <v>2220</v>
      </c>
      <c r="V124" s="613">
        <f>F124+32</f>
        <v>2216</v>
      </c>
      <c r="W124" s="306">
        <f>+V124*$X$1</f>
        <v>2216</v>
      </c>
      <c r="X124" s="622"/>
      <c r="Y124" s="623"/>
      <c r="Z124" s="623"/>
      <c r="AA124" s="624"/>
      <c r="AB124" s="463">
        <v>307</v>
      </c>
    </row>
    <row r="125" spans="1:28" ht="12.6" customHeight="1" x14ac:dyDescent="0.2">
      <c r="A125" s="18"/>
      <c r="B125" s="669" t="s">
        <v>581</v>
      </c>
      <c r="C125" s="670"/>
      <c r="D125" s="670"/>
      <c r="E125" s="670"/>
      <c r="F125" s="343">
        <v>1121</v>
      </c>
      <c r="G125" s="307">
        <f>+F125*$X$1</f>
        <v>1121</v>
      </c>
      <c r="H125" s="297"/>
      <c r="I125" s="373"/>
      <c r="J125" s="548"/>
      <c r="K125" s="307"/>
      <c r="L125" s="548">
        <v>2170</v>
      </c>
      <c r="M125" s="307">
        <f>+L125*$X$1</f>
        <v>2170</v>
      </c>
      <c r="N125" s="548">
        <v>1802</v>
      </c>
      <c r="O125" s="307">
        <f t="shared" si="202"/>
        <v>1802</v>
      </c>
      <c r="P125" s="299">
        <v>1667</v>
      </c>
      <c r="Q125" s="307">
        <f t="shared" ref="Q125" si="244">+P125*$X$1</f>
        <v>1667</v>
      </c>
      <c r="R125" s="548">
        <v>1544</v>
      </c>
      <c r="S125" s="307">
        <f t="shared" si="204"/>
        <v>1544</v>
      </c>
      <c r="T125" s="548">
        <v>1448</v>
      </c>
      <c r="U125" s="307">
        <f>+T125*$X$1</f>
        <v>1448</v>
      </c>
      <c r="V125" s="548">
        <v>1386</v>
      </c>
      <c r="W125" s="307">
        <f>+V125*$X$1</f>
        <v>1386</v>
      </c>
      <c r="X125" s="622"/>
      <c r="Y125" s="623"/>
      <c r="Z125" s="623"/>
      <c r="AA125" s="624"/>
      <c r="AB125" s="463">
        <v>308</v>
      </c>
    </row>
    <row r="126" spans="1:28" ht="12.6" customHeight="1" x14ac:dyDescent="0.2">
      <c r="A126" s="18"/>
      <c r="B126" s="625" t="s">
        <v>580</v>
      </c>
      <c r="C126" s="626"/>
      <c r="D126" s="626"/>
      <c r="E126" s="626"/>
      <c r="F126" s="329">
        <v>1121</v>
      </c>
      <c r="G126" s="306">
        <f>+F126*$X$1</f>
        <v>1121</v>
      </c>
      <c r="H126" s="298"/>
      <c r="I126" s="372"/>
      <c r="J126" s="613"/>
      <c r="K126" s="306"/>
      <c r="L126" s="613">
        <v>2170</v>
      </c>
      <c r="M126" s="306">
        <f>+L126*$X$1</f>
        <v>2170</v>
      </c>
      <c r="N126" s="613">
        <v>1802</v>
      </c>
      <c r="O126" s="306">
        <f t="shared" ref="O126" si="245">+N126*$X$1</f>
        <v>1802</v>
      </c>
      <c r="P126" s="345">
        <v>1667</v>
      </c>
      <c r="Q126" s="306">
        <f t="shared" ref="Q126" si="246">+P126*$X$1</f>
        <v>1667</v>
      </c>
      <c r="R126" s="613">
        <v>1544</v>
      </c>
      <c r="S126" s="306">
        <f t="shared" ref="S126" si="247">+R126*$X$1</f>
        <v>1544</v>
      </c>
      <c r="T126" s="613">
        <v>1448</v>
      </c>
      <c r="U126" s="306">
        <f>+T126*$X$1</f>
        <v>1448</v>
      </c>
      <c r="V126" s="613">
        <v>1386</v>
      </c>
      <c r="W126" s="306">
        <f>+V126*$X$1</f>
        <v>1386</v>
      </c>
      <c r="X126" s="622"/>
      <c r="Y126" s="623"/>
      <c r="Z126" s="623"/>
      <c r="AA126" s="624"/>
      <c r="AB126" s="463">
        <v>309</v>
      </c>
    </row>
    <row r="127" spans="1:28" ht="12.6" customHeight="1" x14ac:dyDescent="0.2">
      <c r="A127" s="18"/>
      <c r="B127" s="669" t="s">
        <v>169</v>
      </c>
      <c r="C127" s="670"/>
      <c r="D127" s="670"/>
      <c r="E127" s="670"/>
      <c r="F127" s="418">
        <f>0.761*X2</f>
        <v>738.93100000000004</v>
      </c>
      <c r="G127" s="307">
        <f>+F127*$X$1</f>
        <v>738.93100000000004</v>
      </c>
      <c r="H127" s="543"/>
      <c r="I127" s="307"/>
      <c r="J127" s="548">
        <f>F127+120</f>
        <v>858.93100000000004</v>
      </c>
      <c r="K127" s="307">
        <f t="shared" ref="K127" si="248">+J127*$X$1</f>
        <v>858.93100000000004</v>
      </c>
      <c r="L127" s="548">
        <f>F127+90</f>
        <v>828.93100000000004</v>
      </c>
      <c r="M127" s="307">
        <f t="shared" ref="M127" si="249">+L127*$X$1</f>
        <v>828.93100000000004</v>
      </c>
      <c r="N127" s="548">
        <f>F127+55</f>
        <v>793.93100000000004</v>
      </c>
      <c r="O127" s="307">
        <f>+N127*$X$1</f>
        <v>793.93100000000004</v>
      </c>
      <c r="P127" s="548"/>
      <c r="Q127" s="307"/>
      <c r="R127" s="548"/>
      <c r="S127" s="307"/>
      <c r="T127" s="548"/>
      <c r="U127" s="307"/>
      <c r="V127" s="548"/>
      <c r="W127" s="307"/>
      <c r="X127" s="622"/>
      <c r="Y127" s="623"/>
      <c r="Z127" s="623"/>
      <c r="AA127" s="624"/>
      <c r="AB127" s="463">
        <v>310</v>
      </c>
    </row>
    <row r="128" spans="1:28" ht="12.6" customHeight="1" x14ac:dyDescent="0.2">
      <c r="A128" s="18"/>
      <c r="B128" s="693" t="s">
        <v>874</v>
      </c>
      <c r="C128" s="837"/>
      <c r="D128" s="837"/>
      <c r="E128" s="837"/>
      <c r="F128" s="417">
        <f>1.32*X2</f>
        <v>1281.72</v>
      </c>
      <c r="G128" s="306">
        <f>+F128*$X$1</f>
        <v>1281.72</v>
      </c>
      <c r="H128" s="568"/>
      <c r="I128" s="306"/>
      <c r="J128" s="613">
        <f>F128+120</f>
        <v>1401.72</v>
      </c>
      <c r="K128" s="306">
        <f t="shared" ref="K128" si="250">+J128*$X$1</f>
        <v>1401.72</v>
      </c>
      <c r="L128" s="613">
        <f>F128+90</f>
        <v>1371.72</v>
      </c>
      <c r="M128" s="306">
        <f t="shared" ref="M128:M129" si="251">+L128*$X$1</f>
        <v>1371.72</v>
      </c>
      <c r="N128" s="613">
        <f>F128+55</f>
        <v>1336.72</v>
      </c>
      <c r="O128" s="306">
        <f>+N128*$X$1</f>
        <v>1336.72</v>
      </c>
      <c r="P128" s="613">
        <f>F128+49</f>
        <v>1330.72</v>
      </c>
      <c r="Q128" s="306">
        <f t="shared" ref="Q128:Q129" si="252">+P128*$X$1</f>
        <v>1330.72</v>
      </c>
      <c r="R128" s="613">
        <f>F128+42</f>
        <v>1323.72</v>
      </c>
      <c r="S128" s="306">
        <f>+R128*$X$1</f>
        <v>1323.72</v>
      </c>
      <c r="T128" s="613">
        <f>F128+36</f>
        <v>1317.72</v>
      </c>
      <c r="U128" s="306">
        <f>+T128*$X$1</f>
        <v>1317.72</v>
      </c>
      <c r="V128" s="613">
        <f>F128+32</f>
        <v>1313.72</v>
      </c>
      <c r="W128" s="306">
        <f>+V128*$X$1</f>
        <v>1313.72</v>
      </c>
      <c r="X128" s="622"/>
      <c r="Y128" s="623"/>
      <c r="Z128" s="623"/>
      <c r="AA128" s="624"/>
      <c r="AB128" s="463">
        <v>311</v>
      </c>
    </row>
    <row r="129" spans="1:33" ht="12.6" customHeight="1" x14ac:dyDescent="0.2">
      <c r="A129" s="18"/>
      <c r="B129" s="669" t="s">
        <v>515</v>
      </c>
      <c r="C129" s="670"/>
      <c r="D129" s="670"/>
      <c r="E129" s="670"/>
      <c r="F129" s="418">
        <f>1.815*X2</f>
        <v>1762.365</v>
      </c>
      <c r="G129" s="307">
        <f t="shared" ref="G129" si="253">+F129*$X$1</f>
        <v>1762.365</v>
      </c>
      <c r="H129" s="548"/>
      <c r="I129" s="307"/>
      <c r="J129" s="548">
        <f>F129+120</f>
        <v>1882.365</v>
      </c>
      <c r="K129" s="307">
        <f t="shared" ref="K129" si="254">+J129*$X$1</f>
        <v>1882.365</v>
      </c>
      <c r="L129" s="548">
        <f>F129+90</f>
        <v>1852.365</v>
      </c>
      <c r="M129" s="307">
        <f t="shared" si="251"/>
        <v>1852.365</v>
      </c>
      <c r="N129" s="548">
        <f>F129+55</f>
        <v>1817.365</v>
      </c>
      <c r="O129" s="307">
        <f>+N129*$X$1</f>
        <v>1817.365</v>
      </c>
      <c r="P129" s="548">
        <f>F129+49</f>
        <v>1811.365</v>
      </c>
      <c r="Q129" s="307">
        <f t="shared" si="252"/>
        <v>1811.365</v>
      </c>
      <c r="R129" s="548">
        <f>F129+42</f>
        <v>1804.365</v>
      </c>
      <c r="S129" s="307">
        <f>+R129*$X$1</f>
        <v>1804.365</v>
      </c>
      <c r="T129" s="548">
        <f>F129+36</f>
        <v>1798.365</v>
      </c>
      <c r="U129" s="307">
        <f>+T129*$X$1</f>
        <v>1798.365</v>
      </c>
      <c r="V129" s="548">
        <f>F129+32</f>
        <v>1794.365</v>
      </c>
      <c r="W129" s="307">
        <f>+V129*$X$1</f>
        <v>1794.365</v>
      </c>
      <c r="X129" s="622"/>
      <c r="Y129" s="623"/>
      <c r="Z129" s="623"/>
      <c r="AA129" s="624"/>
      <c r="AB129" s="463">
        <v>312</v>
      </c>
    </row>
    <row r="130" spans="1:33" ht="12.6" customHeight="1" x14ac:dyDescent="0.2">
      <c r="A130" s="18"/>
      <c r="B130" s="641" t="s">
        <v>170</v>
      </c>
      <c r="C130" s="644"/>
      <c r="D130" s="644"/>
      <c r="E130" s="645"/>
      <c r="F130" s="306"/>
      <c r="G130" s="306"/>
      <c r="H130" s="568"/>
      <c r="I130" s="306"/>
      <c r="J130" s="72"/>
      <c r="K130" s="306"/>
      <c r="L130" s="568"/>
      <c r="M130" s="306"/>
      <c r="N130" s="568"/>
      <c r="O130" s="306"/>
      <c r="P130" s="568"/>
      <c r="Q130" s="306"/>
      <c r="R130" s="568"/>
      <c r="S130" s="306"/>
      <c r="T130" s="568"/>
      <c r="U130" s="306"/>
      <c r="V130" s="568"/>
      <c r="W130" s="306"/>
      <c r="X130" s="622"/>
      <c r="Y130" s="623"/>
      <c r="Z130" s="623"/>
      <c r="AA130" s="624"/>
      <c r="AB130" s="463" t="s">
        <v>171</v>
      </c>
    </row>
    <row r="131" spans="1:33" ht="12.6" customHeight="1" x14ac:dyDescent="0.2">
      <c r="A131" s="18"/>
      <c r="B131" s="711" t="s">
        <v>172</v>
      </c>
      <c r="C131" s="712"/>
      <c r="D131" s="712"/>
      <c r="E131" s="713"/>
      <c r="F131" s="343"/>
      <c r="G131" s="307"/>
      <c r="H131" s="548"/>
      <c r="I131" s="307"/>
      <c r="J131" s="90"/>
      <c r="K131" s="307"/>
      <c r="L131" s="548"/>
      <c r="M131" s="307"/>
      <c r="N131" s="548"/>
      <c r="O131" s="307"/>
      <c r="P131" s="548"/>
      <c r="Q131" s="307"/>
      <c r="R131" s="548"/>
      <c r="S131" s="307"/>
      <c r="T131" s="548"/>
      <c r="U131" s="307"/>
      <c r="V131" s="548"/>
      <c r="W131" s="307"/>
      <c r="X131" s="646"/>
      <c r="Y131" s="627"/>
      <c r="Z131" s="627"/>
      <c r="AA131" s="648"/>
      <c r="AB131" s="513" t="s">
        <v>173</v>
      </c>
    </row>
    <row r="132" spans="1:33" ht="12.6" customHeight="1" x14ac:dyDescent="0.2">
      <c r="A132" s="18"/>
      <c r="B132" s="641" t="s">
        <v>174</v>
      </c>
      <c r="C132" s="644"/>
      <c r="D132" s="644"/>
      <c r="E132" s="645"/>
      <c r="F132" s="306"/>
      <c r="G132" s="306"/>
      <c r="H132" s="568"/>
      <c r="I132" s="306"/>
      <c r="J132" s="72"/>
      <c r="K132" s="306"/>
      <c r="L132" s="568"/>
      <c r="M132" s="306"/>
      <c r="N132" s="568"/>
      <c r="O132" s="306"/>
      <c r="P132" s="568"/>
      <c r="Q132" s="306"/>
      <c r="R132" s="568"/>
      <c r="S132" s="306"/>
      <c r="T132" s="568"/>
      <c r="U132" s="306"/>
      <c r="V132" s="568"/>
      <c r="W132" s="306"/>
      <c r="X132" s="627"/>
      <c r="Y132" s="627"/>
      <c r="Z132" s="627"/>
      <c r="AA132" s="627"/>
      <c r="AB132" s="201" t="s">
        <v>175</v>
      </c>
    </row>
    <row r="133" spans="1:33" ht="12.6" customHeight="1" x14ac:dyDescent="0.2">
      <c r="A133" s="18"/>
      <c r="B133" s="682" t="s">
        <v>176</v>
      </c>
      <c r="C133" s="683"/>
      <c r="D133" s="683"/>
      <c r="E133" s="684"/>
      <c r="F133" s="307"/>
      <c r="G133" s="307"/>
      <c r="H133" s="548"/>
      <c r="I133" s="307"/>
      <c r="J133" s="90"/>
      <c r="K133" s="307"/>
      <c r="L133" s="548"/>
      <c r="M133" s="307"/>
      <c r="N133" s="548"/>
      <c r="O133" s="307"/>
      <c r="P133" s="548"/>
      <c r="Q133" s="307"/>
      <c r="R133" s="548"/>
      <c r="S133" s="307"/>
      <c r="T133" s="548"/>
      <c r="U133" s="307"/>
      <c r="V133" s="548"/>
      <c r="W133" s="307"/>
      <c r="X133" s="627"/>
      <c r="Y133" s="627"/>
      <c r="Z133" s="627"/>
      <c r="AA133" s="627"/>
      <c r="AB133" s="201" t="s">
        <v>177</v>
      </c>
    </row>
    <row r="134" spans="1:33" ht="12.6" customHeight="1" x14ac:dyDescent="0.2">
      <c r="A134" s="98"/>
      <c r="B134" s="641" t="s">
        <v>387</v>
      </c>
      <c r="C134" s="651"/>
      <c r="D134" s="651"/>
      <c r="E134" s="652"/>
      <c r="F134" s="306"/>
      <c r="G134" s="306"/>
      <c r="H134" s="72"/>
      <c r="I134" s="568"/>
      <c r="J134" s="568"/>
      <c r="K134" s="568"/>
      <c r="L134" s="568"/>
      <c r="M134" s="306"/>
      <c r="N134" s="568"/>
      <c r="O134" s="306"/>
      <c r="P134" s="568"/>
      <c r="Q134" s="306"/>
      <c r="R134" s="568"/>
      <c r="S134" s="306"/>
      <c r="T134" s="568"/>
      <c r="U134" s="306"/>
      <c r="V134" s="568"/>
      <c r="W134" s="306"/>
      <c r="X134" s="690"/>
      <c r="Y134" s="705"/>
      <c r="Z134" s="705"/>
      <c r="AA134" s="706"/>
      <c r="AB134" s="201"/>
    </row>
    <row r="135" spans="1:33" ht="12.6" customHeight="1" x14ac:dyDescent="0.2">
      <c r="A135" s="98"/>
      <c r="B135" s="669" t="s">
        <v>178</v>
      </c>
      <c r="C135" s="670"/>
      <c r="D135" s="670"/>
      <c r="E135" s="670"/>
      <c r="F135" s="307"/>
      <c r="G135" s="307"/>
      <c r="H135" s="90"/>
      <c r="I135" s="548"/>
      <c r="J135" s="548"/>
      <c r="K135" s="548"/>
      <c r="L135" s="548"/>
      <c r="M135" s="307"/>
      <c r="N135" s="548"/>
      <c r="O135" s="307"/>
      <c r="P135" s="548"/>
      <c r="Q135" s="307"/>
      <c r="R135" s="548"/>
      <c r="S135" s="307"/>
      <c r="T135" s="548"/>
      <c r="U135" s="307"/>
      <c r="V135" s="548"/>
      <c r="W135" s="307"/>
      <c r="X135" s="690"/>
      <c r="Y135" s="691"/>
      <c r="Z135" s="691"/>
      <c r="AA135" s="692"/>
      <c r="AB135" s="201">
        <v>316</v>
      </c>
      <c r="AC135" s="61"/>
      <c r="AD135" s="61"/>
      <c r="AE135" s="61"/>
      <c r="AF135" s="61"/>
    </row>
    <row r="136" spans="1:33" ht="12.6" customHeight="1" x14ac:dyDescent="0.2">
      <c r="A136" s="98"/>
      <c r="B136" s="625" t="s">
        <v>179</v>
      </c>
      <c r="C136" s="626"/>
      <c r="D136" s="626"/>
      <c r="E136" s="626"/>
      <c r="F136" s="306"/>
      <c r="G136" s="572"/>
      <c r="H136" s="72"/>
      <c r="I136" s="573"/>
      <c r="J136" s="568"/>
      <c r="K136" s="573"/>
      <c r="L136" s="568"/>
      <c r="M136" s="574"/>
      <c r="N136" s="568"/>
      <c r="O136" s="574"/>
      <c r="P136" s="568"/>
      <c r="Q136" s="574"/>
      <c r="R136" s="568"/>
      <c r="S136" s="574"/>
      <c r="T136" s="568"/>
      <c r="U136" s="306"/>
      <c r="V136" s="568"/>
      <c r="W136" s="306"/>
      <c r="X136" s="690"/>
      <c r="Y136" s="691"/>
      <c r="Z136" s="691"/>
      <c r="AA136" s="692"/>
      <c r="AB136" s="201">
        <v>318</v>
      </c>
      <c r="AC136" s="61"/>
      <c r="AD136" s="61"/>
      <c r="AE136" s="61"/>
      <c r="AF136" s="61"/>
    </row>
    <row r="137" spans="1:33" ht="12.6" customHeight="1" x14ac:dyDescent="0.2">
      <c r="A137" s="18"/>
      <c r="B137" s="703" t="s">
        <v>352</v>
      </c>
      <c r="C137" s="704"/>
      <c r="D137" s="704"/>
      <c r="E137" s="704"/>
      <c r="F137" s="307">
        <v>815</v>
      </c>
      <c r="G137" s="335">
        <f>+F137*$X$1</f>
        <v>815</v>
      </c>
      <c r="H137" s="202" t="s">
        <v>180</v>
      </c>
      <c r="I137" s="205"/>
      <c r="J137" s="86"/>
      <c r="K137" s="86"/>
      <c r="L137" s="174"/>
      <c r="M137" s="86"/>
      <c r="N137" s="86"/>
      <c r="O137" s="86"/>
      <c r="P137" s="83">
        <v>80</v>
      </c>
      <c r="Q137" s="204">
        <f>+P137*$X$1</f>
        <v>80</v>
      </c>
      <c r="R137" s="545"/>
      <c r="S137" s="579"/>
      <c r="T137" s="90"/>
      <c r="U137" s="307"/>
      <c r="V137" s="548"/>
      <c r="W137" s="307"/>
      <c r="X137" s="690"/>
      <c r="Y137" s="691"/>
      <c r="Z137" s="691"/>
      <c r="AA137" s="692"/>
      <c r="AB137" s="467"/>
      <c r="AC137" s="746"/>
      <c r="AD137" s="747"/>
      <c r="AE137" s="747"/>
      <c r="AF137" s="747"/>
      <c r="AG137" s="4"/>
    </row>
    <row r="138" spans="1:33" ht="12.6" customHeight="1" x14ac:dyDescent="0.2">
      <c r="A138" s="18"/>
      <c r="B138" s="944" t="s">
        <v>353</v>
      </c>
      <c r="C138" s="945"/>
      <c r="D138" s="945"/>
      <c r="E138" s="945"/>
      <c r="F138" s="306">
        <v>995</v>
      </c>
      <c r="G138" s="382">
        <f>+F138*$X$1</f>
        <v>995</v>
      </c>
      <c r="H138" s="281" t="s">
        <v>180</v>
      </c>
      <c r="I138" s="282"/>
      <c r="J138" s="283"/>
      <c r="K138" s="283"/>
      <c r="L138" s="284"/>
      <c r="M138" s="283"/>
      <c r="N138" s="283"/>
      <c r="O138" s="283"/>
      <c r="P138" s="285">
        <v>80</v>
      </c>
      <c r="Q138" s="286">
        <f>+P138*$X$1</f>
        <v>80</v>
      </c>
      <c r="R138" s="575"/>
      <c r="S138" s="576"/>
      <c r="T138" s="577"/>
      <c r="U138" s="308"/>
      <c r="V138" s="116"/>
      <c r="W138" s="308"/>
      <c r="X138" s="690"/>
      <c r="Y138" s="691"/>
      <c r="Z138" s="691"/>
      <c r="AA138" s="692"/>
      <c r="AB138" s="467"/>
    </row>
    <row r="139" spans="1:33" ht="12.6" customHeight="1" x14ac:dyDescent="0.2">
      <c r="A139" s="18"/>
      <c r="B139" s="703" t="s">
        <v>910</v>
      </c>
      <c r="C139" s="704"/>
      <c r="D139" s="704"/>
      <c r="E139" s="704"/>
      <c r="F139" s="307"/>
      <c r="G139" s="307"/>
      <c r="H139" s="322"/>
      <c r="I139" s="307"/>
      <c r="J139" s="548">
        <f>F138+170</f>
        <v>1165</v>
      </c>
      <c r="K139" s="307">
        <f t="shared" ref="K139:K140" si="255">+J139*$X$1</f>
        <v>1165</v>
      </c>
      <c r="L139" s="548">
        <f>F138+120</f>
        <v>1115</v>
      </c>
      <c r="M139" s="307">
        <f>+L139*$X$1</f>
        <v>1115</v>
      </c>
      <c r="N139" s="548">
        <f>F138+75</f>
        <v>1070</v>
      </c>
      <c r="O139" s="307">
        <f>+N139*$X$1</f>
        <v>1070</v>
      </c>
      <c r="P139" s="548">
        <f>F138+60</f>
        <v>1055</v>
      </c>
      <c r="Q139" s="307">
        <f t="shared" ref="Q139:Q140" si="256">+P139*$X$1</f>
        <v>1055</v>
      </c>
      <c r="R139" s="548">
        <f>F138+52</f>
        <v>1047</v>
      </c>
      <c r="S139" s="307">
        <f>+R139*$X$1</f>
        <v>1047</v>
      </c>
      <c r="T139" s="548">
        <f>F138+47</f>
        <v>1042</v>
      </c>
      <c r="U139" s="307">
        <f t="shared" ref="U139:U140" si="257">+T139*$X$1</f>
        <v>1042</v>
      </c>
      <c r="V139" s="548">
        <f>F138+43</f>
        <v>1038</v>
      </c>
      <c r="W139" s="307">
        <f>+V139*$X$1</f>
        <v>1038</v>
      </c>
      <c r="X139" s="690"/>
      <c r="Y139" s="691"/>
      <c r="Z139" s="691"/>
      <c r="AA139" s="692"/>
      <c r="AB139" s="463">
        <v>321</v>
      </c>
    </row>
    <row r="140" spans="1:33" ht="12.6" customHeight="1" x14ac:dyDescent="0.2">
      <c r="A140" s="18"/>
      <c r="B140" s="944" t="s">
        <v>576</v>
      </c>
      <c r="C140" s="945"/>
      <c r="D140" s="945"/>
      <c r="E140" s="945"/>
      <c r="F140" s="306"/>
      <c r="G140" s="306"/>
      <c r="H140" s="288"/>
      <c r="I140" s="306"/>
      <c r="J140" s="613">
        <f>F138+340</f>
        <v>1335</v>
      </c>
      <c r="K140" s="306">
        <f t="shared" si="255"/>
        <v>1335</v>
      </c>
      <c r="L140" s="613">
        <f>F138+220</f>
        <v>1215</v>
      </c>
      <c r="M140" s="306">
        <f>+L140*$X$1</f>
        <v>1215</v>
      </c>
      <c r="N140" s="613">
        <f>F138+160</f>
        <v>1155</v>
      </c>
      <c r="O140" s="306">
        <f>+N140*$X$1</f>
        <v>1155</v>
      </c>
      <c r="P140" s="613">
        <f>F138+141</f>
        <v>1136</v>
      </c>
      <c r="Q140" s="306">
        <f t="shared" si="256"/>
        <v>1136</v>
      </c>
      <c r="R140" s="613">
        <f>F138+120</f>
        <v>1115</v>
      </c>
      <c r="S140" s="306">
        <f>+R140*$X$1</f>
        <v>1115</v>
      </c>
      <c r="T140" s="613">
        <f>F138+110</f>
        <v>1105</v>
      </c>
      <c r="U140" s="306">
        <f t="shared" si="257"/>
        <v>1105</v>
      </c>
      <c r="V140" s="613">
        <f>F138+103</f>
        <v>1098</v>
      </c>
      <c r="W140" s="306">
        <f>+V140*$X$1</f>
        <v>1098</v>
      </c>
      <c r="X140" s="690"/>
      <c r="Y140" s="691"/>
      <c r="Z140" s="691"/>
      <c r="AA140" s="692"/>
      <c r="AB140" s="463">
        <v>322</v>
      </c>
    </row>
    <row r="141" spans="1:33" ht="12.6" customHeight="1" x14ac:dyDescent="0.2">
      <c r="A141" s="18"/>
      <c r="B141" s="703" t="s">
        <v>354</v>
      </c>
      <c r="C141" s="704"/>
      <c r="D141" s="704"/>
      <c r="E141" s="704"/>
      <c r="F141" s="307">
        <v>1020</v>
      </c>
      <c r="G141" s="335">
        <f>+F141*$X$1</f>
        <v>1020</v>
      </c>
      <c r="H141" s="544" t="s">
        <v>180</v>
      </c>
      <c r="I141" s="203"/>
      <c r="J141" s="84"/>
      <c r="K141" s="84"/>
      <c r="L141" s="84"/>
      <c r="M141" s="84"/>
      <c r="N141" s="84"/>
      <c r="O141" s="84"/>
      <c r="P141" s="85">
        <v>110</v>
      </c>
      <c r="Q141" s="287">
        <f>+P141*$X$1</f>
        <v>110</v>
      </c>
      <c r="R141" s="275"/>
      <c r="S141" s="370"/>
      <c r="T141" s="289"/>
      <c r="U141" s="385"/>
      <c r="V141" s="91"/>
      <c r="W141" s="580"/>
      <c r="X141" s="690"/>
      <c r="Y141" s="691"/>
      <c r="Z141" s="691"/>
      <c r="AA141" s="692"/>
      <c r="AB141" s="467"/>
    </row>
    <row r="142" spans="1:33" ht="12.6" customHeight="1" x14ac:dyDescent="0.2">
      <c r="A142" s="18"/>
      <c r="B142" s="625" t="s">
        <v>181</v>
      </c>
      <c r="C142" s="626"/>
      <c r="D142" s="626"/>
      <c r="E142" s="626"/>
      <c r="F142" s="308">
        <v>1100</v>
      </c>
      <c r="G142" s="382">
        <f>+F142*$X$1</f>
        <v>1100</v>
      </c>
      <c r="H142" s="281" t="s">
        <v>180</v>
      </c>
      <c r="I142" s="291"/>
      <c r="J142" s="84"/>
      <c r="K142" s="84"/>
      <c r="L142" s="84"/>
      <c r="M142" s="84"/>
      <c r="N142" s="84"/>
      <c r="O142" s="84"/>
      <c r="P142" s="85">
        <v>110</v>
      </c>
      <c r="Q142" s="204">
        <f>+P142*$X$1</f>
        <v>110</v>
      </c>
      <c r="R142" s="66"/>
      <c r="S142" s="379"/>
      <c r="T142" s="290"/>
      <c r="U142" s="384"/>
      <c r="V142" s="72"/>
      <c r="W142" s="329"/>
      <c r="X142" s="690"/>
      <c r="Y142" s="691"/>
      <c r="Z142" s="691"/>
      <c r="AA142" s="692"/>
      <c r="AB142" s="467"/>
    </row>
    <row r="143" spans="1:33" ht="12.6" customHeight="1" x14ac:dyDescent="0.2">
      <c r="A143" s="18"/>
      <c r="B143" s="669" t="s">
        <v>909</v>
      </c>
      <c r="C143" s="670"/>
      <c r="D143" s="670"/>
      <c r="E143" s="670"/>
      <c r="F143" s="374"/>
      <c r="G143" s="374"/>
      <c r="H143" s="297"/>
      <c r="I143" s="373"/>
      <c r="J143" s="548">
        <f>F142+170</f>
        <v>1270</v>
      </c>
      <c r="K143" s="307">
        <f t="shared" ref="K143" si="258">+J143*$X$1</f>
        <v>1270</v>
      </c>
      <c r="L143" s="548">
        <f>F142+120</f>
        <v>1220</v>
      </c>
      <c r="M143" s="307">
        <f>+L143*$X$1</f>
        <v>1220</v>
      </c>
      <c r="N143" s="548">
        <f>F142+75</f>
        <v>1175</v>
      </c>
      <c r="O143" s="307">
        <f>+N143*$X$1</f>
        <v>1175</v>
      </c>
      <c r="P143" s="548">
        <f>F142+60</f>
        <v>1160</v>
      </c>
      <c r="Q143" s="307">
        <f t="shared" ref="Q143" si="259">+P143*$X$1</f>
        <v>1160</v>
      </c>
      <c r="R143" s="548">
        <f>F142+52</f>
        <v>1152</v>
      </c>
      <c r="S143" s="307">
        <f>+R143*$X$1</f>
        <v>1152</v>
      </c>
      <c r="T143" s="548">
        <f>F142+47</f>
        <v>1147</v>
      </c>
      <c r="U143" s="307">
        <f t="shared" ref="U143" si="260">+T143*$X$1</f>
        <v>1147</v>
      </c>
      <c r="V143" s="548">
        <f>F142+43</f>
        <v>1143</v>
      </c>
      <c r="W143" s="307">
        <f>+V143*$X$1</f>
        <v>1143</v>
      </c>
      <c r="X143" s="690"/>
      <c r="Y143" s="691"/>
      <c r="Z143" s="691"/>
      <c r="AA143" s="692"/>
      <c r="AB143" s="463">
        <v>325</v>
      </c>
    </row>
    <row r="144" spans="1:33" ht="12.6" customHeight="1" x14ac:dyDescent="0.2">
      <c r="A144" s="18"/>
      <c r="B144" s="625" t="s">
        <v>575</v>
      </c>
      <c r="C144" s="626"/>
      <c r="D144" s="626"/>
      <c r="E144" s="626"/>
      <c r="F144" s="375"/>
      <c r="G144" s="375"/>
      <c r="H144" s="298"/>
      <c r="I144" s="372"/>
      <c r="J144" s="613">
        <f>F142+360</f>
        <v>1460</v>
      </c>
      <c r="K144" s="306">
        <f t="shared" ref="K144" si="261">+J144*$X$1</f>
        <v>1460</v>
      </c>
      <c r="L144" s="613">
        <f>F142+240</f>
        <v>1340</v>
      </c>
      <c r="M144" s="306">
        <f>+L144*$X$1</f>
        <v>1340</v>
      </c>
      <c r="N144" s="613">
        <f>F142+170</f>
        <v>1270</v>
      </c>
      <c r="O144" s="306">
        <f>+N144*$X$1</f>
        <v>1270</v>
      </c>
      <c r="P144" s="613">
        <f>F142+150</f>
        <v>1250</v>
      </c>
      <c r="Q144" s="306">
        <f t="shared" ref="Q144" si="262">+P144*$X$1</f>
        <v>1250</v>
      </c>
      <c r="R144" s="613">
        <f>F142+130</f>
        <v>1230</v>
      </c>
      <c r="S144" s="306">
        <f>+R144*$X$1</f>
        <v>1230</v>
      </c>
      <c r="T144" s="613">
        <f>F142+120</f>
        <v>1220</v>
      </c>
      <c r="U144" s="306">
        <f t="shared" ref="U144" si="263">+T144*$X$1</f>
        <v>1220</v>
      </c>
      <c r="V144" s="613">
        <f>F142+110</f>
        <v>1210</v>
      </c>
      <c r="W144" s="306">
        <f>+V144*$X$1</f>
        <v>1210</v>
      </c>
      <c r="X144" s="690"/>
      <c r="Y144" s="691"/>
      <c r="Z144" s="691"/>
      <c r="AA144" s="692"/>
      <c r="AB144" s="463">
        <v>326</v>
      </c>
    </row>
    <row r="145" spans="1:34" ht="12.6" customHeight="1" x14ac:dyDescent="0.2">
      <c r="A145" s="18"/>
      <c r="B145" s="669" t="s">
        <v>374</v>
      </c>
      <c r="C145" s="670"/>
      <c r="D145" s="670"/>
      <c r="E145" s="670"/>
      <c r="F145" s="418">
        <f>8.3*X2</f>
        <v>8059.3000000000011</v>
      </c>
      <c r="G145" s="307">
        <f>+F145*$X$1</f>
        <v>8059.3000000000011</v>
      </c>
      <c r="H145" s="548">
        <f>F145+400</f>
        <v>8459.3000000000011</v>
      </c>
      <c r="I145" s="307">
        <f t="shared" ref="I145" si="264">+H145*$X$1</f>
        <v>8459.3000000000011</v>
      </c>
      <c r="J145" s="548">
        <f>F145+150</f>
        <v>8209.3000000000011</v>
      </c>
      <c r="K145" s="307">
        <f t="shared" ref="K145" si="265">+J145*$X$1</f>
        <v>8209.3000000000011</v>
      </c>
      <c r="L145" s="548">
        <f>F145+90</f>
        <v>8149.3000000000011</v>
      </c>
      <c r="M145" s="307">
        <f t="shared" ref="M145" si="266">+L145*$X$1</f>
        <v>8149.3000000000011</v>
      </c>
      <c r="N145" s="548">
        <f>F145+63</f>
        <v>8122.3000000000011</v>
      </c>
      <c r="O145" s="307">
        <f>+N145*$X$1</f>
        <v>8122.3000000000011</v>
      </c>
      <c r="P145" s="548">
        <f>F145+55</f>
        <v>8114.3000000000011</v>
      </c>
      <c r="Q145" s="307">
        <f t="shared" ref="Q145" si="267">+P145*$X$1</f>
        <v>8114.3000000000011</v>
      </c>
      <c r="R145" s="548">
        <f>F145+49</f>
        <v>8108.3000000000011</v>
      </c>
      <c r="S145" s="307">
        <f>+R145*$X$1</f>
        <v>8108.3000000000011</v>
      </c>
      <c r="T145" s="548">
        <f>F145+43</f>
        <v>8102.3000000000011</v>
      </c>
      <c r="U145" s="307">
        <f>+T145*$X$1</f>
        <v>8102.3000000000011</v>
      </c>
      <c r="V145" s="548">
        <f>F145+38</f>
        <v>8097.3000000000011</v>
      </c>
      <c r="W145" s="307">
        <f>+V145*$X$1</f>
        <v>8097.3000000000011</v>
      </c>
      <c r="X145" s="638"/>
      <c r="Y145" s="650"/>
      <c r="Z145" s="650"/>
      <c r="AA145" s="640"/>
      <c r="AB145" s="201">
        <v>332</v>
      </c>
    </row>
    <row r="146" spans="1:34" ht="12.6" customHeight="1" x14ac:dyDescent="0.2">
      <c r="A146" s="18"/>
      <c r="B146" s="693" t="s">
        <v>704</v>
      </c>
      <c r="C146" s="837"/>
      <c r="D146" s="837"/>
      <c r="E146" s="837"/>
      <c r="F146" s="417">
        <f>5.54*X2</f>
        <v>5379.34</v>
      </c>
      <c r="G146" s="306">
        <f>+F146*$X$1</f>
        <v>5379.34</v>
      </c>
      <c r="H146" s="613">
        <f>F146+400</f>
        <v>5779.34</v>
      </c>
      <c r="I146" s="306">
        <f t="shared" ref="I146" si="268">+H146*$X$1</f>
        <v>5779.34</v>
      </c>
      <c r="J146" s="613">
        <f>F146+150</f>
        <v>5529.34</v>
      </c>
      <c r="K146" s="306">
        <f t="shared" ref="K146" si="269">+J146*$X$1</f>
        <v>5529.34</v>
      </c>
      <c r="L146" s="613">
        <f>F146+90</f>
        <v>5469.34</v>
      </c>
      <c r="M146" s="306">
        <f t="shared" ref="M146" si="270">+L146*$X$1</f>
        <v>5469.34</v>
      </c>
      <c r="N146" s="613">
        <f>F146+63</f>
        <v>5442.34</v>
      </c>
      <c r="O146" s="306">
        <f>+N146*$X$1</f>
        <v>5442.34</v>
      </c>
      <c r="P146" s="613">
        <f>F146+55</f>
        <v>5434.34</v>
      </c>
      <c r="Q146" s="306">
        <f t="shared" ref="Q146" si="271">+P146*$X$1</f>
        <v>5434.34</v>
      </c>
      <c r="R146" s="613">
        <f>F146+49</f>
        <v>5428.34</v>
      </c>
      <c r="S146" s="306">
        <f>+R146*$X$1</f>
        <v>5428.34</v>
      </c>
      <c r="T146" s="613">
        <f>F146+43</f>
        <v>5422.34</v>
      </c>
      <c r="U146" s="306">
        <f>+T146*$X$1</f>
        <v>5422.34</v>
      </c>
      <c r="V146" s="613">
        <f>F146+38</f>
        <v>5417.34</v>
      </c>
      <c r="W146" s="306">
        <f>+V146*$X$1</f>
        <v>5417.34</v>
      </c>
      <c r="X146" s="638"/>
      <c r="Y146" s="650"/>
      <c r="Z146" s="650"/>
      <c r="AA146" s="640"/>
      <c r="AB146" s="201">
        <v>337</v>
      </c>
    </row>
    <row r="147" spans="1:34" ht="12.6" customHeight="1" x14ac:dyDescent="0.2">
      <c r="A147" s="20"/>
      <c r="B147" s="946" t="s">
        <v>182</v>
      </c>
      <c r="C147" s="947"/>
      <c r="D147" s="947"/>
      <c r="E147" s="947"/>
      <c r="F147" s="307">
        <v>390</v>
      </c>
      <c r="G147" s="307">
        <f t="shared" ref="G147" si="272">+F147*$X$1</f>
        <v>390</v>
      </c>
      <c r="H147" s="616"/>
      <c r="I147" s="616"/>
      <c r="J147" s="548">
        <f>F147+300</f>
        <v>690</v>
      </c>
      <c r="K147" s="307">
        <f t="shared" ref="K147" si="273">+J147*$X$1</f>
        <v>690</v>
      </c>
      <c r="L147" s="548">
        <f>F147+240</f>
        <v>630</v>
      </c>
      <c r="M147" s="307">
        <f>+L147*$X$1</f>
        <v>630</v>
      </c>
      <c r="N147" s="548">
        <f>F147+204</f>
        <v>594</v>
      </c>
      <c r="O147" s="307">
        <f>+N147*$X$1</f>
        <v>594</v>
      </c>
      <c r="P147" s="548">
        <f>F147+170</f>
        <v>560</v>
      </c>
      <c r="Q147" s="307">
        <f t="shared" ref="Q147" si="274">+P147*$X$1</f>
        <v>560</v>
      </c>
      <c r="R147" s="548">
        <f>F147+150</f>
        <v>540</v>
      </c>
      <c r="S147" s="307">
        <f>+R147*$X$1</f>
        <v>540</v>
      </c>
      <c r="T147" s="548">
        <f>F147+135</f>
        <v>525</v>
      </c>
      <c r="U147" s="307">
        <f t="shared" ref="U147" si="275">+T147*$X$1</f>
        <v>525</v>
      </c>
      <c r="V147" s="548">
        <f>F147+120</f>
        <v>510</v>
      </c>
      <c r="W147" s="307">
        <f>+V147*$X$1</f>
        <v>510</v>
      </c>
      <c r="X147" s="156"/>
      <c r="Y147" s="156"/>
      <c r="Z147" s="156"/>
      <c r="AA147" s="156"/>
      <c r="AB147" s="201">
        <v>347</v>
      </c>
    </row>
    <row r="148" spans="1:34" ht="12.6" customHeight="1" x14ac:dyDescent="0.2">
      <c r="A148" s="20"/>
      <c r="B148" s="625" t="s">
        <v>673</v>
      </c>
      <c r="C148" s="626"/>
      <c r="D148" s="626"/>
      <c r="E148" s="626"/>
      <c r="F148" s="320"/>
      <c r="G148" s="569"/>
      <c r="H148" s="568"/>
      <c r="I148" s="568"/>
      <c r="J148" s="568"/>
      <c r="K148" s="568"/>
      <c r="L148" s="279"/>
      <c r="M148" s="279"/>
      <c r="N148" s="295"/>
      <c r="O148" s="568"/>
      <c r="P148" s="279"/>
      <c r="Q148" s="279"/>
      <c r="R148" s="568"/>
      <c r="S148" s="568"/>
      <c r="T148" s="568"/>
      <c r="U148" s="97"/>
      <c r="V148" s="568"/>
      <c r="W148" s="97"/>
      <c r="X148" s="156"/>
      <c r="Y148" s="156"/>
      <c r="Z148" s="156"/>
      <c r="AA148" s="156"/>
      <c r="AB148" s="201">
        <v>348</v>
      </c>
    </row>
    <row r="149" spans="1:34" ht="12.6" customHeight="1" x14ac:dyDescent="0.2">
      <c r="A149" s="20"/>
      <c r="B149" s="669" t="s">
        <v>183</v>
      </c>
      <c r="C149" s="670"/>
      <c r="D149" s="670"/>
      <c r="E149" s="670"/>
      <c r="F149" s="319"/>
      <c r="G149" s="570"/>
      <c r="H149" s="548"/>
      <c r="I149" s="548"/>
      <c r="J149" s="548"/>
      <c r="K149" s="548"/>
      <c r="L149" s="276"/>
      <c r="M149" s="276"/>
      <c r="N149" s="302"/>
      <c r="O149" s="548"/>
      <c r="P149" s="276"/>
      <c r="Q149" s="276"/>
      <c r="R149" s="548"/>
      <c r="S149" s="548"/>
      <c r="T149" s="548"/>
      <c r="U149" s="95"/>
      <c r="V149" s="548"/>
      <c r="W149" s="95"/>
      <c r="X149" s="156"/>
      <c r="Y149" s="156"/>
      <c r="Z149" s="156"/>
      <c r="AA149" s="156"/>
      <c r="AB149" s="201">
        <v>349</v>
      </c>
    </row>
    <row r="150" spans="1:34" ht="12.6" customHeight="1" x14ac:dyDescent="0.2">
      <c r="A150" s="20"/>
      <c r="B150" s="625" t="s">
        <v>184</v>
      </c>
      <c r="C150" s="626"/>
      <c r="D150" s="626"/>
      <c r="E150" s="626"/>
      <c r="F150" s="320"/>
      <c r="G150" s="569"/>
      <c r="H150" s="568"/>
      <c r="I150" s="568"/>
      <c r="J150" s="568"/>
      <c r="K150" s="568"/>
      <c r="L150" s="279"/>
      <c r="M150" s="279"/>
      <c r="N150" s="295"/>
      <c r="O150" s="568"/>
      <c r="P150" s="279"/>
      <c r="Q150" s="279"/>
      <c r="R150" s="568"/>
      <c r="S150" s="568"/>
      <c r="T150" s="568"/>
      <c r="U150" s="97"/>
      <c r="V150" s="568"/>
      <c r="W150" s="97"/>
      <c r="X150" s="156"/>
      <c r="Y150" s="156"/>
      <c r="Z150" s="156"/>
      <c r="AA150" s="156"/>
      <c r="AB150" s="201">
        <v>350</v>
      </c>
    </row>
    <row r="151" spans="1:34" ht="12.6" customHeight="1" x14ac:dyDescent="0.2">
      <c r="A151" s="20"/>
      <c r="B151" s="669" t="s">
        <v>185</v>
      </c>
      <c r="C151" s="670"/>
      <c r="D151" s="670"/>
      <c r="E151" s="670"/>
      <c r="F151" s="319"/>
      <c r="G151" s="570"/>
      <c r="H151" s="548"/>
      <c r="I151" s="548"/>
      <c r="J151" s="548"/>
      <c r="K151" s="548"/>
      <c r="L151" s="276"/>
      <c r="M151" s="276"/>
      <c r="N151" s="302"/>
      <c r="O151" s="548"/>
      <c r="P151" s="276"/>
      <c r="Q151" s="276"/>
      <c r="R151" s="548"/>
      <c r="S151" s="548"/>
      <c r="T151" s="548"/>
      <c r="U151" s="95"/>
      <c r="V151" s="548"/>
      <c r="W151" s="95"/>
      <c r="X151" s="156"/>
      <c r="Y151" s="156"/>
      <c r="Z151" s="156"/>
      <c r="AA151" s="156"/>
      <c r="AB151" s="201">
        <v>351</v>
      </c>
    </row>
    <row r="152" spans="1:34" ht="12.6" customHeight="1" x14ac:dyDescent="0.2">
      <c r="A152" s="20"/>
      <c r="B152" s="625" t="s">
        <v>186</v>
      </c>
      <c r="C152" s="626"/>
      <c r="D152" s="626"/>
      <c r="E152" s="626"/>
      <c r="F152" s="320"/>
      <c r="G152" s="569"/>
      <c r="H152" s="568"/>
      <c r="I152" s="568"/>
      <c r="J152" s="568"/>
      <c r="K152" s="568"/>
      <c r="L152" s="279"/>
      <c r="M152" s="279"/>
      <c r="N152" s="105"/>
      <c r="O152" s="568"/>
      <c r="P152" s="279"/>
      <c r="Q152" s="279"/>
      <c r="R152" s="568"/>
      <c r="S152" s="568"/>
      <c r="T152" s="105"/>
      <c r="U152" s="578"/>
      <c r="V152" s="105"/>
      <c r="W152" s="578"/>
      <c r="X152" s="156"/>
      <c r="Y152" s="156"/>
      <c r="Z152" s="156"/>
      <c r="AA152" s="156"/>
      <c r="AB152" s="201">
        <v>352</v>
      </c>
    </row>
    <row r="153" spans="1:34" ht="12.6" customHeight="1" x14ac:dyDescent="0.2">
      <c r="A153" s="20"/>
      <c r="B153" s="851" t="s">
        <v>394</v>
      </c>
      <c r="C153" s="852"/>
      <c r="D153" s="852"/>
      <c r="E153" s="853"/>
      <c r="F153" s="494">
        <f>0.71*X2</f>
        <v>689.41</v>
      </c>
      <c r="G153" s="415">
        <f t="shared" ref="G153" si="276">+F153*$X$1</f>
        <v>689.41</v>
      </c>
      <c r="H153" s="554"/>
      <c r="I153" s="364"/>
      <c r="J153" s="614"/>
      <c r="K153" s="364"/>
      <c r="L153" s="548">
        <f>F153+90</f>
        <v>779.41</v>
      </c>
      <c r="M153" s="307">
        <f t="shared" ref="M153:M154" si="277">+L153*$X$1</f>
        <v>779.41</v>
      </c>
      <c r="N153" s="548">
        <f>F153+55</f>
        <v>744.41</v>
      </c>
      <c r="O153" s="307">
        <f t="shared" ref="O153:O154" si="278">+N153*$X$1</f>
        <v>744.41</v>
      </c>
      <c r="P153" s="548">
        <f>F153+50</f>
        <v>739.41</v>
      </c>
      <c r="Q153" s="307">
        <f t="shared" ref="Q153" si="279">+P153*$X$1</f>
        <v>739.41</v>
      </c>
      <c r="R153" s="548">
        <f>F153+42</f>
        <v>731.41</v>
      </c>
      <c r="S153" s="307">
        <f t="shared" ref="S153" si="280">+R153*$X$1</f>
        <v>731.41</v>
      </c>
      <c r="T153" s="104">
        <f>F153+35</f>
        <v>724.41</v>
      </c>
      <c r="U153" s="328">
        <f t="shared" ref="U153" si="281">+T153*$X$1</f>
        <v>724.41</v>
      </c>
      <c r="V153" s="104">
        <f>F153+30</f>
        <v>719.41</v>
      </c>
      <c r="W153" s="328">
        <f t="shared" ref="W153" si="282">+V153*$X$1</f>
        <v>719.41</v>
      </c>
      <c r="X153" s="646"/>
      <c r="Y153" s="732"/>
      <c r="Z153" s="732"/>
      <c r="AA153" s="733"/>
      <c r="AB153" s="201">
        <v>370</v>
      </c>
    </row>
    <row r="154" spans="1:34" ht="12.6" customHeight="1" x14ac:dyDescent="0.2">
      <c r="A154" s="20"/>
      <c r="B154" s="677" t="s">
        <v>579</v>
      </c>
      <c r="C154" s="678"/>
      <c r="D154" s="678"/>
      <c r="E154" s="679"/>
      <c r="F154" s="329">
        <v>1154</v>
      </c>
      <c r="G154" s="271">
        <f>+F154*$X$1</f>
        <v>1154</v>
      </c>
      <c r="H154" s="105"/>
      <c r="I154" s="329"/>
      <c r="J154" s="613">
        <f>F154+150</f>
        <v>1304</v>
      </c>
      <c r="K154" s="306">
        <f t="shared" ref="K154" si="283">+J154*$X$1</f>
        <v>1304</v>
      </c>
      <c r="L154" s="613">
        <f>F154+90</f>
        <v>1244</v>
      </c>
      <c r="M154" s="306">
        <f t="shared" si="277"/>
        <v>1244</v>
      </c>
      <c r="N154" s="613">
        <f>F154+55</f>
        <v>1209</v>
      </c>
      <c r="O154" s="306">
        <f t="shared" si="278"/>
        <v>1209</v>
      </c>
      <c r="P154" s="105"/>
      <c r="Q154" s="329"/>
      <c r="R154" s="105"/>
      <c r="S154" s="329"/>
      <c r="T154" s="105"/>
      <c r="U154" s="271"/>
      <c r="V154" s="105"/>
      <c r="W154" s="271"/>
      <c r="X154" s="646"/>
      <c r="Y154" s="732"/>
      <c r="Z154" s="732"/>
      <c r="AA154" s="733"/>
      <c r="AB154" s="452">
        <v>373</v>
      </c>
    </row>
    <row r="155" spans="1:34" ht="12.75" customHeight="1" x14ac:dyDescent="0.2">
      <c r="A155" s="18"/>
      <c r="B155" s="3"/>
      <c r="C155" s="3"/>
      <c r="D155" s="3"/>
      <c r="E155" s="3"/>
      <c r="F155" s="133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8"/>
      <c r="B156" s="3"/>
      <c r="C156" s="3"/>
      <c r="D156" s="3"/>
      <c r="E156" s="66"/>
      <c r="F156" s="133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3"/>
      <c r="F157" s="101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8"/>
      <c r="B158" s="653" t="s">
        <v>11</v>
      </c>
      <c r="C158" s="738" t="s">
        <v>12</v>
      </c>
      <c r="D158" s="739"/>
      <c r="E158" s="739"/>
      <c r="F158" s="813" t="s">
        <v>13</v>
      </c>
      <c r="G158" s="813" t="s">
        <v>13</v>
      </c>
      <c r="H158" s="660" t="s">
        <v>870</v>
      </c>
      <c r="I158" s="660"/>
      <c r="J158" s="661"/>
      <c r="K158" s="661"/>
      <c r="L158" s="661"/>
      <c r="M158" s="661"/>
      <c r="N158" s="661"/>
      <c r="O158" s="661"/>
      <c r="P158" s="661"/>
      <c r="Q158" s="661"/>
      <c r="R158" s="661"/>
      <c r="S158" s="661"/>
      <c r="T158" s="661"/>
      <c r="U158" s="661"/>
      <c r="V158" s="661"/>
      <c r="W158" s="661"/>
      <c r="X158" s="632" t="s">
        <v>14</v>
      </c>
      <c r="Y158" s="633"/>
      <c r="Z158" s="633"/>
      <c r="AA158" s="634"/>
      <c r="AB158" s="630" t="s">
        <v>15</v>
      </c>
      <c r="AF158" s="628" t="s">
        <v>3</v>
      </c>
      <c r="AG158" s="629"/>
      <c r="AH158" s="629"/>
    </row>
    <row r="159" spans="1:34" ht="12.6" customHeight="1" x14ac:dyDescent="0.2">
      <c r="A159" s="18"/>
      <c r="B159" s="653"/>
      <c r="C159" s="739"/>
      <c r="D159" s="739"/>
      <c r="E159" s="739"/>
      <c r="F159" s="814"/>
      <c r="G159" s="814"/>
      <c r="H159" s="585"/>
      <c r="I159" s="583" t="s">
        <v>301</v>
      </c>
      <c r="J159" s="585"/>
      <c r="K159" s="583" t="s">
        <v>17</v>
      </c>
      <c r="L159" s="586"/>
      <c r="M159" s="586" t="s">
        <v>18</v>
      </c>
      <c r="N159" s="586"/>
      <c r="O159" s="583" t="s">
        <v>19</v>
      </c>
      <c r="P159" s="586"/>
      <c r="Q159" s="586" t="s">
        <v>303</v>
      </c>
      <c r="R159" s="586"/>
      <c r="S159" s="586" t="s">
        <v>20</v>
      </c>
      <c r="T159" s="586"/>
      <c r="U159" s="586" t="s">
        <v>21</v>
      </c>
      <c r="V159" s="586"/>
      <c r="W159" s="586" t="s">
        <v>22</v>
      </c>
      <c r="X159" s="635"/>
      <c r="Y159" s="636"/>
      <c r="Z159" s="636"/>
      <c r="AA159" s="637"/>
      <c r="AB159" s="631"/>
      <c r="AG159" s="33"/>
    </row>
    <row r="160" spans="1:34" ht="12.6" customHeight="1" x14ac:dyDescent="0.2">
      <c r="A160" s="20"/>
      <c r="B160" s="641" t="s">
        <v>187</v>
      </c>
      <c r="C160" s="644"/>
      <c r="D160" s="644"/>
      <c r="E160" s="645"/>
      <c r="F160" s="417">
        <f>1.352*X2</f>
        <v>1312.7920000000001</v>
      </c>
      <c r="G160" s="271">
        <f>+F160*$X$1</f>
        <v>1312.7920000000001</v>
      </c>
      <c r="H160" s="613"/>
      <c r="I160" s="306"/>
      <c r="J160" s="613">
        <f>F160+150</f>
        <v>1462.7920000000001</v>
      </c>
      <c r="K160" s="306">
        <f t="shared" ref="K160" si="284">+J160*$X$1</f>
        <v>1462.7920000000001</v>
      </c>
      <c r="L160" s="613">
        <f>F160+90</f>
        <v>1402.7920000000001</v>
      </c>
      <c r="M160" s="306">
        <f t="shared" ref="M160" si="285">+L160*$X$1</f>
        <v>1402.7920000000001</v>
      </c>
      <c r="N160" s="613">
        <f>F160+55</f>
        <v>1367.7920000000001</v>
      </c>
      <c r="O160" s="306">
        <f t="shared" ref="O160" si="286">+N160*$X$1</f>
        <v>1367.7920000000001</v>
      </c>
      <c r="P160" s="613">
        <f>F160+50</f>
        <v>1362.7920000000001</v>
      </c>
      <c r="Q160" s="306">
        <f t="shared" ref="Q160" si="287">+P160*$X$1</f>
        <v>1362.7920000000001</v>
      </c>
      <c r="R160" s="613">
        <f>F160+42</f>
        <v>1354.7920000000001</v>
      </c>
      <c r="S160" s="306">
        <f t="shared" ref="S160" si="288">+R160*$X$1</f>
        <v>1354.7920000000001</v>
      </c>
      <c r="T160" s="105">
        <f>F160+35</f>
        <v>1347.7920000000001</v>
      </c>
      <c r="U160" s="271">
        <f t="shared" ref="U160" si="289">+T160*$X$1</f>
        <v>1347.7920000000001</v>
      </c>
      <c r="V160" s="105">
        <f>F160+30</f>
        <v>1342.7920000000001</v>
      </c>
      <c r="W160" s="271">
        <f t="shared" ref="W160" si="290">+V160*$X$1</f>
        <v>1342.7920000000001</v>
      </c>
      <c r="X160" s="646"/>
      <c r="Y160" s="732"/>
      <c r="Z160" s="732"/>
      <c r="AA160" s="733"/>
      <c r="AB160" s="201">
        <v>375</v>
      </c>
    </row>
    <row r="161" spans="1:28" ht="12.6" customHeight="1" x14ac:dyDescent="0.2">
      <c r="A161" s="20"/>
      <c r="B161" s="682" t="s">
        <v>188</v>
      </c>
      <c r="C161" s="683"/>
      <c r="D161" s="683"/>
      <c r="E161" s="684"/>
      <c r="F161" s="418">
        <f>4.65*X2</f>
        <v>4515.1500000000005</v>
      </c>
      <c r="G161" s="328">
        <f>+F161*$X$1</f>
        <v>4515.1500000000005</v>
      </c>
      <c r="H161" s="548">
        <f>F161+310</f>
        <v>4825.1500000000005</v>
      </c>
      <c r="I161" s="307">
        <f t="shared" ref="I161" si="291">+H161*$X$1</f>
        <v>4825.1500000000005</v>
      </c>
      <c r="J161" s="548">
        <f>F161+120</f>
        <v>4635.1500000000005</v>
      </c>
      <c r="K161" s="307">
        <f t="shared" ref="K161:K162" si="292">+J161*$X$1</f>
        <v>4635.1500000000005</v>
      </c>
      <c r="L161" s="548">
        <f>F161+90</f>
        <v>4605.1500000000005</v>
      </c>
      <c r="M161" s="307">
        <f t="shared" ref="M161:M162" si="293">+L161*$X$1</f>
        <v>4605.1500000000005</v>
      </c>
      <c r="N161" s="548">
        <f>F161+55</f>
        <v>4570.1500000000005</v>
      </c>
      <c r="O161" s="307">
        <f>+N161*$X$1</f>
        <v>4570.1500000000005</v>
      </c>
      <c r="P161" s="548">
        <f>F161+49</f>
        <v>4564.1500000000005</v>
      </c>
      <c r="Q161" s="307">
        <f t="shared" ref="Q161:Q162" si="294">+P161*$X$1</f>
        <v>4564.1500000000005</v>
      </c>
      <c r="R161" s="548">
        <f>F161+42</f>
        <v>4557.1500000000005</v>
      </c>
      <c r="S161" s="307">
        <f>+R161*$X$1</f>
        <v>4557.1500000000005</v>
      </c>
      <c r="T161" s="548">
        <f>F161+36</f>
        <v>4551.1500000000005</v>
      </c>
      <c r="U161" s="307">
        <f>+T161*$X$1</f>
        <v>4551.1500000000005</v>
      </c>
      <c r="V161" s="548">
        <f>F161+32</f>
        <v>4547.1500000000005</v>
      </c>
      <c r="W161" s="307">
        <f>+V161*$X$1</f>
        <v>4547.1500000000005</v>
      </c>
      <c r="X161" s="638"/>
      <c r="Y161" s="650"/>
      <c r="Z161" s="650"/>
      <c r="AA161" s="640"/>
      <c r="AB161" s="201">
        <v>376</v>
      </c>
    </row>
    <row r="162" spans="1:28" ht="12.6" customHeight="1" x14ac:dyDescent="0.2">
      <c r="A162" s="20"/>
      <c r="B162" s="641" t="s">
        <v>189</v>
      </c>
      <c r="C162" s="644"/>
      <c r="D162" s="644"/>
      <c r="E162" s="645"/>
      <c r="F162" s="417">
        <f>3.54*X2</f>
        <v>3437.34</v>
      </c>
      <c r="G162" s="271">
        <f t="shared" ref="G162:G163" si="295">+F162*$X$1</f>
        <v>3437.34</v>
      </c>
      <c r="H162" s="342"/>
      <c r="I162" s="372"/>
      <c r="J162" s="613">
        <f>F162+150</f>
        <v>3587.34</v>
      </c>
      <c r="K162" s="306">
        <f t="shared" si="292"/>
        <v>3587.34</v>
      </c>
      <c r="L162" s="613">
        <f>F162+90</f>
        <v>3527.34</v>
      </c>
      <c r="M162" s="306">
        <f t="shared" si="293"/>
        <v>3527.34</v>
      </c>
      <c r="N162" s="613">
        <f>F162+55</f>
        <v>3492.34</v>
      </c>
      <c r="O162" s="306">
        <f t="shared" ref="O162" si="296">+N162*$X$1</f>
        <v>3492.34</v>
      </c>
      <c r="P162" s="613">
        <f>F162+50</f>
        <v>3487.34</v>
      </c>
      <c r="Q162" s="306">
        <f t="shared" si="294"/>
        <v>3487.34</v>
      </c>
      <c r="R162" s="613"/>
      <c r="S162" s="306"/>
      <c r="T162" s="105"/>
      <c r="U162" s="271"/>
      <c r="V162" s="105"/>
      <c r="W162" s="271"/>
      <c r="X162" s="646"/>
      <c r="Y162" s="732"/>
      <c r="Z162" s="732"/>
      <c r="AA162" s="733"/>
      <c r="AB162" s="201">
        <v>379</v>
      </c>
    </row>
    <row r="163" spans="1:28" ht="12.6" customHeight="1" x14ac:dyDescent="0.2">
      <c r="A163" s="108"/>
      <c r="B163" s="682" t="s">
        <v>416</v>
      </c>
      <c r="C163" s="683"/>
      <c r="D163" s="683"/>
      <c r="E163" s="684"/>
      <c r="F163" s="418">
        <f>1.843*X2</f>
        <v>1789.5529999999999</v>
      </c>
      <c r="G163" s="328">
        <f t="shared" si="295"/>
        <v>1789.5529999999999</v>
      </c>
      <c r="H163" s="548">
        <f>F163+400</f>
        <v>2189.5529999999999</v>
      </c>
      <c r="I163" s="307">
        <f>+H163*$X$1</f>
        <v>2189.5529999999999</v>
      </c>
      <c r="J163" s="548">
        <f>F163+150</f>
        <v>1939.5529999999999</v>
      </c>
      <c r="K163" s="307">
        <f t="shared" ref="K163:K165" si="297">+J163*$X$1</f>
        <v>1939.5529999999999</v>
      </c>
      <c r="L163" s="548"/>
      <c r="M163" s="307"/>
      <c r="N163" s="548"/>
      <c r="O163" s="307"/>
      <c r="P163" s="548"/>
      <c r="Q163" s="307"/>
      <c r="R163" s="548"/>
      <c r="S163" s="307"/>
      <c r="T163" s="104"/>
      <c r="U163" s="328"/>
      <c r="V163" s="104"/>
      <c r="W163" s="328"/>
      <c r="X163" s="646"/>
      <c r="Y163" s="732"/>
      <c r="Z163" s="732"/>
      <c r="AA163" s="733"/>
      <c r="AB163" s="201">
        <v>382</v>
      </c>
    </row>
    <row r="164" spans="1:28" ht="12.6" customHeight="1" x14ac:dyDescent="0.2">
      <c r="A164" s="20"/>
      <c r="B164" s="641" t="s">
        <v>602</v>
      </c>
      <c r="C164" s="644"/>
      <c r="D164" s="644"/>
      <c r="E164" s="645"/>
      <c r="F164" s="417">
        <f>17.8*X2</f>
        <v>17283.8</v>
      </c>
      <c r="G164" s="271">
        <f t="shared" ref="G164" si="298">+F164*$X$1</f>
        <v>17283.8</v>
      </c>
      <c r="H164" s="613">
        <f>F164+400</f>
        <v>17683.8</v>
      </c>
      <c r="I164" s="306">
        <f>+H164*$X$1</f>
        <v>17683.8</v>
      </c>
      <c r="J164" s="613">
        <f>F164+150</f>
        <v>17433.8</v>
      </c>
      <c r="K164" s="306">
        <f t="shared" si="297"/>
        <v>17433.8</v>
      </c>
      <c r="L164" s="613">
        <f>F164+90</f>
        <v>17373.8</v>
      </c>
      <c r="M164" s="306">
        <f t="shared" ref="M164:M165" si="299">+L164*$X$1</f>
        <v>17373.8</v>
      </c>
      <c r="N164" s="613">
        <f>F164+55</f>
        <v>17338.8</v>
      </c>
      <c r="O164" s="306">
        <f t="shared" ref="O164:O165" si="300">+N164*$X$1</f>
        <v>17338.8</v>
      </c>
      <c r="P164" s="613">
        <f>F164+50</f>
        <v>17333.8</v>
      </c>
      <c r="Q164" s="306">
        <f t="shared" ref="Q164:Q165" si="301">+P164*$X$1</f>
        <v>17333.8</v>
      </c>
      <c r="R164" s="613">
        <f>F164+42</f>
        <v>17325.8</v>
      </c>
      <c r="S164" s="306">
        <f t="shared" ref="S164:S165" si="302">+R164*$X$1</f>
        <v>17325.8</v>
      </c>
      <c r="T164" s="105">
        <f>F164+35</f>
        <v>17318.8</v>
      </c>
      <c r="U164" s="271">
        <f t="shared" ref="U164:U165" si="303">+T164*$X$1</f>
        <v>17318.8</v>
      </c>
      <c r="V164" s="105">
        <f>F164+30</f>
        <v>17313.8</v>
      </c>
      <c r="W164" s="271">
        <f t="shared" ref="W164:W165" si="304">+V164*$X$1</f>
        <v>17313.8</v>
      </c>
      <c r="X164" s="646"/>
      <c r="Y164" s="732"/>
      <c r="Z164" s="732"/>
      <c r="AA164" s="733"/>
      <c r="AB164" s="201">
        <v>395</v>
      </c>
    </row>
    <row r="165" spans="1:28" ht="12.6" customHeight="1" x14ac:dyDescent="0.2">
      <c r="A165" s="20"/>
      <c r="B165" s="682" t="s">
        <v>603</v>
      </c>
      <c r="C165" s="683"/>
      <c r="D165" s="683"/>
      <c r="E165" s="684"/>
      <c r="F165" s="418">
        <f>22.04*X2</f>
        <v>21400.84</v>
      </c>
      <c r="G165" s="328">
        <f t="shared" ref="G165" si="305">+F165*$X$1</f>
        <v>21400.84</v>
      </c>
      <c r="H165" s="90">
        <f t="shared" ref="H165" si="306">F165+400</f>
        <v>21800.84</v>
      </c>
      <c r="I165" s="307">
        <f t="shared" ref="I165" si="307">+H165*$X$1</f>
        <v>21800.84</v>
      </c>
      <c r="J165" s="548">
        <f t="shared" ref="J165" si="308">F165+170</f>
        <v>21570.84</v>
      </c>
      <c r="K165" s="307">
        <f t="shared" si="297"/>
        <v>21570.84</v>
      </c>
      <c r="L165" s="548">
        <f t="shared" ref="L165" si="309">F165+130</f>
        <v>21530.84</v>
      </c>
      <c r="M165" s="307">
        <f t="shared" si="299"/>
        <v>21530.84</v>
      </c>
      <c r="N165" s="548">
        <f t="shared" ref="N165" si="310">F165+100</f>
        <v>21500.84</v>
      </c>
      <c r="O165" s="307">
        <f t="shared" si="300"/>
        <v>21500.84</v>
      </c>
      <c r="P165" s="548">
        <f t="shared" ref="P165" si="311">F165+80</f>
        <v>21480.84</v>
      </c>
      <c r="Q165" s="307">
        <f t="shared" si="301"/>
        <v>21480.84</v>
      </c>
      <c r="R165" s="548">
        <f t="shared" ref="R165" si="312">F165+74</f>
        <v>21474.84</v>
      </c>
      <c r="S165" s="307">
        <f t="shared" si="302"/>
        <v>21474.84</v>
      </c>
      <c r="T165" s="548">
        <f t="shared" ref="T165" si="313">F165+67</f>
        <v>21467.84</v>
      </c>
      <c r="U165" s="307">
        <f t="shared" si="303"/>
        <v>21467.84</v>
      </c>
      <c r="V165" s="548">
        <f t="shared" ref="V165" si="314">F165+55</f>
        <v>21455.84</v>
      </c>
      <c r="W165" s="307">
        <f t="shared" si="304"/>
        <v>21455.84</v>
      </c>
      <c r="X165" s="646"/>
      <c r="Y165" s="732"/>
      <c r="Z165" s="732"/>
      <c r="AA165" s="733"/>
      <c r="AB165" s="201">
        <v>398</v>
      </c>
    </row>
    <row r="166" spans="1:28" ht="12.6" customHeight="1" x14ac:dyDescent="0.2">
      <c r="A166" s="20"/>
      <c r="B166" s="951" t="s">
        <v>643</v>
      </c>
      <c r="C166" s="952"/>
      <c r="D166" s="952"/>
      <c r="E166" s="952"/>
      <c r="F166" s="417">
        <f>13.317*X2</f>
        <v>12930.807000000001</v>
      </c>
      <c r="G166" s="271">
        <f t="shared" ref="G166" si="315">+F166*$X$1</f>
        <v>12930.807000000001</v>
      </c>
      <c r="H166" s="613">
        <f>F166+310</f>
        <v>13240.807000000001</v>
      </c>
      <c r="I166" s="306">
        <f t="shared" ref="I166:I167" si="316">+H166*$X$1</f>
        <v>13240.807000000001</v>
      </c>
      <c r="J166" s="613">
        <f>F166+120</f>
        <v>13050.807000000001</v>
      </c>
      <c r="K166" s="306">
        <f t="shared" ref="K166:K167" si="317">+J166*$X$1</f>
        <v>13050.807000000001</v>
      </c>
      <c r="L166" s="613">
        <f t="shared" ref="L166:L171" si="318">F166+90</f>
        <v>13020.807000000001</v>
      </c>
      <c r="M166" s="306">
        <f t="shared" ref="M166:M167" si="319">+L166*$X$1</f>
        <v>13020.807000000001</v>
      </c>
      <c r="N166" s="613">
        <f t="shared" ref="N166:N171" si="320">F166+55</f>
        <v>12985.807000000001</v>
      </c>
      <c r="O166" s="306">
        <f>+N166*$X$1</f>
        <v>12985.807000000001</v>
      </c>
      <c r="P166" s="613">
        <f>F166+49</f>
        <v>12979.807000000001</v>
      </c>
      <c r="Q166" s="306">
        <f t="shared" ref="Q166:Q167" si="321">+P166*$X$1</f>
        <v>12979.807000000001</v>
      </c>
      <c r="R166" s="613">
        <f t="shared" ref="R166:R171" si="322">F166+42</f>
        <v>12972.807000000001</v>
      </c>
      <c r="S166" s="306">
        <f>+R166*$X$1</f>
        <v>12972.807000000001</v>
      </c>
      <c r="T166" s="613">
        <f>F166+36</f>
        <v>12966.807000000001</v>
      </c>
      <c r="U166" s="306">
        <f>+T166*$X$1</f>
        <v>12966.807000000001</v>
      </c>
      <c r="V166" s="613"/>
      <c r="W166" s="306"/>
      <c r="X166" s="639"/>
      <c r="Y166" s="650"/>
      <c r="Z166" s="650"/>
      <c r="AA166" s="640"/>
      <c r="AB166" s="201" t="s">
        <v>644</v>
      </c>
    </row>
    <row r="167" spans="1:28" ht="12.6" customHeight="1" x14ac:dyDescent="0.2">
      <c r="A167" s="20"/>
      <c r="B167" s="1018" t="s">
        <v>652</v>
      </c>
      <c r="C167" s="1019"/>
      <c r="D167" s="1019"/>
      <c r="E167" s="1019"/>
      <c r="F167" s="418">
        <f>17.78*X2</f>
        <v>17264.38</v>
      </c>
      <c r="G167" s="328">
        <f t="shared" ref="G167" si="323">+F167*$X$1</f>
        <v>17264.38</v>
      </c>
      <c r="H167" s="548">
        <f>F167+310</f>
        <v>17574.38</v>
      </c>
      <c r="I167" s="307">
        <f t="shared" si="316"/>
        <v>17574.38</v>
      </c>
      <c r="J167" s="548">
        <f>F167+120</f>
        <v>17384.38</v>
      </c>
      <c r="K167" s="307">
        <f t="shared" si="317"/>
        <v>17384.38</v>
      </c>
      <c r="L167" s="548">
        <f t="shared" si="318"/>
        <v>17354.38</v>
      </c>
      <c r="M167" s="307">
        <f t="shared" si="319"/>
        <v>17354.38</v>
      </c>
      <c r="N167" s="548">
        <f t="shared" si="320"/>
        <v>17319.38</v>
      </c>
      <c r="O167" s="307">
        <f>+N167*$X$1</f>
        <v>17319.38</v>
      </c>
      <c r="P167" s="548">
        <f>F167+49</f>
        <v>17313.38</v>
      </c>
      <c r="Q167" s="307">
        <f t="shared" si="321"/>
        <v>17313.38</v>
      </c>
      <c r="R167" s="548">
        <f t="shared" si="322"/>
        <v>17306.38</v>
      </c>
      <c r="S167" s="307">
        <f>+R167*$X$1</f>
        <v>17306.38</v>
      </c>
      <c r="T167" s="548">
        <f>F167+36</f>
        <v>17300.38</v>
      </c>
      <c r="U167" s="307">
        <f>+T167*$X$1</f>
        <v>17300.38</v>
      </c>
      <c r="V167" s="90"/>
      <c r="W167" s="90"/>
      <c r="X167" s="187"/>
      <c r="Y167" s="189"/>
      <c r="Z167" s="189"/>
      <c r="AA167" s="187"/>
      <c r="AB167" s="201" t="s">
        <v>651</v>
      </c>
    </row>
    <row r="168" spans="1:28" ht="12.6" customHeight="1" x14ac:dyDescent="0.2">
      <c r="A168" s="20"/>
      <c r="B168" s="951" t="s">
        <v>646</v>
      </c>
      <c r="C168" s="952"/>
      <c r="D168" s="952"/>
      <c r="E168" s="952"/>
      <c r="F168" s="417">
        <f>12.84*X2</f>
        <v>12467.64</v>
      </c>
      <c r="G168" s="271">
        <f t="shared" ref="G168" si="324">+F168*$X$1</f>
        <v>12467.64</v>
      </c>
      <c r="H168" s="613">
        <f>F168+400</f>
        <v>12867.64</v>
      </c>
      <c r="I168" s="306">
        <f>+H168*$X$1</f>
        <v>12867.64</v>
      </c>
      <c r="J168" s="613">
        <f>F168+150</f>
        <v>12617.64</v>
      </c>
      <c r="K168" s="306">
        <f t="shared" ref="K168" si="325">+J168*$X$1</f>
        <v>12617.64</v>
      </c>
      <c r="L168" s="613">
        <f t="shared" si="318"/>
        <v>12557.64</v>
      </c>
      <c r="M168" s="306">
        <f t="shared" ref="M168" si="326">+L168*$X$1</f>
        <v>12557.64</v>
      </c>
      <c r="N168" s="613">
        <f t="shared" si="320"/>
        <v>12522.64</v>
      </c>
      <c r="O168" s="306">
        <f t="shared" ref="O168" si="327">+N168*$X$1</f>
        <v>12522.64</v>
      </c>
      <c r="P168" s="613">
        <f>F168+50</f>
        <v>12517.64</v>
      </c>
      <c r="Q168" s="306">
        <f t="shared" ref="Q168" si="328">+P168*$X$1</f>
        <v>12517.64</v>
      </c>
      <c r="R168" s="613">
        <f t="shared" si="322"/>
        <v>12509.64</v>
      </c>
      <c r="S168" s="306">
        <f t="shared" ref="S168" si="329">+R168*$X$1</f>
        <v>12509.64</v>
      </c>
      <c r="T168" s="105">
        <f>F168+35</f>
        <v>12502.64</v>
      </c>
      <c r="U168" s="271">
        <f t="shared" ref="U168" si="330">+T168*$X$1</f>
        <v>12502.64</v>
      </c>
      <c r="V168" s="105"/>
      <c r="W168" s="271"/>
      <c r="X168" s="646"/>
      <c r="Y168" s="732"/>
      <c r="Z168" s="732"/>
      <c r="AA168" s="733"/>
      <c r="AB168" s="201" t="s">
        <v>645</v>
      </c>
    </row>
    <row r="169" spans="1:28" ht="12.6" customHeight="1" x14ac:dyDescent="0.2">
      <c r="A169" s="20"/>
      <c r="B169" s="1018" t="s">
        <v>367</v>
      </c>
      <c r="C169" s="1019"/>
      <c r="D169" s="1019"/>
      <c r="E169" s="1019"/>
      <c r="F169" s="418">
        <f>15.93*X2</f>
        <v>15468.029999999999</v>
      </c>
      <c r="G169" s="328">
        <f t="shared" ref="G169:G170" si="331">+F169*$X$1</f>
        <v>15468.029999999999</v>
      </c>
      <c r="H169" s="548"/>
      <c r="I169" s="307"/>
      <c r="J169" s="548">
        <f>F169+150</f>
        <v>15618.029999999999</v>
      </c>
      <c r="K169" s="307">
        <f t="shared" ref="K169:K171" si="332">+J169*$X$1</f>
        <v>15618.029999999999</v>
      </c>
      <c r="L169" s="548">
        <f t="shared" si="318"/>
        <v>15558.029999999999</v>
      </c>
      <c r="M169" s="307">
        <f t="shared" ref="M169:M171" si="333">+L169*$X$1</f>
        <v>15558.029999999999</v>
      </c>
      <c r="N169" s="548">
        <f t="shared" si="320"/>
        <v>15523.029999999999</v>
      </c>
      <c r="O169" s="307">
        <f t="shared" ref="O169" si="334">+N169*$X$1</f>
        <v>15523.029999999999</v>
      </c>
      <c r="P169" s="548">
        <f>F169+50</f>
        <v>15518.029999999999</v>
      </c>
      <c r="Q169" s="307">
        <f t="shared" ref="Q169:Q171" si="335">+P169*$X$1</f>
        <v>15518.029999999999</v>
      </c>
      <c r="R169" s="548">
        <f t="shared" si="322"/>
        <v>15510.029999999999</v>
      </c>
      <c r="S169" s="307">
        <f t="shared" ref="S169" si="336">+R169*$X$1</f>
        <v>15510.029999999999</v>
      </c>
      <c r="T169" s="104">
        <f>F169+35</f>
        <v>15503.029999999999</v>
      </c>
      <c r="U169" s="328">
        <f t="shared" ref="U169" si="337">+T169*$X$1</f>
        <v>15503.029999999999</v>
      </c>
      <c r="V169" s="90"/>
      <c r="W169" s="90"/>
      <c r="X169" s="646"/>
      <c r="Y169" s="732"/>
      <c r="Z169" s="732"/>
      <c r="AA169" s="733"/>
      <c r="AB169" s="201">
        <v>405</v>
      </c>
    </row>
    <row r="170" spans="1:28" ht="12.6" customHeight="1" x14ac:dyDescent="0.2">
      <c r="A170" s="20"/>
      <c r="B170" s="951" t="s">
        <v>650</v>
      </c>
      <c r="C170" s="952"/>
      <c r="D170" s="952"/>
      <c r="E170" s="952"/>
      <c r="F170" s="417">
        <f>15.6*X2</f>
        <v>15147.6</v>
      </c>
      <c r="G170" s="271">
        <f t="shared" si="331"/>
        <v>15147.6</v>
      </c>
      <c r="H170" s="613">
        <f>F170+310</f>
        <v>15457.6</v>
      </c>
      <c r="I170" s="306">
        <f t="shared" ref="I170:I171" si="338">+H170*$X$1</f>
        <v>15457.6</v>
      </c>
      <c r="J170" s="613">
        <f>F170+120</f>
        <v>15267.6</v>
      </c>
      <c r="K170" s="306">
        <f t="shared" si="332"/>
        <v>15267.6</v>
      </c>
      <c r="L170" s="613">
        <f t="shared" si="318"/>
        <v>15237.6</v>
      </c>
      <c r="M170" s="306">
        <f t="shared" si="333"/>
        <v>15237.6</v>
      </c>
      <c r="N170" s="613">
        <f t="shared" si="320"/>
        <v>15202.6</v>
      </c>
      <c r="O170" s="306">
        <f>+N170*$X$1</f>
        <v>15202.6</v>
      </c>
      <c r="P170" s="613">
        <f>F170+49</f>
        <v>15196.6</v>
      </c>
      <c r="Q170" s="306">
        <f t="shared" si="335"/>
        <v>15196.6</v>
      </c>
      <c r="R170" s="613">
        <f t="shared" si="322"/>
        <v>15189.6</v>
      </c>
      <c r="S170" s="306">
        <f>+R170*$X$1</f>
        <v>15189.6</v>
      </c>
      <c r="T170" s="613">
        <f>F170+36</f>
        <v>15183.6</v>
      </c>
      <c r="U170" s="306">
        <f>+T170*$X$1</f>
        <v>15183.6</v>
      </c>
      <c r="V170" s="72"/>
      <c r="W170" s="72"/>
      <c r="X170" s="639"/>
      <c r="Y170" s="650"/>
      <c r="Z170" s="650"/>
      <c r="AA170" s="640"/>
      <c r="AB170" s="201" t="s">
        <v>649</v>
      </c>
    </row>
    <row r="171" spans="1:28" ht="12.6" customHeight="1" x14ac:dyDescent="0.2">
      <c r="A171" s="20"/>
      <c r="B171" s="669" t="s">
        <v>648</v>
      </c>
      <c r="C171" s="670"/>
      <c r="D171" s="670"/>
      <c r="E171" s="670"/>
      <c r="F171" s="418">
        <f>16.54*X2</f>
        <v>16060.339999999998</v>
      </c>
      <c r="G171" s="328">
        <f t="shared" ref="G171" si="339">+F171*$X$1</f>
        <v>16060.339999999998</v>
      </c>
      <c r="H171" s="548">
        <f>F171+310</f>
        <v>16370.339999999998</v>
      </c>
      <c r="I171" s="307">
        <f t="shared" si="338"/>
        <v>16370.339999999998</v>
      </c>
      <c r="J171" s="548">
        <f>F171+120</f>
        <v>16180.339999999998</v>
      </c>
      <c r="K171" s="307">
        <f t="shared" si="332"/>
        <v>16180.339999999998</v>
      </c>
      <c r="L171" s="548">
        <f t="shared" si="318"/>
        <v>16150.339999999998</v>
      </c>
      <c r="M171" s="307">
        <f t="shared" si="333"/>
        <v>16150.339999999998</v>
      </c>
      <c r="N171" s="548">
        <f t="shared" si="320"/>
        <v>16115.339999999998</v>
      </c>
      <c r="O171" s="307">
        <f>+N171*$X$1</f>
        <v>16115.339999999998</v>
      </c>
      <c r="P171" s="548">
        <f>F171+49</f>
        <v>16109.339999999998</v>
      </c>
      <c r="Q171" s="307">
        <f t="shared" si="335"/>
        <v>16109.339999999998</v>
      </c>
      <c r="R171" s="548">
        <f t="shared" si="322"/>
        <v>16102.339999999998</v>
      </c>
      <c r="S171" s="307">
        <f>+R171*$X$1</f>
        <v>16102.339999999998</v>
      </c>
      <c r="T171" s="548">
        <f>F171+36</f>
        <v>16096.339999999998</v>
      </c>
      <c r="U171" s="307">
        <f>+T171*$X$1</f>
        <v>16096.339999999998</v>
      </c>
      <c r="V171" s="90"/>
      <c r="W171" s="90"/>
      <c r="X171" s="646"/>
      <c r="Y171" s="732"/>
      <c r="Z171" s="732"/>
      <c r="AA171" s="733"/>
      <c r="AB171" s="201" t="s">
        <v>647</v>
      </c>
    </row>
    <row r="172" spans="1:28" ht="12.6" customHeight="1" x14ac:dyDescent="0.2">
      <c r="A172" s="25"/>
      <c r="B172" s="721" t="s">
        <v>675</v>
      </c>
      <c r="C172" s="722"/>
      <c r="D172" s="722"/>
      <c r="E172" s="722"/>
      <c r="F172" s="329">
        <v>115</v>
      </c>
      <c r="G172" s="540">
        <f t="shared" ref="G172:G175" si="340">+F172*$X$1</f>
        <v>115</v>
      </c>
      <c r="H172" s="402"/>
      <c r="I172" s="896" t="s">
        <v>613</v>
      </c>
      <c r="J172" s="726"/>
      <c r="K172" s="726"/>
      <c r="L172" s="726"/>
      <c r="M172" s="727"/>
      <c r="N172" s="613">
        <f>F172+140</f>
        <v>255</v>
      </c>
      <c r="O172" s="306">
        <f t="shared" ref="O172" si="341">+N172*$X$1</f>
        <v>255</v>
      </c>
      <c r="P172" s="613">
        <f>F172+125</f>
        <v>240</v>
      </c>
      <c r="Q172" s="306">
        <f t="shared" ref="Q172" si="342">+P172*$X$1</f>
        <v>240</v>
      </c>
      <c r="R172" s="613">
        <f>F172+115</f>
        <v>230</v>
      </c>
      <c r="S172" s="306">
        <f t="shared" ref="S172" si="343">+R172*$X$1</f>
        <v>230</v>
      </c>
      <c r="T172" s="613">
        <f>F172+95</f>
        <v>210</v>
      </c>
      <c r="U172" s="306">
        <f t="shared" ref="U172" si="344">+T172*$X$1</f>
        <v>210</v>
      </c>
      <c r="V172" s="613">
        <f>F172+85</f>
        <v>200</v>
      </c>
      <c r="W172" s="306">
        <f t="shared" ref="W172" si="345">+V172*$X$1</f>
        <v>200</v>
      </c>
      <c r="X172" s="166"/>
      <c r="Y172" s="156"/>
      <c r="Z172" s="156"/>
      <c r="AA172" s="156"/>
      <c r="AB172" s="201">
        <v>415</v>
      </c>
    </row>
    <row r="173" spans="1:28" ht="12.6" customHeight="1" x14ac:dyDescent="0.2">
      <c r="A173" s="25"/>
      <c r="B173" s="669" t="s">
        <v>559</v>
      </c>
      <c r="C173" s="670"/>
      <c r="D173" s="670"/>
      <c r="E173" s="670"/>
      <c r="F173" s="343">
        <v>126</v>
      </c>
      <c r="G173" s="541">
        <f t="shared" si="340"/>
        <v>126</v>
      </c>
      <c r="H173" s="403"/>
      <c r="I173" s="897"/>
      <c r="J173" s="897"/>
      <c r="K173" s="897"/>
      <c r="L173" s="897"/>
      <c r="M173" s="898"/>
      <c r="N173" s="548">
        <f t="shared" ref="N173:N175" si="346">F173+140</f>
        <v>266</v>
      </c>
      <c r="O173" s="307">
        <f t="shared" ref="O173:O175" si="347">+N173*$X$1</f>
        <v>266</v>
      </c>
      <c r="P173" s="548">
        <f t="shared" ref="P173:P175" si="348">F173+125</f>
        <v>251</v>
      </c>
      <c r="Q173" s="307">
        <f t="shared" ref="Q173:Q175" si="349">+P173*$X$1</f>
        <v>251</v>
      </c>
      <c r="R173" s="548">
        <f t="shared" ref="R173:R175" si="350">F173+115</f>
        <v>241</v>
      </c>
      <c r="S173" s="307">
        <f t="shared" ref="S173:S175" si="351">+R173*$X$1</f>
        <v>241</v>
      </c>
      <c r="T173" s="548">
        <f t="shared" ref="T173:T175" si="352">F173+95</f>
        <v>221</v>
      </c>
      <c r="U173" s="307">
        <f t="shared" ref="U173:U175" si="353">+T173*$X$1</f>
        <v>221</v>
      </c>
      <c r="V173" s="548">
        <f t="shared" ref="V173:V175" si="354">F173+85</f>
        <v>211</v>
      </c>
      <c r="W173" s="307">
        <f t="shared" ref="W173:W175" si="355">+V173*$X$1</f>
        <v>211</v>
      </c>
      <c r="X173" s="166"/>
      <c r="Y173" s="156"/>
      <c r="Z173" s="156"/>
      <c r="AA173" s="156"/>
      <c r="AB173" s="201">
        <v>416</v>
      </c>
    </row>
    <row r="174" spans="1:28" ht="12.6" customHeight="1" x14ac:dyDescent="0.2">
      <c r="A174" s="25"/>
      <c r="B174" s="625" t="s">
        <v>560</v>
      </c>
      <c r="C174" s="626"/>
      <c r="D174" s="626"/>
      <c r="E174" s="626"/>
      <c r="F174" s="329">
        <v>121</v>
      </c>
      <c r="G174" s="540">
        <f t="shared" si="340"/>
        <v>121</v>
      </c>
      <c r="H174" s="403"/>
      <c r="I174" s="897"/>
      <c r="J174" s="897"/>
      <c r="K174" s="897"/>
      <c r="L174" s="897"/>
      <c r="M174" s="898"/>
      <c r="N174" s="613">
        <f t="shared" si="346"/>
        <v>261</v>
      </c>
      <c r="O174" s="306">
        <f t="shared" si="347"/>
        <v>261</v>
      </c>
      <c r="P174" s="613">
        <f t="shared" si="348"/>
        <v>246</v>
      </c>
      <c r="Q174" s="306">
        <f t="shared" si="349"/>
        <v>246</v>
      </c>
      <c r="R174" s="613">
        <f t="shared" si="350"/>
        <v>236</v>
      </c>
      <c r="S174" s="306">
        <f t="shared" si="351"/>
        <v>236</v>
      </c>
      <c r="T174" s="613">
        <f t="shared" si="352"/>
        <v>216</v>
      </c>
      <c r="U174" s="306">
        <f t="shared" si="353"/>
        <v>216</v>
      </c>
      <c r="V174" s="613">
        <f t="shared" si="354"/>
        <v>206</v>
      </c>
      <c r="W174" s="306">
        <f t="shared" si="355"/>
        <v>206</v>
      </c>
      <c r="X174" s="166"/>
      <c r="Y174" s="156"/>
      <c r="Z174" s="156"/>
      <c r="AA174" s="156"/>
      <c r="AB174" s="201">
        <v>417</v>
      </c>
    </row>
    <row r="175" spans="1:28" ht="12.6" customHeight="1" x14ac:dyDescent="0.2">
      <c r="A175" s="25"/>
      <c r="B175" s="669" t="s">
        <v>561</v>
      </c>
      <c r="C175" s="670"/>
      <c r="D175" s="670"/>
      <c r="E175" s="670"/>
      <c r="F175" s="343">
        <v>121</v>
      </c>
      <c r="G175" s="541">
        <f t="shared" si="340"/>
        <v>121</v>
      </c>
      <c r="H175" s="404"/>
      <c r="I175" s="730"/>
      <c r="J175" s="730"/>
      <c r="K175" s="730"/>
      <c r="L175" s="730"/>
      <c r="M175" s="731"/>
      <c r="N175" s="548">
        <f t="shared" si="346"/>
        <v>261</v>
      </c>
      <c r="O175" s="307">
        <f t="shared" si="347"/>
        <v>261</v>
      </c>
      <c r="P175" s="548">
        <f t="shared" si="348"/>
        <v>246</v>
      </c>
      <c r="Q175" s="307">
        <f t="shared" si="349"/>
        <v>246</v>
      </c>
      <c r="R175" s="548">
        <f t="shared" si="350"/>
        <v>236</v>
      </c>
      <c r="S175" s="307">
        <f t="shared" si="351"/>
        <v>236</v>
      </c>
      <c r="T175" s="548">
        <f t="shared" si="352"/>
        <v>216</v>
      </c>
      <c r="U175" s="307">
        <f t="shared" si="353"/>
        <v>216</v>
      </c>
      <c r="V175" s="548">
        <f t="shared" si="354"/>
        <v>206</v>
      </c>
      <c r="W175" s="307">
        <f t="shared" si="355"/>
        <v>206</v>
      </c>
      <c r="X175" s="166"/>
      <c r="Y175" s="156"/>
      <c r="Z175" s="156"/>
      <c r="AA175" s="156"/>
      <c r="AB175" s="201">
        <v>418</v>
      </c>
    </row>
    <row r="176" spans="1:28" ht="12.6" customHeight="1" x14ac:dyDescent="0.2">
      <c r="A176" s="25"/>
      <c r="B176" s="625" t="s">
        <v>190</v>
      </c>
      <c r="C176" s="626"/>
      <c r="D176" s="626"/>
      <c r="E176" s="626"/>
      <c r="F176" s="423">
        <v>833</v>
      </c>
      <c r="G176" s="329">
        <f t="shared" ref="G176:G186" si="356">+F176*$X$1</f>
        <v>833</v>
      </c>
      <c r="H176" s="342"/>
      <c r="I176" s="380"/>
      <c r="J176" s="123"/>
      <c r="K176" s="409"/>
      <c r="L176" s="105">
        <f>F176+75</f>
        <v>908</v>
      </c>
      <c r="M176" s="271">
        <f t="shared" ref="M176:M177" si="357">+L176*$X$1</f>
        <v>908</v>
      </c>
      <c r="N176" s="105">
        <f>F176+55</f>
        <v>888</v>
      </c>
      <c r="O176" s="329">
        <f>+N176*$X$1</f>
        <v>888</v>
      </c>
      <c r="P176" s="105">
        <f>F176+49</f>
        <v>882</v>
      </c>
      <c r="Q176" s="329">
        <f>+P176*$X$1</f>
        <v>882</v>
      </c>
      <c r="R176" s="613">
        <f>F176+42</f>
        <v>875</v>
      </c>
      <c r="S176" s="306">
        <f>+R176*$X$1</f>
        <v>875</v>
      </c>
      <c r="T176" s="613">
        <f>F176+34</f>
        <v>867</v>
      </c>
      <c r="U176" s="306">
        <f>+T176*$X$1</f>
        <v>867</v>
      </c>
      <c r="V176" s="613">
        <f>F176+30</f>
        <v>863</v>
      </c>
      <c r="W176" s="306">
        <f>+V176*$X$1</f>
        <v>863</v>
      </c>
      <c r="X176" s="887"/>
      <c r="Y176" s="888"/>
      <c r="Z176" s="888"/>
      <c r="AA176" s="889"/>
      <c r="AB176" s="463">
        <v>421</v>
      </c>
    </row>
    <row r="177" spans="1:28" ht="12.6" customHeight="1" x14ac:dyDescent="0.2">
      <c r="A177" s="25"/>
      <c r="B177" s="693" t="s">
        <v>618</v>
      </c>
      <c r="C177" s="837"/>
      <c r="D177" s="837"/>
      <c r="E177" s="837"/>
      <c r="F177" s="422">
        <v>750</v>
      </c>
      <c r="G177" s="343">
        <f t="shared" si="356"/>
        <v>750</v>
      </c>
      <c r="H177" s="899" t="s">
        <v>657</v>
      </c>
      <c r="I177" s="900"/>
      <c r="J177" s="900"/>
      <c r="K177" s="901"/>
      <c r="L177" s="548">
        <f>F177+150</f>
        <v>900</v>
      </c>
      <c r="M177" s="307">
        <f t="shared" si="357"/>
        <v>900</v>
      </c>
      <c r="N177" s="548">
        <f>F177+90</f>
        <v>840</v>
      </c>
      <c r="O177" s="307">
        <f t="shared" ref="O177" si="358">+N177*$X$1</f>
        <v>840</v>
      </c>
      <c r="P177" s="548">
        <f>F177+65</f>
        <v>815</v>
      </c>
      <c r="Q177" s="307">
        <f t="shared" ref="Q177" si="359">+P177*$X$1</f>
        <v>815</v>
      </c>
      <c r="R177" s="548">
        <f>F177+58</f>
        <v>808</v>
      </c>
      <c r="S177" s="307">
        <f t="shared" ref="S177" si="360">+R177*$X$1</f>
        <v>808</v>
      </c>
      <c r="T177" s="104">
        <f>F177+52</f>
        <v>802</v>
      </c>
      <c r="U177" s="328">
        <f t="shared" ref="U177" si="361">+T177*$X$1</f>
        <v>802</v>
      </c>
      <c r="V177" s="548">
        <f>F177+47</f>
        <v>797</v>
      </c>
      <c r="W177" s="307">
        <f t="shared" ref="W177" si="362">+V177*$X$1</f>
        <v>797</v>
      </c>
      <c r="X177" s="887"/>
      <c r="Y177" s="888"/>
      <c r="Z177" s="888"/>
      <c r="AA177" s="889"/>
      <c r="AB177" s="463" t="s">
        <v>769</v>
      </c>
    </row>
    <row r="178" spans="1:28" ht="12.6" customHeight="1" x14ac:dyDescent="0.2">
      <c r="A178" s="25"/>
      <c r="B178" s="693" t="s">
        <v>615</v>
      </c>
      <c r="C178" s="837"/>
      <c r="D178" s="837"/>
      <c r="E178" s="837"/>
      <c r="F178" s="423">
        <v>750</v>
      </c>
      <c r="G178" s="329">
        <f t="shared" si="356"/>
        <v>750</v>
      </c>
      <c r="H178" s="902"/>
      <c r="I178" s="903"/>
      <c r="J178" s="903"/>
      <c r="K178" s="904"/>
      <c r="L178" s="613">
        <f>F178+150</f>
        <v>900</v>
      </c>
      <c r="M178" s="306">
        <f t="shared" ref="M178:M181" si="363">+L178*$X$1</f>
        <v>900</v>
      </c>
      <c r="N178" s="613">
        <f t="shared" ref="N178:N181" si="364">F178+90</f>
        <v>840</v>
      </c>
      <c r="O178" s="306">
        <f t="shared" ref="O178:O181" si="365">+N178*$X$1</f>
        <v>840</v>
      </c>
      <c r="P178" s="613">
        <f t="shared" ref="P178:P181" si="366">F178+65</f>
        <v>815</v>
      </c>
      <c r="Q178" s="306">
        <f t="shared" ref="Q178:Q181" si="367">+P178*$X$1</f>
        <v>815</v>
      </c>
      <c r="R178" s="613">
        <f t="shared" ref="R178:R181" si="368">F178+58</f>
        <v>808</v>
      </c>
      <c r="S178" s="306">
        <f t="shared" ref="S178:S181" si="369">+R178*$X$1</f>
        <v>808</v>
      </c>
      <c r="T178" s="105">
        <f t="shared" ref="T178:T181" si="370">F178+52</f>
        <v>802</v>
      </c>
      <c r="U178" s="271">
        <f t="shared" ref="U178:U181" si="371">+T178*$X$1</f>
        <v>802</v>
      </c>
      <c r="V178" s="613">
        <f t="shared" ref="V178:V181" si="372">F178+47</f>
        <v>797</v>
      </c>
      <c r="W178" s="306">
        <f t="shared" ref="W178:W186" si="373">+V178*$X$1</f>
        <v>797</v>
      </c>
      <c r="X178" s="887"/>
      <c r="Y178" s="888"/>
      <c r="Z178" s="888"/>
      <c r="AA178" s="889"/>
      <c r="AB178" s="463" t="s">
        <v>764</v>
      </c>
    </row>
    <row r="179" spans="1:28" ht="12.6" customHeight="1" x14ac:dyDescent="0.2">
      <c r="A179" s="25"/>
      <c r="B179" s="693" t="s">
        <v>614</v>
      </c>
      <c r="C179" s="837"/>
      <c r="D179" s="837"/>
      <c r="E179" s="837"/>
      <c r="F179" s="422">
        <v>750</v>
      </c>
      <c r="G179" s="343">
        <f t="shared" si="356"/>
        <v>750</v>
      </c>
      <c r="H179" s="902"/>
      <c r="I179" s="903"/>
      <c r="J179" s="903"/>
      <c r="K179" s="904"/>
      <c r="L179" s="548">
        <f>F179+150</f>
        <v>900</v>
      </c>
      <c r="M179" s="307">
        <f t="shared" si="363"/>
        <v>900</v>
      </c>
      <c r="N179" s="548">
        <f t="shared" si="364"/>
        <v>840</v>
      </c>
      <c r="O179" s="307">
        <f t="shared" si="365"/>
        <v>840</v>
      </c>
      <c r="P179" s="548">
        <f t="shared" si="366"/>
        <v>815</v>
      </c>
      <c r="Q179" s="307">
        <f t="shared" si="367"/>
        <v>815</v>
      </c>
      <c r="R179" s="548">
        <f t="shared" si="368"/>
        <v>808</v>
      </c>
      <c r="S179" s="307">
        <f t="shared" si="369"/>
        <v>808</v>
      </c>
      <c r="T179" s="104">
        <f t="shared" si="370"/>
        <v>802</v>
      </c>
      <c r="U179" s="328">
        <f t="shared" si="371"/>
        <v>802</v>
      </c>
      <c r="V179" s="548">
        <f t="shared" si="372"/>
        <v>797</v>
      </c>
      <c r="W179" s="307">
        <f t="shared" si="373"/>
        <v>797</v>
      </c>
      <c r="X179" s="887"/>
      <c r="Y179" s="888"/>
      <c r="Z179" s="888"/>
      <c r="AA179" s="889"/>
      <c r="AB179" s="463" t="s">
        <v>766</v>
      </c>
    </row>
    <row r="180" spans="1:28" ht="12.6" customHeight="1" x14ac:dyDescent="0.2">
      <c r="A180" s="25"/>
      <c r="B180" s="693" t="s">
        <v>617</v>
      </c>
      <c r="C180" s="837"/>
      <c r="D180" s="837"/>
      <c r="E180" s="837"/>
      <c r="F180" s="423">
        <v>750</v>
      </c>
      <c r="G180" s="329">
        <f t="shared" si="356"/>
        <v>750</v>
      </c>
      <c r="H180" s="902"/>
      <c r="I180" s="903"/>
      <c r="J180" s="903"/>
      <c r="K180" s="904"/>
      <c r="L180" s="613">
        <f>F180+150</f>
        <v>900</v>
      </c>
      <c r="M180" s="306">
        <f t="shared" si="363"/>
        <v>900</v>
      </c>
      <c r="N180" s="613">
        <f t="shared" si="364"/>
        <v>840</v>
      </c>
      <c r="O180" s="306">
        <f t="shared" si="365"/>
        <v>840</v>
      </c>
      <c r="P180" s="613">
        <f t="shared" si="366"/>
        <v>815</v>
      </c>
      <c r="Q180" s="306">
        <f t="shared" si="367"/>
        <v>815</v>
      </c>
      <c r="R180" s="613">
        <f t="shared" si="368"/>
        <v>808</v>
      </c>
      <c r="S180" s="306">
        <f t="shared" si="369"/>
        <v>808</v>
      </c>
      <c r="T180" s="105">
        <f t="shared" si="370"/>
        <v>802</v>
      </c>
      <c r="U180" s="271">
        <f t="shared" si="371"/>
        <v>802</v>
      </c>
      <c r="V180" s="613">
        <f t="shared" si="372"/>
        <v>797</v>
      </c>
      <c r="W180" s="306">
        <f t="shared" si="373"/>
        <v>797</v>
      </c>
      <c r="X180" s="1015"/>
      <c r="Y180" s="1016"/>
      <c r="Z180" s="1016"/>
      <c r="AA180" s="1017"/>
      <c r="AB180" s="463" t="s">
        <v>765</v>
      </c>
    </row>
    <row r="181" spans="1:28" ht="12.6" customHeight="1" x14ac:dyDescent="0.2">
      <c r="A181" s="25"/>
      <c r="B181" s="693" t="s">
        <v>768</v>
      </c>
      <c r="C181" s="837"/>
      <c r="D181" s="837"/>
      <c r="E181" s="837"/>
      <c r="F181" s="422">
        <v>750</v>
      </c>
      <c r="G181" s="343">
        <f t="shared" ref="G181" si="374">+F181*$X$1</f>
        <v>750</v>
      </c>
      <c r="H181" s="902"/>
      <c r="I181" s="903"/>
      <c r="J181" s="903"/>
      <c r="K181" s="904"/>
      <c r="L181" s="548">
        <f>F181+150</f>
        <v>900</v>
      </c>
      <c r="M181" s="307">
        <f t="shared" si="363"/>
        <v>900</v>
      </c>
      <c r="N181" s="548">
        <f t="shared" si="364"/>
        <v>840</v>
      </c>
      <c r="O181" s="307">
        <f t="shared" si="365"/>
        <v>840</v>
      </c>
      <c r="P181" s="548">
        <f t="shared" si="366"/>
        <v>815</v>
      </c>
      <c r="Q181" s="307">
        <f t="shared" si="367"/>
        <v>815</v>
      </c>
      <c r="R181" s="548">
        <f t="shared" si="368"/>
        <v>808</v>
      </c>
      <c r="S181" s="307">
        <f t="shared" si="369"/>
        <v>808</v>
      </c>
      <c r="T181" s="104">
        <f t="shared" si="370"/>
        <v>802</v>
      </c>
      <c r="U181" s="328">
        <f t="shared" si="371"/>
        <v>802</v>
      </c>
      <c r="V181" s="548">
        <f t="shared" si="372"/>
        <v>797</v>
      </c>
      <c r="W181" s="307">
        <f t="shared" si="373"/>
        <v>797</v>
      </c>
      <c r="X181" s="887"/>
      <c r="Y181" s="888"/>
      <c r="Z181" s="888"/>
      <c r="AA181" s="889"/>
      <c r="AB181" s="463" t="s">
        <v>767</v>
      </c>
    </row>
    <row r="182" spans="1:28" ht="12.6" customHeight="1" x14ac:dyDescent="0.2">
      <c r="A182" s="25"/>
      <c r="B182" s="693" t="s">
        <v>616</v>
      </c>
      <c r="C182" s="837"/>
      <c r="D182" s="837"/>
      <c r="E182" s="837"/>
      <c r="F182" s="423">
        <v>833</v>
      </c>
      <c r="G182" s="329">
        <f t="shared" si="356"/>
        <v>833</v>
      </c>
      <c r="H182" s="905"/>
      <c r="I182" s="906"/>
      <c r="J182" s="906"/>
      <c r="K182" s="907"/>
      <c r="L182" s="548">
        <f>F182+180</f>
        <v>1013</v>
      </c>
      <c r="M182" s="306">
        <f t="shared" ref="M182:M186" si="375">+L182*$X$1</f>
        <v>1013</v>
      </c>
      <c r="N182" s="613">
        <f>F182+120</f>
        <v>953</v>
      </c>
      <c r="O182" s="306">
        <f t="shared" ref="O182:O186" si="376">+N182*$X$1</f>
        <v>953</v>
      </c>
      <c r="P182" s="613">
        <f>F182+90</f>
        <v>923</v>
      </c>
      <c r="Q182" s="306">
        <f t="shared" ref="Q182:Q186" si="377">+P182*$X$1</f>
        <v>923</v>
      </c>
      <c r="R182" s="613">
        <f>F182+78</f>
        <v>911</v>
      </c>
      <c r="S182" s="306">
        <f t="shared" ref="S182:S186" si="378">+R182*$X$1</f>
        <v>911</v>
      </c>
      <c r="T182" s="105">
        <f>F182+72</f>
        <v>905</v>
      </c>
      <c r="U182" s="271">
        <f t="shared" ref="U182:U186" si="379">+T182*$X$1</f>
        <v>905</v>
      </c>
      <c r="V182" s="613">
        <f>F182+67</f>
        <v>900</v>
      </c>
      <c r="W182" s="306">
        <f t="shared" si="373"/>
        <v>900</v>
      </c>
      <c r="X182" s="887"/>
      <c r="Y182" s="888"/>
      <c r="Z182" s="888"/>
      <c r="AA182" s="889"/>
      <c r="AB182" s="463" t="s">
        <v>763</v>
      </c>
    </row>
    <row r="183" spans="1:28" ht="12.6" customHeight="1" x14ac:dyDescent="0.2">
      <c r="A183" s="108"/>
      <c r="B183" s="688" t="s">
        <v>410</v>
      </c>
      <c r="C183" s="689"/>
      <c r="D183" s="689"/>
      <c r="E183" s="689"/>
      <c r="F183" s="426">
        <f>1.17*X2</f>
        <v>1136.07</v>
      </c>
      <c r="G183" s="378">
        <f t="shared" si="356"/>
        <v>1136.07</v>
      </c>
      <c r="H183" s="305"/>
      <c r="I183" s="408"/>
      <c r="J183" s="104"/>
      <c r="K183" s="343"/>
      <c r="L183" s="548">
        <f>F183+90</f>
        <v>1226.07</v>
      </c>
      <c r="M183" s="307">
        <f t="shared" si="375"/>
        <v>1226.07</v>
      </c>
      <c r="N183" s="548">
        <f>F183+55</f>
        <v>1191.07</v>
      </c>
      <c r="O183" s="307">
        <f t="shared" si="376"/>
        <v>1191.07</v>
      </c>
      <c r="P183" s="548">
        <f>F183+50</f>
        <v>1186.07</v>
      </c>
      <c r="Q183" s="307">
        <f t="shared" si="377"/>
        <v>1186.07</v>
      </c>
      <c r="R183" s="548">
        <f>F183+42</f>
        <v>1178.07</v>
      </c>
      <c r="S183" s="307">
        <f t="shared" si="378"/>
        <v>1178.07</v>
      </c>
      <c r="T183" s="104">
        <f>F183+35</f>
        <v>1171.07</v>
      </c>
      <c r="U183" s="328">
        <f t="shared" si="379"/>
        <v>1171.07</v>
      </c>
      <c r="V183" s="104">
        <f>F183+30</f>
        <v>1166.07</v>
      </c>
      <c r="W183" s="328">
        <f t="shared" si="373"/>
        <v>1166.07</v>
      </c>
      <c r="X183" s="156"/>
      <c r="Y183" s="165"/>
      <c r="Z183" s="156"/>
      <c r="AA183" s="156"/>
      <c r="AB183" s="201">
        <v>425</v>
      </c>
    </row>
    <row r="184" spans="1:28" ht="12.6" customHeight="1" x14ac:dyDescent="0.2">
      <c r="A184" s="108"/>
      <c r="B184" s="625" t="s">
        <v>525</v>
      </c>
      <c r="C184" s="626"/>
      <c r="D184" s="626"/>
      <c r="E184" s="626"/>
      <c r="F184" s="417">
        <f>1.01*X2</f>
        <v>980.71</v>
      </c>
      <c r="G184" s="306">
        <f t="shared" si="356"/>
        <v>980.71</v>
      </c>
      <c r="H184" s="342"/>
      <c r="I184" s="372"/>
      <c r="J184" s="613"/>
      <c r="K184" s="306"/>
      <c r="L184" s="613">
        <f>F184+90</f>
        <v>1070.71</v>
      </c>
      <c r="M184" s="306">
        <f t="shared" si="375"/>
        <v>1070.71</v>
      </c>
      <c r="N184" s="613">
        <f>F184+55</f>
        <v>1035.71</v>
      </c>
      <c r="O184" s="306">
        <f t="shared" si="376"/>
        <v>1035.71</v>
      </c>
      <c r="P184" s="613">
        <f>F184+50</f>
        <v>1030.71</v>
      </c>
      <c r="Q184" s="306">
        <f t="shared" si="377"/>
        <v>1030.71</v>
      </c>
      <c r="R184" s="613">
        <f>F184+42</f>
        <v>1022.71</v>
      </c>
      <c r="S184" s="306">
        <f t="shared" si="378"/>
        <v>1022.71</v>
      </c>
      <c r="T184" s="105">
        <f>F184+35</f>
        <v>1015.71</v>
      </c>
      <c r="U184" s="271">
        <f t="shared" si="379"/>
        <v>1015.71</v>
      </c>
      <c r="V184" s="105">
        <f>F184+30</f>
        <v>1010.71</v>
      </c>
      <c r="W184" s="271">
        <f t="shared" si="373"/>
        <v>1010.71</v>
      </c>
      <c r="X184" s="156"/>
      <c r="Y184" s="165"/>
      <c r="Z184" s="156"/>
      <c r="AA184" s="156"/>
      <c r="AB184" s="201" t="s">
        <v>578</v>
      </c>
    </row>
    <row r="185" spans="1:28" ht="12.6" customHeight="1" x14ac:dyDescent="0.2">
      <c r="A185" s="108"/>
      <c r="B185" s="669" t="s">
        <v>514</v>
      </c>
      <c r="C185" s="670"/>
      <c r="D185" s="670"/>
      <c r="E185" s="670"/>
      <c r="F185" s="418">
        <f>0.98*X2</f>
        <v>951.57999999999993</v>
      </c>
      <c r="G185" s="307">
        <f t="shared" ref="G185" si="380">+F185*$X$1</f>
        <v>951.57999999999993</v>
      </c>
      <c r="H185" s="305"/>
      <c r="I185" s="373"/>
      <c r="J185" s="548"/>
      <c r="K185" s="307"/>
      <c r="L185" s="548">
        <f>F185+90</f>
        <v>1041.58</v>
      </c>
      <c r="M185" s="307">
        <f t="shared" si="375"/>
        <v>1041.58</v>
      </c>
      <c r="N185" s="548">
        <f>F185+55</f>
        <v>1006.5799999999999</v>
      </c>
      <c r="O185" s="307">
        <f t="shared" si="376"/>
        <v>1006.5799999999999</v>
      </c>
      <c r="P185" s="548">
        <f>F185+50</f>
        <v>1001.5799999999999</v>
      </c>
      <c r="Q185" s="307">
        <f t="shared" si="377"/>
        <v>1001.5799999999999</v>
      </c>
      <c r="R185" s="548">
        <f>F185+42</f>
        <v>993.57999999999993</v>
      </c>
      <c r="S185" s="307">
        <f t="shared" si="378"/>
        <v>993.57999999999993</v>
      </c>
      <c r="T185" s="104">
        <f>F185+35</f>
        <v>986.57999999999993</v>
      </c>
      <c r="U185" s="328">
        <f t="shared" si="379"/>
        <v>986.57999999999993</v>
      </c>
      <c r="V185" s="104">
        <f>F185+30</f>
        <v>981.57999999999993</v>
      </c>
      <c r="W185" s="328">
        <f t="shared" si="373"/>
        <v>981.57999999999993</v>
      </c>
      <c r="X185" s="156"/>
      <c r="Y185" s="165"/>
      <c r="Z185" s="156"/>
      <c r="AA185" s="156"/>
      <c r="AB185" s="201">
        <v>428</v>
      </c>
    </row>
    <row r="186" spans="1:28" ht="12.6" customHeight="1" x14ac:dyDescent="0.2">
      <c r="A186" s="18"/>
      <c r="B186" s="625" t="s">
        <v>191</v>
      </c>
      <c r="C186" s="626"/>
      <c r="D186" s="626"/>
      <c r="E186" s="626"/>
      <c r="F186" s="417">
        <f>1.527*X2</f>
        <v>1482.7169999999999</v>
      </c>
      <c r="G186" s="306">
        <f t="shared" si="356"/>
        <v>1482.7169999999999</v>
      </c>
      <c r="H186" s="613">
        <f>F186+400</f>
        <v>1882.7169999999999</v>
      </c>
      <c r="I186" s="306">
        <f>+H186*$X$1</f>
        <v>1882.7169999999999</v>
      </c>
      <c r="J186" s="613">
        <f>F186+150</f>
        <v>1632.7169999999999</v>
      </c>
      <c r="K186" s="306">
        <f t="shared" ref="K186" si="381">+J186*$X$1</f>
        <v>1632.7169999999999</v>
      </c>
      <c r="L186" s="613">
        <f>F186+90</f>
        <v>1572.7169999999999</v>
      </c>
      <c r="M186" s="306">
        <f t="shared" si="375"/>
        <v>1572.7169999999999</v>
      </c>
      <c r="N186" s="613">
        <f>F186+55</f>
        <v>1537.7169999999999</v>
      </c>
      <c r="O186" s="306">
        <f t="shared" si="376"/>
        <v>1537.7169999999999</v>
      </c>
      <c r="P186" s="613">
        <f>F186+50</f>
        <v>1532.7169999999999</v>
      </c>
      <c r="Q186" s="306">
        <f t="shared" si="377"/>
        <v>1532.7169999999999</v>
      </c>
      <c r="R186" s="613">
        <f>F186+42</f>
        <v>1524.7169999999999</v>
      </c>
      <c r="S186" s="306">
        <f t="shared" si="378"/>
        <v>1524.7169999999999</v>
      </c>
      <c r="T186" s="105">
        <f>F186+35</f>
        <v>1517.7169999999999</v>
      </c>
      <c r="U186" s="271">
        <f t="shared" si="379"/>
        <v>1517.7169999999999</v>
      </c>
      <c r="V186" s="105">
        <f>F186+30</f>
        <v>1512.7169999999999</v>
      </c>
      <c r="W186" s="271">
        <f t="shared" si="373"/>
        <v>1512.7169999999999</v>
      </c>
      <c r="X186" s="156"/>
      <c r="Y186" s="165"/>
      <c r="Z186" s="156"/>
      <c r="AA186" s="156"/>
      <c r="AB186" s="201">
        <v>442</v>
      </c>
    </row>
    <row r="187" spans="1:28" ht="12.6" customHeight="1" x14ac:dyDescent="0.2">
      <c r="A187" s="18"/>
      <c r="B187" s="675" t="s">
        <v>192</v>
      </c>
      <c r="C187" s="676"/>
      <c r="D187" s="676"/>
      <c r="E187" s="676"/>
      <c r="F187" s="407"/>
      <c r="G187" s="838" t="s">
        <v>905</v>
      </c>
      <c r="H187" s="839"/>
      <c r="I187" s="839"/>
      <c r="J187" s="839"/>
      <c r="K187" s="839"/>
      <c r="L187" s="839"/>
      <c r="M187" s="839"/>
      <c r="N187" s="839"/>
      <c r="O187" s="839"/>
      <c r="P187" s="840"/>
      <c r="Q187" s="840"/>
      <c r="R187" s="840"/>
      <c r="S187" s="841"/>
      <c r="T187" s="72"/>
      <c r="U187" s="307"/>
      <c r="V187" s="104"/>
      <c r="W187" s="328"/>
      <c r="X187" s="166"/>
      <c r="Y187" s="165"/>
      <c r="Z187" s="156"/>
      <c r="AA187" s="156"/>
      <c r="AB187" s="201">
        <v>450</v>
      </c>
    </row>
    <row r="188" spans="1:28" ht="12.6" customHeight="1" x14ac:dyDescent="0.2">
      <c r="A188" s="18"/>
      <c r="B188" s="625" t="s">
        <v>193</v>
      </c>
      <c r="C188" s="626"/>
      <c r="D188" s="626"/>
      <c r="E188" s="626"/>
      <c r="F188" s="132"/>
      <c r="G188" s="842"/>
      <c r="H188" s="843"/>
      <c r="I188" s="843"/>
      <c r="J188" s="843"/>
      <c r="K188" s="843"/>
      <c r="L188" s="843"/>
      <c r="M188" s="843"/>
      <c r="N188" s="843"/>
      <c r="O188" s="843"/>
      <c r="P188" s="844"/>
      <c r="Q188" s="845"/>
      <c r="R188" s="844"/>
      <c r="S188" s="846"/>
      <c r="T188" s="72"/>
      <c r="U188" s="306"/>
      <c r="V188" s="105"/>
      <c r="W188" s="271"/>
      <c r="X188" s="166"/>
      <c r="Y188" s="165"/>
      <c r="Z188" s="156"/>
      <c r="AA188" s="156"/>
      <c r="AB188" s="201">
        <v>451</v>
      </c>
    </row>
    <row r="189" spans="1:28" ht="12.6" customHeight="1" x14ac:dyDescent="0.2">
      <c r="A189" s="18"/>
      <c r="B189" s="669" t="s">
        <v>194</v>
      </c>
      <c r="C189" s="670"/>
      <c r="D189" s="670"/>
      <c r="E189" s="670"/>
      <c r="F189" s="92"/>
      <c r="G189" s="842"/>
      <c r="H189" s="843"/>
      <c r="I189" s="843"/>
      <c r="J189" s="843"/>
      <c r="K189" s="843"/>
      <c r="L189" s="843"/>
      <c r="M189" s="843"/>
      <c r="N189" s="843"/>
      <c r="O189" s="843"/>
      <c r="P189" s="844"/>
      <c r="Q189" s="845"/>
      <c r="R189" s="844"/>
      <c r="S189" s="846"/>
      <c r="T189" s="72"/>
      <c r="U189" s="307"/>
      <c r="V189" s="104"/>
      <c r="W189" s="328"/>
      <c r="X189" s="166"/>
      <c r="Y189" s="165"/>
      <c r="Z189" s="156"/>
      <c r="AA189" s="156"/>
      <c r="AB189" s="201">
        <v>452</v>
      </c>
    </row>
    <row r="190" spans="1:28" ht="12.6" customHeight="1" x14ac:dyDescent="0.2">
      <c r="A190" s="18"/>
      <c r="B190" s="625" t="s">
        <v>195</v>
      </c>
      <c r="C190" s="626"/>
      <c r="D190" s="626"/>
      <c r="E190" s="626"/>
      <c r="F190" s="132"/>
      <c r="G190" s="842"/>
      <c r="H190" s="843"/>
      <c r="I190" s="843"/>
      <c r="J190" s="843"/>
      <c r="K190" s="843"/>
      <c r="L190" s="843"/>
      <c r="M190" s="843"/>
      <c r="N190" s="843"/>
      <c r="O190" s="843"/>
      <c r="P190" s="844"/>
      <c r="Q190" s="845"/>
      <c r="R190" s="844"/>
      <c r="S190" s="846"/>
      <c r="T190" s="72"/>
      <c r="U190" s="306"/>
      <c r="V190" s="105"/>
      <c r="W190" s="271"/>
      <c r="X190" s="166"/>
      <c r="Y190" s="165"/>
      <c r="Z190" s="156"/>
      <c r="AA190" s="156"/>
      <c r="AB190" s="201">
        <v>453</v>
      </c>
    </row>
    <row r="191" spans="1:28" ht="12.6" customHeight="1" x14ac:dyDescent="0.2">
      <c r="A191" s="18"/>
      <c r="B191" s="669" t="s">
        <v>196</v>
      </c>
      <c r="C191" s="670"/>
      <c r="D191" s="670"/>
      <c r="E191" s="670"/>
      <c r="F191" s="92"/>
      <c r="G191" s="842"/>
      <c r="H191" s="843"/>
      <c r="I191" s="843"/>
      <c r="J191" s="843"/>
      <c r="K191" s="843"/>
      <c r="L191" s="843"/>
      <c r="M191" s="843"/>
      <c r="N191" s="843"/>
      <c r="O191" s="843"/>
      <c r="P191" s="844"/>
      <c r="Q191" s="845"/>
      <c r="R191" s="844"/>
      <c r="S191" s="846"/>
      <c r="T191" s="72"/>
      <c r="U191" s="307"/>
      <c r="V191" s="104"/>
      <c r="W191" s="328"/>
      <c r="X191" s="166"/>
      <c r="Y191" s="165"/>
      <c r="Z191" s="156"/>
      <c r="AA191" s="156"/>
      <c r="AB191" s="201">
        <v>454</v>
      </c>
    </row>
    <row r="192" spans="1:28" ht="12.6" customHeight="1" x14ac:dyDescent="0.2">
      <c r="A192" s="18"/>
      <c r="B192" s="625" t="s">
        <v>197</v>
      </c>
      <c r="C192" s="626"/>
      <c r="D192" s="626"/>
      <c r="E192" s="626"/>
      <c r="F192" s="406"/>
      <c r="G192" s="847"/>
      <c r="H192" s="848"/>
      <c r="I192" s="848"/>
      <c r="J192" s="848"/>
      <c r="K192" s="848"/>
      <c r="L192" s="848"/>
      <c r="M192" s="848"/>
      <c r="N192" s="848"/>
      <c r="O192" s="848"/>
      <c r="P192" s="849"/>
      <c r="Q192" s="849"/>
      <c r="R192" s="849"/>
      <c r="S192" s="850"/>
      <c r="T192" s="72"/>
      <c r="U192" s="306"/>
      <c r="V192" s="105"/>
      <c r="W192" s="271"/>
      <c r="X192" s="166"/>
      <c r="Y192" s="165"/>
      <c r="Z192" s="156"/>
      <c r="AA192" s="156"/>
      <c r="AB192" s="201">
        <v>460</v>
      </c>
    </row>
    <row r="193" spans="1:28" ht="12.6" customHeight="1" x14ac:dyDescent="0.2">
      <c r="A193" s="18"/>
      <c r="B193" s="669" t="s">
        <v>388</v>
      </c>
      <c r="C193" s="741"/>
      <c r="D193" s="741"/>
      <c r="E193" s="741"/>
      <c r="F193" s="418">
        <f>1.974*X2</f>
        <v>1916.7539999999999</v>
      </c>
      <c r="G193" s="368">
        <f t="shared" ref="G193:G195" si="382">+F193*$X$1</f>
        <v>1916.7539999999999</v>
      </c>
      <c r="H193" s="297"/>
      <c r="I193" s="297"/>
      <c r="J193" s="548">
        <f t="shared" ref="J193:J198" si="383">F193+150</f>
        <v>2066.7539999999999</v>
      </c>
      <c r="K193" s="307">
        <f t="shared" ref="K193:K198" si="384">+J193*$X$1</f>
        <v>2066.7539999999999</v>
      </c>
      <c r="L193" s="548">
        <f t="shared" ref="L193:L198" si="385">F193+90</f>
        <v>2006.7539999999999</v>
      </c>
      <c r="M193" s="307">
        <f t="shared" ref="M193:M198" si="386">+L193*$X$1</f>
        <v>2006.7539999999999</v>
      </c>
      <c r="N193" s="548">
        <f t="shared" ref="N193:N199" si="387">F193+55</f>
        <v>1971.7539999999999</v>
      </c>
      <c r="O193" s="307">
        <f t="shared" ref="O193:O198" si="388">+N193*$X$1</f>
        <v>1971.7539999999999</v>
      </c>
      <c r="P193" s="548">
        <f t="shared" ref="P193:P199" si="389">F193+50</f>
        <v>1966.7539999999999</v>
      </c>
      <c r="Q193" s="307">
        <f t="shared" ref="Q193:Q198" si="390">+P193*$X$1</f>
        <v>1966.7539999999999</v>
      </c>
      <c r="R193" s="548">
        <f t="shared" ref="R193:R199" si="391">F193+42</f>
        <v>1958.7539999999999</v>
      </c>
      <c r="S193" s="307">
        <f t="shared" ref="S193:S198" si="392">+R193*$X$1</f>
        <v>1958.7539999999999</v>
      </c>
      <c r="T193" s="104">
        <f t="shared" ref="T193:T202" si="393">F193+35</f>
        <v>1951.7539999999999</v>
      </c>
      <c r="U193" s="328">
        <f t="shared" ref="U193:U198" si="394">+T193*$X$1</f>
        <v>1951.7539999999999</v>
      </c>
      <c r="V193" s="104">
        <f t="shared" ref="V193:V202" si="395">F193+30</f>
        <v>1946.7539999999999</v>
      </c>
      <c r="W193" s="328">
        <f t="shared" ref="W193:W198" si="396">+V193*$X$1</f>
        <v>1946.7539999999999</v>
      </c>
      <c r="X193" s="156"/>
      <c r="Y193" s="165"/>
      <c r="Z193" s="156"/>
      <c r="AA193" s="156"/>
      <c r="AB193" s="201">
        <v>465</v>
      </c>
    </row>
    <row r="194" spans="1:28" ht="12.6" customHeight="1" x14ac:dyDescent="0.2">
      <c r="A194" s="18"/>
      <c r="B194" s="693" t="s">
        <v>868</v>
      </c>
      <c r="C194" s="911"/>
      <c r="D194" s="911"/>
      <c r="E194" s="911"/>
      <c r="F194" s="417">
        <f>2.03*X2</f>
        <v>1971.1299999999999</v>
      </c>
      <c r="G194" s="366">
        <f t="shared" ref="G194" si="397">+F194*$X$1</f>
        <v>1971.1299999999999</v>
      </c>
      <c r="H194" s="298"/>
      <c r="I194" s="298"/>
      <c r="J194" s="613">
        <f t="shared" si="383"/>
        <v>2121.13</v>
      </c>
      <c r="K194" s="306">
        <f t="shared" si="384"/>
        <v>2121.13</v>
      </c>
      <c r="L194" s="613">
        <f t="shared" si="385"/>
        <v>2061.13</v>
      </c>
      <c r="M194" s="306">
        <f t="shared" si="386"/>
        <v>2061.13</v>
      </c>
      <c r="N194" s="613">
        <f t="shared" si="387"/>
        <v>2026.1299999999999</v>
      </c>
      <c r="O194" s="306">
        <f t="shared" si="388"/>
        <v>2026.1299999999999</v>
      </c>
      <c r="P194" s="613">
        <f t="shared" si="389"/>
        <v>2021.1299999999999</v>
      </c>
      <c r="Q194" s="306">
        <f t="shared" si="390"/>
        <v>2021.1299999999999</v>
      </c>
      <c r="R194" s="613">
        <f t="shared" si="391"/>
        <v>2013.1299999999999</v>
      </c>
      <c r="S194" s="306">
        <f t="shared" si="392"/>
        <v>2013.1299999999999</v>
      </c>
      <c r="T194" s="105">
        <f t="shared" si="393"/>
        <v>2006.1299999999999</v>
      </c>
      <c r="U194" s="271">
        <f t="shared" si="394"/>
        <v>2006.1299999999999</v>
      </c>
      <c r="V194" s="105">
        <f t="shared" si="395"/>
        <v>2001.1299999999999</v>
      </c>
      <c r="W194" s="271">
        <f t="shared" si="396"/>
        <v>2001.1299999999999</v>
      </c>
      <c r="X194" s="156"/>
      <c r="Y194" s="165"/>
      <c r="Z194" s="156"/>
      <c r="AA194" s="156"/>
      <c r="AB194" s="201"/>
    </row>
    <row r="195" spans="1:28" ht="12.6" customHeight="1" x14ac:dyDescent="0.2">
      <c r="A195" s="18"/>
      <c r="B195" s="675" t="s">
        <v>665</v>
      </c>
      <c r="C195" s="890"/>
      <c r="D195" s="890"/>
      <c r="E195" s="890"/>
      <c r="F195" s="422">
        <f>1.137*X2</f>
        <v>1104.027</v>
      </c>
      <c r="G195" s="367">
        <f t="shared" si="382"/>
        <v>1104.027</v>
      </c>
      <c r="H195" s="297"/>
      <c r="I195" s="297"/>
      <c r="J195" s="548">
        <f t="shared" si="383"/>
        <v>1254.027</v>
      </c>
      <c r="K195" s="307">
        <f t="shared" si="384"/>
        <v>1254.027</v>
      </c>
      <c r="L195" s="548">
        <f t="shared" si="385"/>
        <v>1194.027</v>
      </c>
      <c r="M195" s="307">
        <f t="shared" si="386"/>
        <v>1194.027</v>
      </c>
      <c r="N195" s="548">
        <f t="shared" si="387"/>
        <v>1159.027</v>
      </c>
      <c r="O195" s="307">
        <f t="shared" si="388"/>
        <v>1159.027</v>
      </c>
      <c r="P195" s="548">
        <f t="shared" si="389"/>
        <v>1154.027</v>
      </c>
      <c r="Q195" s="307">
        <f t="shared" si="390"/>
        <v>1154.027</v>
      </c>
      <c r="R195" s="548">
        <f t="shared" si="391"/>
        <v>1146.027</v>
      </c>
      <c r="S195" s="307">
        <f t="shared" si="392"/>
        <v>1146.027</v>
      </c>
      <c r="T195" s="104">
        <f t="shared" si="393"/>
        <v>1139.027</v>
      </c>
      <c r="U195" s="328">
        <f t="shared" si="394"/>
        <v>1139.027</v>
      </c>
      <c r="V195" s="104">
        <f t="shared" si="395"/>
        <v>1134.027</v>
      </c>
      <c r="W195" s="328">
        <f t="shared" si="396"/>
        <v>1134.027</v>
      </c>
      <c r="X195" s="156"/>
      <c r="Y195" s="156"/>
      <c r="Z195" s="156"/>
      <c r="AA195" s="156"/>
      <c r="AB195" s="201">
        <v>528</v>
      </c>
    </row>
    <row r="196" spans="1:28" ht="12.6" customHeight="1" x14ac:dyDescent="0.2">
      <c r="A196" s="18"/>
      <c r="B196" s="641" t="s">
        <v>389</v>
      </c>
      <c r="C196" s="651"/>
      <c r="D196" s="651"/>
      <c r="E196" s="652"/>
      <c r="F196" s="329">
        <v>3460</v>
      </c>
      <c r="G196" s="336">
        <f t="shared" ref="G196:G200" si="398">+F196*$X$1</f>
        <v>3460</v>
      </c>
      <c r="H196" s="298"/>
      <c r="I196" s="298"/>
      <c r="J196" s="613">
        <f t="shared" si="383"/>
        <v>3610</v>
      </c>
      <c r="K196" s="306">
        <f t="shared" si="384"/>
        <v>3610</v>
      </c>
      <c r="L196" s="613">
        <f t="shared" si="385"/>
        <v>3550</v>
      </c>
      <c r="M196" s="306">
        <f t="shared" si="386"/>
        <v>3550</v>
      </c>
      <c r="N196" s="613">
        <f t="shared" si="387"/>
        <v>3515</v>
      </c>
      <c r="O196" s="306">
        <f t="shared" si="388"/>
        <v>3515</v>
      </c>
      <c r="P196" s="613">
        <f t="shared" si="389"/>
        <v>3510</v>
      </c>
      <c r="Q196" s="306">
        <f t="shared" si="390"/>
        <v>3510</v>
      </c>
      <c r="R196" s="613">
        <f t="shared" si="391"/>
        <v>3502</v>
      </c>
      <c r="S196" s="306">
        <f t="shared" si="392"/>
        <v>3502</v>
      </c>
      <c r="T196" s="105">
        <f t="shared" si="393"/>
        <v>3495</v>
      </c>
      <c r="U196" s="271">
        <f t="shared" si="394"/>
        <v>3495</v>
      </c>
      <c r="V196" s="105">
        <f t="shared" si="395"/>
        <v>3490</v>
      </c>
      <c r="W196" s="271">
        <f t="shared" si="396"/>
        <v>3490</v>
      </c>
      <c r="X196" s="156"/>
      <c r="Y196" s="156"/>
      <c r="Z196" s="156"/>
      <c r="AA196" s="156"/>
      <c r="AB196" s="201"/>
    </row>
    <row r="197" spans="1:28" ht="12.6" customHeight="1" x14ac:dyDescent="0.2">
      <c r="A197" s="18"/>
      <c r="B197" s="693" t="s">
        <v>863</v>
      </c>
      <c r="C197" s="911"/>
      <c r="D197" s="911"/>
      <c r="E197" s="911"/>
      <c r="F197" s="418">
        <f>1.4*X2</f>
        <v>1359.3999999999999</v>
      </c>
      <c r="G197" s="368">
        <f t="shared" si="398"/>
        <v>1359.3999999999999</v>
      </c>
      <c r="H197" s="548">
        <f>F197+400</f>
        <v>1759.3999999999999</v>
      </c>
      <c r="I197" s="307">
        <f>+H197*$X$1</f>
        <v>1759.3999999999999</v>
      </c>
      <c r="J197" s="548">
        <f t="shared" si="383"/>
        <v>1509.3999999999999</v>
      </c>
      <c r="K197" s="307">
        <f t="shared" si="384"/>
        <v>1509.3999999999999</v>
      </c>
      <c r="L197" s="548">
        <f t="shared" si="385"/>
        <v>1449.3999999999999</v>
      </c>
      <c r="M197" s="307">
        <f t="shared" si="386"/>
        <v>1449.3999999999999</v>
      </c>
      <c r="N197" s="548">
        <f t="shared" si="387"/>
        <v>1414.3999999999999</v>
      </c>
      <c r="O197" s="307">
        <f t="shared" si="388"/>
        <v>1414.3999999999999</v>
      </c>
      <c r="P197" s="548">
        <f t="shared" si="389"/>
        <v>1409.3999999999999</v>
      </c>
      <c r="Q197" s="307">
        <f t="shared" si="390"/>
        <v>1409.3999999999999</v>
      </c>
      <c r="R197" s="548">
        <f t="shared" si="391"/>
        <v>1401.3999999999999</v>
      </c>
      <c r="S197" s="307">
        <f t="shared" si="392"/>
        <v>1401.3999999999999</v>
      </c>
      <c r="T197" s="104">
        <f t="shared" si="393"/>
        <v>1394.3999999999999</v>
      </c>
      <c r="U197" s="328">
        <f t="shared" si="394"/>
        <v>1394.3999999999999</v>
      </c>
      <c r="V197" s="104">
        <f t="shared" si="395"/>
        <v>1389.3999999999999</v>
      </c>
      <c r="W197" s="328">
        <f t="shared" si="396"/>
        <v>1389.3999999999999</v>
      </c>
      <c r="X197" s="156"/>
      <c r="Y197" s="165"/>
      <c r="Z197" s="156"/>
      <c r="AA197" s="156"/>
      <c r="AB197" s="201">
        <v>534</v>
      </c>
    </row>
    <row r="198" spans="1:28" ht="12.6" customHeight="1" x14ac:dyDescent="0.2">
      <c r="A198" s="18"/>
      <c r="B198" s="641" t="s">
        <v>390</v>
      </c>
      <c r="C198" s="644"/>
      <c r="D198" s="644"/>
      <c r="E198" s="645"/>
      <c r="F198" s="329">
        <v>1048</v>
      </c>
      <c r="G198" s="336">
        <f t="shared" si="398"/>
        <v>1048</v>
      </c>
      <c r="H198" s="298"/>
      <c r="I198" s="298"/>
      <c r="J198" s="613">
        <f t="shared" si="383"/>
        <v>1198</v>
      </c>
      <c r="K198" s="306">
        <f t="shared" si="384"/>
        <v>1198</v>
      </c>
      <c r="L198" s="613">
        <f t="shared" si="385"/>
        <v>1138</v>
      </c>
      <c r="M198" s="306">
        <f t="shared" si="386"/>
        <v>1138</v>
      </c>
      <c r="N198" s="613">
        <f t="shared" si="387"/>
        <v>1103</v>
      </c>
      <c r="O198" s="306">
        <f t="shared" si="388"/>
        <v>1103</v>
      </c>
      <c r="P198" s="613">
        <f t="shared" si="389"/>
        <v>1098</v>
      </c>
      <c r="Q198" s="306">
        <f t="shared" si="390"/>
        <v>1098</v>
      </c>
      <c r="R198" s="613">
        <f t="shared" si="391"/>
        <v>1090</v>
      </c>
      <c r="S198" s="306">
        <f t="shared" si="392"/>
        <v>1090</v>
      </c>
      <c r="T198" s="105">
        <f t="shared" si="393"/>
        <v>1083</v>
      </c>
      <c r="U198" s="271">
        <f t="shared" si="394"/>
        <v>1083</v>
      </c>
      <c r="V198" s="105">
        <f t="shared" si="395"/>
        <v>1078</v>
      </c>
      <c r="W198" s="271">
        <f t="shared" si="396"/>
        <v>1078</v>
      </c>
      <c r="X198" s="156"/>
      <c r="Y198" s="156"/>
      <c r="Z198" s="156"/>
      <c r="AA198" s="156"/>
      <c r="AB198" s="201"/>
    </row>
    <row r="199" spans="1:28" ht="12.6" customHeight="1" x14ac:dyDescent="0.2">
      <c r="A199" s="18"/>
      <c r="B199" s="675" t="s">
        <v>198</v>
      </c>
      <c r="C199" s="676"/>
      <c r="D199" s="676"/>
      <c r="E199" s="676"/>
      <c r="F199" s="343">
        <v>210</v>
      </c>
      <c r="G199" s="383">
        <f>+F199*$X$1</f>
        <v>210</v>
      </c>
      <c r="H199" s="1051" t="s">
        <v>379</v>
      </c>
      <c r="I199" s="1051"/>
      <c r="J199" s="1052"/>
      <c r="K199" s="1052"/>
      <c r="L199" s="1052"/>
      <c r="M199" s="1053"/>
      <c r="N199" s="548">
        <f t="shared" si="387"/>
        <v>265</v>
      </c>
      <c r="O199" s="307">
        <f t="shared" ref="O199" si="399">+N199*$X$1</f>
        <v>265</v>
      </c>
      <c r="P199" s="548">
        <f t="shared" si="389"/>
        <v>260</v>
      </c>
      <c r="Q199" s="307">
        <f t="shared" ref="Q199" si="400">+P199*$X$1</f>
        <v>260</v>
      </c>
      <c r="R199" s="548">
        <f t="shared" si="391"/>
        <v>252</v>
      </c>
      <c r="S199" s="307">
        <f t="shared" ref="S199" si="401">+R199*$X$1</f>
        <v>252</v>
      </c>
      <c r="T199" s="104">
        <f t="shared" si="393"/>
        <v>245</v>
      </c>
      <c r="U199" s="328">
        <f t="shared" ref="U199:U202" si="402">+T199*$X$1</f>
        <v>245</v>
      </c>
      <c r="V199" s="104">
        <f t="shared" si="395"/>
        <v>240</v>
      </c>
      <c r="W199" s="328">
        <f t="shared" ref="W199:W202" si="403">+V199*$X$1</f>
        <v>240</v>
      </c>
      <c r="X199" s="156"/>
      <c r="Y199" s="156"/>
      <c r="Z199" s="156"/>
      <c r="AA199" s="156"/>
      <c r="AB199" s="201">
        <v>539</v>
      </c>
    </row>
    <row r="200" spans="1:28" ht="12.6" customHeight="1" x14ac:dyDescent="0.2">
      <c r="A200" s="18"/>
      <c r="B200" s="721" t="s">
        <v>506</v>
      </c>
      <c r="C200" s="836"/>
      <c r="D200" s="836"/>
      <c r="E200" s="836"/>
      <c r="F200" s="329">
        <v>402</v>
      </c>
      <c r="G200" s="330">
        <f t="shared" si="398"/>
        <v>402</v>
      </c>
      <c r="H200" s="298"/>
      <c r="I200" s="298"/>
      <c r="J200" s="72"/>
      <c r="K200" s="306"/>
      <c r="L200" s="613"/>
      <c r="M200" s="306"/>
      <c r="N200" s="613"/>
      <c r="O200" s="306"/>
      <c r="P200" s="613"/>
      <c r="Q200" s="306"/>
      <c r="R200" s="613"/>
      <c r="S200" s="306"/>
      <c r="T200" s="105">
        <f t="shared" si="393"/>
        <v>437</v>
      </c>
      <c r="U200" s="271">
        <f t="shared" si="402"/>
        <v>437</v>
      </c>
      <c r="V200" s="105">
        <f t="shared" si="395"/>
        <v>432</v>
      </c>
      <c r="W200" s="271">
        <f t="shared" si="403"/>
        <v>432</v>
      </c>
      <c r="X200" s="156"/>
      <c r="Y200" s="156"/>
      <c r="Z200" s="156"/>
      <c r="AA200" s="156"/>
      <c r="AB200" s="201">
        <v>540</v>
      </c>
    </row>
    <row r="201" spans="1:28" ht="12.6" customHeight="1" x14ac:dyDescent="0.2">
      <c r="A201" s="18"/>
      <c r="B201" s="675" t="s">
        <v>508</v>
      </c>
      <c r="C201" s="890"/>
      <c r="D201" s="890"/>
      <c r="E201" s="890"/>
      <c r="F201" s="343">
        <v>724</v>
      </c>
      <c r="G201" s="367">
        <f t="shared" ref="G201" si="404">+F201*$X$1</f>
        <v>724</v>
      </c>
      <c r="H201" s="297"/>
      <c r="I201" s="297"/>
      <c r="J201" s="90"/>
      <c r="K201" s="307"/>
      <c r="L201" s="548"/>
      <c r="M201" s="307"/>
      <c r="N201" s="548"/>
      <c r="O201" s="307"/>
      <c r="P201" s="548"/>
      <c r="Q201" s="307"/>
      <c r="R201" s="548"/>
      <c r="S201" s="307"/>
      <c r="T201" s="104">
        <f t="shared" si="393"/>
        <v>759</v>
      </c>
      <c r="U201" s="328">
        <f t="shared" si="402"/>
        <v>759</v>
      </c>
      <c r="V201" s="104">
        <f t="shared" si="395"/>
        <v>754</v>
      </c>
      <c r="W201" s="328">
        <f t="shared" si="403"/>
        <v>754</v>
      </c>
      <c r="X201" s="156"/>
      <c r="Y201" s="156"/>
      <c r="Z201" s="156"/>
      <c r="AA201" s="156"/>
      <c r="AB201" s="201" t="s">
        <v>595</v>
      </c>
    </row>
    <row r="202" spans="1:28" ht="12.6" customHeight="1" x14ac:dyDescent="0.2">
      <c r="A202" s="18"/>
      <c r="B202" s="641" t="s">
        <v>459</v>
      </c>
      <c r="C202" s="644"/>
      <c r="D202" s="644"/>
      <c r="E202" s="645"/>
      <c r="F202" s="423">
        <f>13.25*X2</f>
        <v>12865.75</v>
      </c>
      <c r="G202" s="330">
        <f t="shared" ref="G202" si="405">+F202*$X$1</f>
        <v>12865.75</v>
      </c>
      <c r="H202" s="613">
        <f>F202+400</f>
        <v>13265.75</v>
      </c>
      <c r="I202" s="306">
        <f>+H202*$X$1</f>
        <v>13265.75</v>
      </c>
      <c r="J202" s="613">
        <f>F202+150</f>
        <v>13015.75</v>
      </c>
      <c r="K202" s="306">
        <f t="shared" ref="K202" si="406">+J202*$X$1</f>
        <v>13015.75</v>
      </c>
      <c r="L202" s="613">
        <f>F202+90</f>
        <v>12955.75</v>
      </c>
      <c r="M202" s="306">
        <f t="shared" ref="M202" si="407">+L202*$X$1</f>
        <v>12955.75</v>
      </c>
      <c r="N202" s="613">
        <f>F202+55</f>
        <v>12920.75</v>
      </c>
      <c r="O202" s="306">
        <f t="shared" ref="O202" si="408">+N202*$X$1</f>
        <v>12920.75</v>
      </c>
      <c r="P202" s="613">
        <f>F202+50</f>
        <v>12915.75</v>
      </c>
      <c r="Q202" s="306">
        <f t="shared" ref="Q202" si="409">+P202*$X$1</f>
        <v>12915.75</v>
      </c>
      <c r="R202" s="613">
        <f>F202+42</f>
        <v>12907.75</v>
      </c>
      <c r="S202" s="306">
        <f t="shared" ref="S202" si="410">+R202*$X$1</f>
        <v>12907.75</v>
      </c>
      <c r="T202" s="105">
        <f t="shared" si="393"/>
        <v>12900.75</v>
      </c>
      <c r="U202" s="271">
        <f t="shared" si="402"/>
        <v>12900.75</v>
      </c>
      <c r="V202" s="105">
        <f t="shared" si="395"/>
        <v>12895.75</v>
      </c>
      <c r="W202" s="271">
        <f t="shared" si="403"/>
        <v>12895.75</v>
      </c>
      <c r="X202" s="156"/>
      <c r="Y202" s="156"/>
      <c r="Z202" s="156"/>
      <c r="AA202" s="156"/>
      <c r="AB202" s="201">
        <v>542</v>
      </c>
    </row>
    <row r="203" spans="1:28" ht="12.6" customHeight="1" x14ac:dyDescent="0.2">
      <c r="A203" s="18"/>
      <c r="B203" s="669" t="s">
        <v>507</v>
      </c>
      <c r="C203" s="670"/>
      <c r="D203" s="670"/>
      <c r="E203" s="670"/>
      <c r="F203" s="307"/>
      <c r="G203" s="307"/>
      <c r="H203" s="548"/>
      <c r="I203" s="548"/>
      <c r="J203" s="548"/>
      <c r="K203" s="307"/>
      <c r="L203" s="548"/>
      <c r="M203" s="307"/>
      <c r="N203" s="548"/>
      <c r="O203" s="307"/>
      <c r="P203" s="548"/>
      <c r="Q203" s="307"/>
      <c r="R203" s="548"/>
      <c r="S203" s="307"/>
      <c r="T203" s="548"/>
      <c r="U203" s="307"/>
      <c r="V203" s="90"/>
      <c r="W203" s="374"/>
      <c r="X203" s="156"/>
      <c r="Y203" s="156"/>
      <c r="Z203" s="156"/>
      <c r="AA203" s="156"/>
      <c r="AB203" s="201">
        <v>544</v>
      </c>
    </row>
    <row r="204" spans="1:28" ht="12.6" customHeight="1" x14ac:dyDescent="0.2">
      <c r="A204" s="18"/>
      <c r="B204" s="876" t="s">
        <v>199</v>
      </c>
      <c r="C204" s="950"/>
      <c r="D204" s="950"/>
      <c r="E204" s="950"/>
      <c r="F204" s="365">
        <v>350</v>
      </c>
      <c r="G204" s="364">
        <f t="shared" ref="G204:G209" si="411">+F204*$X$1</f>
        <v>350</v>
      </c>
      <c r="H204" s="304"/>
      <c r="I204" s="304"/>
      <c r="J204" s="614">
        <f t="shared" ref="J204" si="412">F204+150</f>
        <v>500</v>
      </c>
      <c r="K204" s="364">
        <f t="shared" ref="K204" si="413">+J204*$X$1</f>
        <v>500</v>
      </c>
      <c r="L204" s="614">
        <f t="shared" ref="L204" si="414">F204+90</f>
        <v>440</v>
      </c>
      <c r="M204" s="364">
        <f t="shared" ref="M204" si="415">+L204*$X$1</f>
        <v>440</v>
      </c>
      <c r="N204" s="614">
        <f t="shared" ref="N204" si="416">F204+55</f>
        <v>405</v>
      </c>
      <c r="O204" s="364">
        <f t="shared" ref="O204" si="417">+N204*$X$1</f>
        <v>405</v>
      </c>
      <c r="P204" s="106"/>
      <c r="Q204" s="908" t="s">
        <v>152</v>
      </c>
      <c r="R204" s="909"/>
      <c r="S204" s="909"/>
      <c r="T204" s="909"/>
      <c r="U204" s="909"/>
      <c r="V204" s="909"/>
      <c r="W204" s="910"/>
      <c r="X204" s="136"/>
      <c r="Y204" s="136"/>
      <c r="Z204" s="136"/>
      <c r="AA204" s="136"/>
      <c r="AB204" s="201">
        <v>547</v>
      </c>
    </row>
    <row r="205" spans="1:28" ht="12.6" customHeight="1" x14ac:dyDescent="0.2">
      <c r="A205" s="18"/>
      <c r="B205" s="682" t="s">
        <v>391</v>
      </c>
      <c r="C205" s="948"/>
      <c r="D205" s="948"/>
      <c r="E205" s="949"/>
      <c r="F205" s="307">
        <v>3350</v>
      </c>
      <c r="G205" s="307">
        <f t="shared" si="411"/>
        <v>3350</v>
      </c>
      <c r="H205" s="297"/>
      <c r="I205" s="297"/>
      <c r="J205" s="548">
        <f t="shared" ref="J205:J210" si="418">F205+150</f>
        <v>3500</v>
      </c>
      <c r="K205" s="307">
        <f t="shared" ref="K205:K210" si="419">+J205*$X$1</f>
        <v>3500</v>
      </c>
      <c r="L205" s="548">
        <f t="shared" ref="L205:L210" si="420">F205+90</f>
        <v>3440</v>
      </c>
      <c r="M205" s="307">
        <f t="shared" ref="M205:M210" si="421">+L205*$X$1</f>
        <v>3440</v>
      </c>
      <c r="N205" s="548">
        <f t="shared" ref="N205:N210" si="422">F205+55</f>
        <v>3405</v>
      </c>
      <c r="O205" s="307">
        <f t="shared" ref="O205:O210" si="423">+N205*$X$1</f>
        <v>3405</v>
      </c>
      <c r="P205" s="548">
        <f t="shared" ref="P205:P210" si="424">F205+50</f>
        <v>3400</v>
      </c>
      <c r="Q205" s="307">
        <f t="shared" ref="Q205:Q210" si="425">+P205*$X$1</f>
        <v>3400</v>
      </c>
      <c r="R205" s="548">
        <f t="shared" ref="R205:R210" si="426">F205+42</f>
        <v>3392</v>
      </c>
      <c r="S205" s="307">
        <f t="shared" ref="S205:S210" si="427">+R205*$X$1</f>
        <v>3392</v>
      </c>
      <c r="T205" s="104">
        <f t="shared" ref="T205:T210" si="428">F205+35</f>
        <v>3385</v>
      </c>
      <c r="U205" s="328">
        <f t="shared" ref="U205:U210" si="429">+T205*$X$1</f>
        <v>3385</v>
      </c>
      <c r="V205" s="104">
        <f t="shared" ref="V205:V210" si="430">F205+30</f>
        <v>3380</v>
      </c>
      <c r="W205" s="328">
        <f t="shared" ref="W205:W210" si="431">+V205*$X$1</f>
        <v>3380</v>
      </c>
      <c r="X205" s="136"/>
      <c r="Y205" s="136"/>
      <c r="Z205" s="136"/>
      <c r="AA205" s="136"/>
      <c r="AB205" s="468"/>
    </row>
    <row r="206" spans="1:28" ht="12.6" customHeight="1" x14ac:dyDescent="0.2">
      <c r="A206" s="18"/>
      <c r="B206" s="641" t="s">
        <v>523</v>
      </c>
      <c r="C206" s="644"/>
      <c r="D206" s="644"/>
      <c r="E206" s="645"/>
      <c r="F206" s="329">
        <v>962</v>
      </c>
      <c r="G206" s="306">
        <f t="shared" si="411"/>
        <v>962</v>
      </c>
      <c r="H206" s="298"/>
      <c r="I206" s="298"/>
      <c r="J206" s="613">
        <f t="shared" si="418"/>
        <v>1112</v>
      </c>
      <c r="K206" s="306">
        <f t="shared" si="419"/>
        <v>1112</v>
      </c>
      <c r="L206" s="613">
        <f t="shared" si="420"/>
        <v>1052</v>
      </c>
      <c r="M206" s="306">
        <f t="shared" si="421"/>
        <v>1052</v>
      </c>
      <c r="N206" s="613">
        <f t="shared" si="422"/>
        <v>1017</v>
      </c>
      <c r="O206" s="306">
        <f t="shared" si="423"/>
        <v>1017</v>
      </c>
      <c r="P206" s="613">
        <f t="shared" si="424"/>
        <v>1012</v>
      </c>
      <c r="Q206" s="306">
        <f t="shared" si="425"/>
        <v>1012</v>
      </c>
      <c r="R206" s="613">
        <f t="shared" si="426"/>
        <v>1004</v>
      </c>
      <c r="S206" s="306">
        <f t="shared" si="427"/>
        <v>1004</v>
      </c>
      <c r="T206" s="105">
        <f t="shared" si="428"/>
        <v>997</v>
      </c>
      <c r="U206" s="271">
        <f t="shared" si="429"/>
        <v>997</v>
      </c>
      <c r="V206" s="105">
        <f t="shared" si="430"/>
        <v>992</v>
      </c>
      <c r="W206" s="271">
        <f t="shared" si="431"/>
        <v>992</v>
      </c>
      <c r="X206" s="156"/>
      <c r="Y206" s="156"/>
      <c r="Z206" s="156"/>
      <c r="AA206" s="156"/>
      <c r="AB206" s="201"/>
    </row>
    <row r="207" spans="1:28" ht="12.6" customHeight="1" x14ac:dyDescent="0.2">
      <c r="A207" s="18"/>
      <c r="B207" s="682" t="s">
        <v>481</v>
      </c>
      <c r="C207" s="948"/>
      <c r="D207" s="948"/>
      <c r="E207" s="949"/>
      <c r="F207" s="307">
        <v>3230</v>
      </c>
      <c r="G207" s="307">
        <f t="shared" si="411"/>
        <v>3230</v>
      </c>
      <c r="H207" s="297"/>
      <c r="I207" s="297"/>
      <c r="J207" s="548">
        <f t="shared" si="418"/>
        <v>3380</v>
      </c>
      <c r="K207" s="307">
        <f t="shared" si="419"/>
        <v>3380</v>
      </c>
      <c r="L207" s="548">
        <f t="shared" si="420"/>
        <v>3320</v>
      </c>
      <c r="M207" s="307">
        <f t="shared" si="421"/>
        <v>3320</v>
      </c>
      <c r="N207" s="548">
        <f t="shared" si="422"/>
        <v>3285</v>
      </c>
      <c r="O207" s="307">
        <f t="shared" si="423"/>
        <v>3285</v>
      </c>
      <c r="P207" s="548">
        <f t="shared" si="424"/>
        <v>3280</v>
      </c>
      <c r="Q207" s="307">
        <f t="shared" si="425"/>
        <v>3280</v>
      </c>
      <c r="R207" s="548">
        <f t="shared" si="426"/>
        <v>3272</v>
      </c>
      <c r="S207" s="307">
        <f t="shared" si="427"/>
        <v>3272</v>
      </c>
      <c r="T207" s="104">
        <f t="shared" si="428"/>
        <v>3265</v>
      </c>
      <c r="U207" s="328">
        <f t="shared" si="429"/>
        <v>3265</v>
      </c>
      <c r="V207" s="104">
        <f t="shared" si="430"/>
        <v>3260</v>
      </c>
      <c r="W207" s="328">
        <f t="shared" si="431"/>
        <v>3260</v>
      </c>
      <c r="X207" s="136"/>
      <c r="Y207" s="136"/>
      <c r="Z207" s="136"/>
      <c r="AA207" s="136"/>
      <c r="AB207" s="201">
        <v>551</v>
      </c>
    </row>
    <row r="208" spans="1:28" ht="12.6" customHeight="1" x14ac:dyDescent="0.2">
      <c r="A208" s="18"/>
      <c r="B208" s="677" t="s">
        <v>479</v>
      </c>
      <c r="C208" s="678"/>
      <c r="D208" s="678"/>
      <c r="E208" s="679"/>
      <c r="F208" s="329">
        <v>3620</v>
      </c>
      <c r="G208" s="306">
        <f t="shared" si="411"/>
        <v>3620</v>
      </c>
      <c r="H208" s="298"/>
      <c r="I208" s="298"/>
      <c r="J208" s="613">
        <f t="shared" si="418"/>
        <v>3770</v>
      </c>
      <c r="K208" s="306">
        <f t="shared" si="419"/>
        <v>3770</v>
      </c>
      <c r="L208" s="613">
        <f t="shared" si="420"/>
        <v>3710</v>
      </c>
      <c r="M208" s="306">
        <f t="shared" si="421"/>
        <v>3710</v>
      </c>
      <c r="N208" s="613">
        <f t="shared" si="422"/>
        <v>3675</v>
      </c>
      <c r="O208" s="306">
        <f t="shared" si="423"/>
        <v>3675</v>
      </c>
      <c r="P208" s="613">
        <f t="shared" si="424"/>
        <v>3670</v>
      </c>
      <c r="Q208" s="306">
        <f t="shared" si="425"/>
        <v>3670</v>
      </c>
      <c r="R208" s="613">
        <f t="shared" si="426"/>
        <v>3662</v>
      </c>
      <c r="S208" s="306">
        <f t="shared" si="427"/>
        <v>3662</v>
      </c>
      <c r="T208" s="105">
        <f t="shared" si="428"/>
        <v>3655</v>
      </c>
      <c r="U208" s="271">
        <f t="shared" si="429"/>
        <v>3655</v>
      </c>
      <c r="V208" s="105">
        <f t="shared" si="430"/>
        <v>3650</v>
      </c>
      <c r="W208" s="271">
        <f t="shared" si="431"/>
        <v>3650</v>
      </c>
      <c r="X208" s="136"/>
      <c r="Y208" s="136"/>
      <c r="Z208" s="136"/>
      <c r="AA208" s="136"/>
      <c r="AB208" s="201" t="s">
        <v>478</v>
      </c>
    </row>
    <row r="209" spans="1:28" ht="12.6" customHeight="1" x14ac:dyDescent="0.2">
      <c r="A209" s="18"/>
      <c r="B209" s="711" t="s">
        <v>480</v>
      </c>
      <c r="C209" s="712"/>
      <c r="D209" s="712"/>
      <c r="E209" s="713"/>
      <c r="F209" s="343">
        <v>3890</v>
      </c>
      <c r="G209" s="307">
        <f t="shared" si="411"/>
        <v>3890</v>
      </c>
      <c r="H209" s="297"/>
      <c r="I209" s="297"/>
      <c r="J209" s="548">
        <f t="shared" si="418"/>
        <v>4040</v>
      </c>
      <c r="K209" s="307">
        <f t="shared" si="419"/>
        <v>4040</v>
      </c>
      <c r="L209" s="548">
        <f t="shared" si="420"/>
        <v>3980</v>
      </c>
      <c r="M209" s="307">
        <f t="shared" si="421"/>
        <v>3980</v>
      </c>
      <c r="N209" s="548">
        <f t="shared" si="422"/>
        <v>3945</v>
      </c>
      <c r="O209" s="307">
        <f t="shared" si="423"/>
        <v>3945</v>
      </c>
      <c r="P209" s="548">
        <f t="shared" si="424"/>
        <v>3940</v>
      </c>
      <c r="Q209" s="307">
        <f t="shared" si="425"/>
        <v>3940</v>
      </c>
      <c r="R209" s="548">
        <f t="shared" si="426"/>
        <v>3932</v>
      </c>
      <c r="S209" s="307">
        <f t="shared" si="427"/>
        <v>3932</v>
      </c>
      <c r="T209" s="104">
        <f t="shared" si="428"/>
        <v>3925</v>
      </c>
      <c r="U209" s="328">
        <f t="shared" si="429"/>
        <v>3925</v>
      </c>
      <c r="V209" s="104">
        <f t="shared" si="430"/>
        <v>3920</v>
      </c>
      <c r="W209" s="328">
        <f t="shared" si="431"/>
        <v>3920</v>
      </c>
      <c r="X209" s="136"/>
      <c r="Y209" s="136"/>
      <c r="Z209" s="136"/>
      <c r="AA209" s="136"/>
      <c r="AB209" s="201" t="s">
        <v>482</v>
      </c>
    </row>
    <row r="210" spans="1:28" ht="12.6" customHeight="1" x14ac:dyDescent="0.2">
      <c r="A210" s="18"/>
      <c r="B210" s="625" t="s">
        <v>435</v>
      </c>
      <c r="C210" s="649"/>
      <c r="D210" s="649"/>
      <c r="E210" s="649"/>
      <c r="F210" s="306">
        <v>3478</v>
      </c>
      <c r="G210" s="306">
        <f t="shared" ref="G210" si="432">+F210*$X$1</f>
        <v>3478</v>
      </c>
      <c r="H210" s="298"/>
      <c r="I210" s="298"/>
      <c r="J210" s="613">
        <f t="shared" si="418"/>
        <v>3628</v>
      </c>
      <c r="K210" s="306">
        <f t="shared" si="419"/>
        <v>3628</v>
      </c>
      <c r="L210" s="613">
        <f t="shared" si="420"/>
        <v>3568</v>
      </c>
      <c r="M210" s="306">
        <f t="shared" si="421"/>
        <v>3568</v>
      </c>
      <c r="N210" s="613">
        <f t="shared" si="422"/>
        <v>3533</v>
      </c>
      <c r="O210" s="306">
        <f t="shared" si="423"/>
        <v>3533</v>
      </c>
      <c r="P210" s="613">
        <f t="shared" si="424"/>
        <v>3528</v>
      </c>
      <c r="Q210" s="306">
        <f t="shared" si="425"/>
        <v>3528</v>
      </c>
      <c r="R210" s="613">
        <f t="shared" si="426"/>
        <v>3520</v>
      </c>
      <c r="S210" s="306">
        <f t="shared" si="427"/>
        <v>3520</v>
      </c>
      <c r="T210" s="105">
        <f t="shared" si="428"/>
        <v>3513</v>
      </c>
      <c r="U210" s="271">
        <f t="shared" si="429"/>
        <v>3513</v>
      </c>
      <c r="V210" s="105">
        <f t="shared" si="430"/>
        <v>3508</v>
      </c>
      <c r="W210" s="271">
        <f t="shared" si="431"/>
        <v>3508</v>
      </c>
      <c r="X210" s="136"/>
      <c r="Y210" s="136"/>
      <c r="Z210" s="136"/>
      <c r="AA210" s="136"/>
      <c r="AB210" s="201">
        <v>553</v>
      </c>
    </row>
    <row r="211" spans="1:28" ht="12.6" customHeight="1" x14ac:dyDescent="0.2">
      <c r="A211" s="18"/>
      <c r="B211" s="675" t="s">
        <v>664</v>
      </c>
      <c r="C211" s="890"/>
      <c r="D211" s="890"/>
      <c r="E211" s="890"/>
      <c r="F211" s="422">
        <f>7.391*X2</f>
        <v>7176.6610000000001</v>
      </c>
      <c r="G211" s="367">
        <f t="shared" ref="G211" si="433">+F211*$X$1</f>
        <v>7176.6610000000001</v>
      </c>
      <c r="H211" s="548">
        <f>F211+410</f>
        <v>7586.6610000000001</v>
      </c>
      <c r="I211" s="307">
        <f>+H211*$X$1</f>
        <v>7586.6610000000001</v>
      </c>
      <c r="J211" s="548">
        <f>F211+360</f>
        <v>7536.6610000000001</v>
      </c>
      <c r="K211" s="307">
        <f>+J211*$X$1</f>
        <v>7536.6610000000001</v>
      </c>
      <c r="L211" s="548">
        <f>F211+330</f>
        <v>7506.6610000000001</v>
      </c>
      <c r="M211" s="307">
        <f t="shared" ref="M211:M212" si="434">+L211*$X$1</f>
        <v>7506.6610000000001</v>
      </c>
      <c r="N211" s="548">
        <f>F211+290</f>
        <v>7466.6610000000001</v>
      </c>
      <c r="O211" s="307">
        <f t="shared" ref="O211:O212" si="435">+N211*$X$1</f>
        <v>7466.6610000000001</v>
      </c>
      <c r="P211" s="548">
        <f>F211+240</f>
        <v>7416.6610000000001</v>
      </c>
      <c r="Q211" s="307">
        <f t="shared" ref="Q211" si="436">+P211*$X$1</f>
        <v>7416.6610000000001</v>
      </c>
      <c r="R211" s="548">
        <f>F211+220</f>
        <v>7396.6610000000001</v>
      </c>
      <c r="S211" s="307">
        <f t="shared" ref="S211" si="437">+R211*$X$1</f>
        <v>7396.6610000000001</v>
      </c>
      <c r="T211" s="104">
        <f>F211+200</f>
        <v>7376.6610000000001</v>
      </c>
      <c r="U211" s="328">
        <f t="shared" ref="U211" si="438">+T211*$X$1</f>
        <v>7376.6610000000001</v>
      </c>
      <c r="V211" s="104">
        <f>F211+175</f>
        <v>7351.6610000000001</v>
      </c>
      <c r="W211" s="328">
        <f t="shared" ref="W211" si="439">+V211*$X$1</f>
        <v>7351.6610000000001</v>
      </c>
      <c r="X211" s="156"/>
      <c r="Y211" s="156"/>
      <c r="Z211" s="156"/>
      <c r="AA211" s="156"/>
      <c r="AB211" s="201">
        <v>616</v>
      </c>
    </row>
    <row r="212" spans="1:28" ht="12.6" customHeight="1" x14ac:dyDescent="0.2">
      <c r="A212" s="18"/>
      <c r="B212" s="1023" t="s">
        <v>383</v>
      </c>
      <c r="C212" s="1024"/>
      <c r="D212" s="1024"/>
      <c r="E212" s="1024"/>
      <c r="F212" s="364">
        <v>180</v>
      </c>
      <c r="G212" s="364">
        <f t="shared" ref="G212:G215" si="440">+F212*$X$1</f>
        <v>180</v>
      </c>
      <c r="H212" s="304"/>
      <c r="I212" s="371"/>
      <c r="J212" s="614">
        <f>F212+150</f>
        <v>330</v>
      </c>
      <c r="K212" s="364">
        <f t="shared" ref="K212" si="441">+J212*$X$1</f>
        <v>330</v>
      </c>
      <c r="L212" s="614">
        <f>F212+90</f>
        <v>270</v>
      </c>
      <c r="M212" s="364">
        <f t="shared" si="434"/>
        <v>270</v>
      </c>
      <c r="N212" s="614">
        <f>F212+55</f>
        <v>235</v>
      </c>
      <c r="O212" s="364">
        <f t="shared" si="435"/>
        <v>235</v>
      </c>
      <c r="P212" s="614"/>
      <c r="Q212" s="614"/>
      <c r="R212" s="614"/>
      <c r="S212" s="614"/>
      <c r="T212" s="614"/>
      <c r="U212" s="614"/>
      <c r="V212" s="106"/>
      <c r="W212" s="106"/>
      <c r="X212" s="156"/>
      <c r="Y212" s="156"/>
      <c r="Z212" s="156"/>
      <c r="AA212" s="156"/>
      <c r="AB212" s="201">
        <v>618</v>
      </c>
    </row>
    <row r="213" spans="1:28" ht="12.6" customHeight="1" x14ac:dyDescent="0.2">
      <c r="A213" s="108"/>
      <c r="B213" s="715" t="s">
        <v>517</v>
      </c>
      <c r="C213" s="716"/>
      <c r="D213" s="716"/>
      <c r="E213" s="716"/>
      <c r="F213" s="364">
        <v>500</v>
      </c>
      <c r="G213" s="364">
        <f t="shared" si="440"/>
        <v>500</v>
      </c>
      <c r="H213" s="614"/>
      <c r="I213" s="364"/>
      <c r="J213" s="304"/>
      <c r="K213" s="371"/>
      <c r="L213" s="614">
        <f>F213+110</f>
        <v>610</v>
      </c>
      <c r="M213" s="364">
        <f t="shared" ref="M213:M219" si="442">+L213*$X$1</f>
        <v>610</v>
      </c>
      <c r="N213" s="614"/>
      <c r="O213" s="364"/>
      <c r="P213" s="614">
        <f>F213+5.1</f>
        <v>505.1</v>
      </c>
      <c r="Q213" s="1028" t="s">
        <v>152</v>
      </c>
      <c r="R213" s="1029"/>
      <c r="S213" s="1029"/>
      <c r="T213" s="1029"/>
      <c r="U213" s="1029"/>
      <c r="V213" s="1029"/>
      <c r="W213" s="1029"/>
      <c r="X213" s="137"/>
      <c r="Y213" s="156"/>
      <c r="Z213" s="156"/>
      <c r="AA213" s="156"/>
      <c r="AB213" s="201">
        <v>621</v>
      </c>
    </row>
    <row r="214" spans="1:28" ht="12.6" customHeight="1" x14ac:dyDescent="0.2">
      <c r="A214" s="21"/>
      <c r="B214" s="625" t="s">
        <v>200</v>
      </c>
      <c r="C214" s="649"/>
      <c r="D214" s="649"/>
      <c r="E214" s="649"/>
      <c r="F214" s="417">
        <f>2.93*X2</f>
        <v>2845.03</v>
      </c>
      <c r="G214" s="306">
        <f>+F214*$X$1</f>
        <v>2845.03</v>
      </c>
      <c r="H214" s="342"/>
      <c r="I214" s="372"/>
      <c r="J214" s="613">
        <f t="shared" ref="J214:J219" si="443">F214+150</f>
        <v>2995.03</v>
      </c>
      <c r="K214" s="306">
        <f t="shared" ref="K214:K219" si="444">+J214*$X$1</f>
        <v>2995.03</v>
      </c>
      <c r="L214" s="613">
        <f t="shared" ref="L214:L219" si="445">F214+90</f>
        <v>2935.03</v>
      </c>
      <c r="M214" s="306">
        <f t="shared" si="442"/>
        <v>2935.03</v>
      </c>
      <c r="N214" s="613">
        <f t="shared" ref="N214:N219" si="446">F214+55</f>
        <v>2900.03</v>
      </c>
      <c r="O214" s="306">
        <f t="shared" ref="O214:O219" si="447">+N214*$X$1</f>
        <v>2900.03</v>
      </c>
      <c r="P214" s="613">
        <f t="shared" ref="P214:P219" si="448">F214+50</f>
        <v>2895.03</v>
      </c>
      <c r="Q214" s="306">
        <f t="shared" ref="Q214:Q219" si="449">+P214*$X$1</f>
        <v>2895.03</v>
      </c>
      <c r="R214" s="613">
        <f t="shared" ref="R214:R219" si="450">F214+42</f>
        <v>2887.03</v>
      </c>
      <c r="S214" s="306">
        <f t="shared" ref="S214:S219" si="451">+R214*$X$1</f>
        <v>2887.03</v>
      </c>
      <c r="T214" s="105">
        <f t="shared" ref="T214:T219" si="452">F214+35</f>
        <v>2880.03</v>
      </c>
      <c r="U214" s="271">
        <f t="shared" ref="U214:U219" si="453">+T214*$X$1</f>
        <v>2880.03</v>
      </c>
      <c r="V214" s="105">
        <f t="shared" ref="V214:V219" si="454">F214+30</f>
        <v>2875.03</v>
      </c>
      <c r="W214" s="271">
        <f t="shared" ref="W214:W219" si="455">+V214*$X$1</f>
        <v>2875.03</v>
      </c>
      <c r="X214" s="156"/>
      <c r="Y214" s="165"/>
      <c r="Z214" s="156"/>
      <c r="AA214" s="156"/>
      <c r="AB214" s="201">
        <v>624</v>
      </c>
    </row>
    <row r="215" spans="1:28" ht="12.6" customHeight="1" x14ac:dyDescent="0.2">
      <c r="A215" s="21"/>
      <c r="B215" s="688" t="s">
        <v>201</v>
      </c>
      <c r="C215" s="912"/>
      <c r="D215" s="912"/>
      <c r="E215" s="912"/>
      <c r="F215" s="418">
        <f>5.057*X2</f>
        <v>4910.3470000000007</v>
      </c>
      <c r="G215" s="307">
        <f t="shared" si="440"/>
        <v>4910.3470000000007</v>
      </c>
      <c r="H215" s="305"/>
      <c r="I215" s="373"/>
      <c r="J215" s="548">
        <f t="shared" si="443"/>
        <v>5060.3470000000007</v>
      </c>
      <c r="K215" s="307">
        <f t="shared" si="444"/>
        <v>5060.3470000000007</v>
      </c>
      <c r="L215" s="548">
        <f t="shared" si="445"/>
        <v>5000.3470000000007</v>
      </c>
      <c r="M215" s="307">
        <f t="shared" si="442"/>
        <v>5000.3470000000007</v>
      </c>
      <c r="N215" s="548">
        <f t="shared" si="446"/>
        <v>4965.3470000000007</v>
      </c>
      <c r="O215" s="307">
        <f t="shared" si="447"/>
        <v>4965.3470000000007</v>
      </c>
      <c r="P215" s="548">
        <f t="shared" si="448"/>
        <v>4960.3470000000007</v>
      </c>
      <c r="Q215" s="307">
        <f t="shared" si="449"/>
        <v>4960.3470000000007</v>
      </c>
      <c r="R215" s="548">
        <f t="shared" si="450"/>
        <v>4952.3470000000007</v>
      </c>
      <c r="S215" s="307">
        <f t="shared" si="451"/>
        <v>4952.3470000000007</v>
      </c>
      <c r="T215" s="104">
        <f t="shared" si="452"/>
        <v>4945.3470000000007</v>
      </c>
      <c r="U215" s="328">
        <f t="shared" si="453"/>
        <v>4945.3470000000007</v>
      </c>
      <c r="V215" s="104">
        <f t="shared" si="454"/>
        <v>4940.3470000000007</v>
      </c>
      <c r="W215" s="328">
        <f t="shared" si="455"/>
        <v>4940.3470000000007</v>
      </c>
      <c r="X215" s="156"/>
      <c r="Y215" s="165"/>
      <c r="Z215" s="156"/>
      <c r="AA215" s="156"/>
      <c r="AB215" s="201" t="s">
        <v>202</v>
      </c>
    </row>
    <row r="216" spans="1:28" ht="12.6" customHeight="1" x14ac:dyDescent="0.2">
      <c r="A216" s="21"/>
      <c r="B216" s="641" t="s">
        <v>203</v>
      </c>
      <c r="C216" s="644"/>
      <c r="D216" s="644"/>
      <c r="E216" s="645"/>
      <c r="F216" s="417">
        <f>5.595*X2</f>
        <v>5432.7449999999999</v>
      </c>
      <c r="G216" s="306">
        <f t="shared" ref="G216:G221" si="456">+F216*$X$1</f>
        <v>5432.7449999999999</v>
      </c>
      <c r="H216" s="342"/>
      <c r="I216" s="372"/>
      <c r="J216" s="613">
        <f t="shared" si="443"/>
        <v>5582.7449999999999</v>
      </c>
      <c r="K216" s="306">
        <f t="shared" si="444"/>
        <v>5582.7449999999999</v>
      </c>
      <c r="L216" s="613">
        <f t="shared" si="445"/>
        <v>5522.7449999999999</v>
      </c>
      <c r="M216" s="306">
        <f t="shared" si="442"/>
        <v>5522.7449999999999</v>
      </c>
      <c r="N216" s="613">
        <f t="shared" si="446"/>
        <v>5487.7449999999999</v>
      </c>
      <c r="O216" s="306">
        <f t="shared" si="447"/>
        <v>5487.7449999999999</v>
      </c>
      <c r="P216" s="613">
        <f t="shared" si="448"/>
        <v>5482.7449999999999</v>
      </c>
      <c r="Q216" s="306">
        <f t="shared" si="449"/>
        <v>5482.7449999999999</v>
      </c>
      <c r="R216" s="613">
        <f t="shared" si="450"/>
        <v>5474.7449999999999</v>
      </c>
      <c r="S216" s="306">
        <f t="shared" si="451"/>
        <v>5474.7449999999999</v>
      </c>
      <c r="T216" s="105">
        <f t="shared" si="452"/>
        <v>5467.7449999999999</v>
      </c>
      <c r="U216" s="271">
        <f t="shared" si="453"/>
        <v>5467.7449999999999</v>
      </c>
      <c r="V216" s="105">
        <f t="shared" si="454"/>
        <v>5462.7449999999999</v>
      </c>
      <c r="W216" s="271">
        <f t="shared" si="455"/>
        <v>5462.7449999999999</v>
      </c>
      <c r="X216" s="156"/>
      <c r="Y216" s="165"/>
      <c r="Z216" s="156"/>
      <c r="AA216" s="156"/>
      <c r="AB216" s="201">
        <v>629</v>
      </c>
    </row>
    <row r="217" spans="1:28" ht="12.6" customHeight="1" x14ac:dyDescent="0.2">
      <c r="A217" s="21"/>
      <c r="B217" s="682" t="s">
        <v>441</v>
      </c>
      <c r="C217" s="683"/>
      <c r="D217" s="683"/>
      <c r="E217" s="684"/>
      <c r="F217" s="418">
        <f>10.631*X2</f>
        <v>10322.701000000001</v>
      </c>
      <c r="G217" s="307">
        <f t="shared" si="456"/>
        <v>10322.701000000001</v>
      </c>
      <c r="H217" s="305"/>
      <c r="I217" s="373"/>
      <c r="J217" s="548">
        <f t="shared" si="443"/>
        <v>10472.701000000001</v>
      </c>
      <c r="K217" s="307">
        <f t="shared" si="444"/>
        <v>10472.701000000001</v>
      </c>
      <c r="L217" s="548">
        <f t="shared" si="445"/>
        <v>10412.701000000001</v>
      </c>
      <c r="M217" s="307">
        <f t="shared" si="442"/>
        <v>10412.701000000001</v>
      </c>
      <c r="N217" s="548">
        <f t="shared" si="446"/>
        <v>10377.701000000001</v>
      </c>
      <c r="O217" s="307">
        <f t="shared" si="447"/>
        <v>10377.701000000001</v>
      </c>
      <c r="P217" s="548">
        <f t="shared" si="448"/>
        <v>10372.701000000001</v>
      </c>
      <c r="Q217" s="307">
        <f t="shared" si="449"/>
        <v>10372.701000000001</v>
      </c>
      <c r="R217" s="548">
        <f t="shared" si="450"/>
        <v>10364.701000000001</v>
      </c>
      <c r="S217" s="307">
        <f t="shared" si="451"/>
        <v>10364.701000000001</v>
      </c>
      <c r="T217" s="104">
        <f t="shared" si="452"/>
        <v>10357.701000000001</v>
      </c>
      <c r="U217" s="328">
        <f t="shared" si="453"/>
        <v>10357.701000000001</v>
      </c>
      <c r="V217" s="104">
        <f t="shared" si="454"/>
        <v>10352.701000000001</v>
      </c>
      <c r="W217" s="328">
        <f t="shared" si="455"/>
        <v>10352.701000000001</v>
      </c>
      <c r="X217" s="156"/>
      <c r="Y217" s="165"/>
      <c r="Z217" s="156"/>
      <c r="AA217" s="156"/>
      <c r="AB217" s="201">
        <v>630</v>
      </c>
    </row>
    <row r="218" spans="1:28" ht="12.6" customHeight="1" x14ac:dyDescent="0.2">
      <c r="A218" s="21"/>
      <c r="B218" s="641" t="s">
        <v>574</v>
      </c>
      <c r="C218" s="644"/>
      <c r="D218" s="644"/>
      <c r="E218" s="645"/>
      <c r="F218" s="417">
        <f>1.326*X2</f>
        <v>1287.546</v>
      </c>
      <c r="G218" s="308">
        <f t="shared" ref="G218" si="457">+F218*$X$1</f>
        <v>1287.546</v>
      </c>
      <c r="H218" s="342"/>
      <c r="I218" s="380"/>
      <c r="J218" s="613">
        <f t="shared" si="443"/>
        <v>1437.546</v>
      </c>
      <c r="K218" s="306">
        <f t="shared" si="444"/>
        <v>1437.546</v>
      </c>
      <c r="L218" s="613">
        <f t="shared" si="445"/>
        <v>1377.546</v>
      </c>
      <c r="M218" s="306">
        <f t="shared" si="442"/>
        <v>1377.546</v>
      </c>
      <c r="N218" s="613">
        <f t="shared" si="446"/>
        <v>1342.546</v>
      </c>
      <c r="O218" s="306">
        <f t="shared" si="447"/>
        <v>1342.546</v>
      </c>
      <c r="P218" s="613">
        <f t="shared" si="448"/>
        <v>1337.546</v>
      </c>
      <c r="Q218" s="306">
        <f t="shared" si="449"/>
        <v>1337.546</v>
      </c>
      <c r="R218" s="613">
        <f t="shared" si="450"/>
        <v>1329.546</v>
      </c>
      <c r="S218" s="306">
        <f t="shared" si="451"/>
        <v>1329.546</v>
      </c>
      <c r="T218" s="105">
        <f t="shared" si="452"/>
        <v>1322.546</v>
      </c>
      <c r="U218" s="271">
        <f t="shared" si="453"/>
        <v>1322.546</v>
      </c>
      <c r="V218" s="105">
        <f t="shared" si="454"/>
        <v>1317.546</v>
      </c>
      <c r="W218" s="271">
        <f t="shared" si="455"/>
        <v>1317.546</v>
      </c>
      <c r="X218" s="156"/>
      <c r="Y218" s="165"/>
      <c r="Z218" s="156"/>
      <c r="AA218" s="156"/>
      <c r="AB218" s="201">
        <v>631</v>
      </c>
    </row>
    <row r="219" spans="1:28" ht="12.6" customHeight="1" x14ac:dyDescent="0.2">
      <c r="A219" s="21"/>
      <c r="B219" s="682" t="s">
        <v>536</v>
      </c>
      <c r="C219" s="683"/>
      <c r="D219" s="683"/>
      <c r="E219" s="684"/>
      <c r="F219" s="418">
        <f>1.352*X2</f>
        <v>1312.7920000000001</v>
      </c>
      <c r="G219" s="309">
        <f t="shared" si="456"/>
        <v>1312.7920000000001</v>
      </c>
      <c r="H219" s="305"/>
      <c r="I219" s="381"/>
      <c r="J219" s="548">
        <f t="shared" si="443"/>
        <v>1462.7920000000001</v>
      </c>
      <c r="K219" s="307">
        <f t="shared" si="444"/>
        <v>1462.7920000000001</v>
      </c>
      <c r="L219" s="548">
        <f t="shared" si="445"/>
        <v>1402.7920000000001</v>
      </c>
      <c r="M219" s="307">
        <f t="shared" si="442"/>
        <v>1402.7920000000001</v>
      </c>
      <c r="N219" s="548">
        <f t="shared" si="446"/>
        <v>1367.7920000000001</v>
      </c>
      <c r="O219" s="307">
        <f t="shared" si="447"/>
        <v>1367.7920000000001</v>
      </c>
      <c r="P219" s="548">
        <f t="shared" si="448"/>
        <v>1362.7920000000001</v>
      </c>
      <c r="Q219" s="307">
        <f t="shared" si="449"/>
        <v>1362.7920000000001</v>
      </c>
      <c r="R219" s="548">
        <f t="shared" si="450"/>
        <v>1354.7920000000001</v>
      </c>
      <c r="S219" s="307">
        <f t="shared" si="451"/>
        <v>1354.7920000000001</v>
      </c>
      <c r="T219" s="104">
        <f t="shared" si="452"/>
        <v>1347.7920000000001</v>
      </c>
      <c r="U219" s="328">
        <f t="shared" si="453"/>
        <v>1347.7920000000001</v>
      </c>
      <c r="V219" s="104">
        <f t="shared" si="454"/>
        <v>1342.7920000000001</v>
      </c>
      <c r="W219" s="328">
        <f t="shared" si="455"/>
        <v>1342.7920000000001</v>
      </c>
      <c r="X219" s="156"/>
      <c r="Y219" s="165"/>
      <c r="Z219" s="156"/>
      <c r="AA219" s="156"/>
      <c r="AB219" s="201">
        <v>640</v>
      </c>
    </row>
    <row r="220" spans="1:28" ht="12.6" customHeight="1" x14ac:dyDescent="0.2">
      <c r="A220" s="21"/>
      <c r="B220" s="641" t="s">
        <v>556</v>
      </c>
      <c r="C220" s="644"/>
      <c r="D220" s="644"/>
      <c r="E220" s="645"/>
      <c r="F220" s="417">
        <f>16*X2</f>
        <v>15536</v>
      </c>
      <c r="G220" s="308">
        <f t="shared" si="456"/>
        <v>15536</v>
      </c>
      <c r="H220" s="613">
        <f>F220+400</f>
        <v>15936</v>
      </c>
      <c r="I220" s="306">
        <f t="shared" ref="I220:I221" si="458">+H220*$X$1</f>
        <v>15936</v>
      </c>
      <c r="J220" s="613">
        <f>F220+150</f>
        <v>15686</v>
      </c>
      <c r="K220" s="306">
        <f t="shared" ref="K220:K221" si="459">+J220*$X$1</f>
        <v>15686</v>
      </c>
      <c r="L220" s="613"/>
      <c r="M220" s="306"/>
      <c r="N220" s="613"/>
      <c r="O220" s="306"/>
      <c r="P220" s="613"/>
      <c r="Q220" s="306"/>
      <c r="R220" s="613"/>
      <c r="S220" s="306"/>
      <c r="T220" s="613"/>
      <c r="U220" s="306"/>
      <c r="V220" s="613"/>
      <c r="W220" s="306"/>
      <c r="X220" s="156"/>
      <c r="Y220" s="165"/>
      <c r="Z220" s="156"/>
      <c r="AA220" s="156"/>
      <c r="AB220" s="201">
        <v>672</v>
      </c>
    </row>
    <row r="221" spans="1:28" ht="12.6" customHeight="1" x14ac:dyDescent="0.2">
      <c r="A221" s="18"/>
      <c r="B221" s="669" t="s">
        <v>204</v>
      </c>
      <c r="C221" s="670"/>
      <c r="D221" s="670"/>
      <c r="E221" s="670"/>
      <c r="F221" s="418">
        <f>6.848*X2</f>
        <v>6649.4079999999994</v>
      </c>
      <c r="G221" s="307">
        <f t="shared" si="456"/>
        <v>6649.4079999999994</v>
      </c>
      <c r="H221" s="90">
        <f t="shared" ref="H221" si="460">F221+400</f>
        <v>7049.4079999999994</v>
      </c>
      <c r="I221" s="307">
        <f t="shared" si="458"/>
        <v>7049.4079999999994</v>
      </c>
      <c r="J221" s="548">
        <f t="shared" ref="J221" si="461">F221+170</f>
        <v>6819.4079999999994</v>
      </c>
      <c r="K221" s="307">
        <f t="shared" si="459"/>
        <v>6819.4079999999994</v>
      </c>
      <c r="L221" s="548">
        <f t="shared" ref="L221" si="462">F221+130</f>
        <v>6779.4079999999994</v>
      </c>
      <c r="M221" s="307">
        <f t="shared" ref="M221" si="463">+L221*$X$1</f>
        <v>6779.4079999999994</v>
      </c>
      <c r="N221" s="548">
        <f t="shared" ref="N221" si="464">F221+100</f>
        <v>6749.4079999999994</v>
      </c>
      <c r="O221" s="307">
        <f t="shared" ref="O221" si="465">+N221*$X$1</f>
        <v>6749.4079999999994</v>
      </c>
      <c r="P221" s="548">
        <f t="shared" ref="P221" si="466">F221+80</f>
        <v>6729.4079999999994</v>
      </c>
      <c r="Q221" s="307">
        <f t="shared" ref="Q221" si="467">+P221*$X$1</f>
        <v>6729.4079999999994</v>
      </c>
      <c r="R221" s="548">
        <f t="shared" ref="R221" si="468">F221+74</f>
        <v>6723.4079999999994</v>
      </c>
      <c r="S221" s="307">
        <f t="shared" ref="S221" si="469">+R221*$X$1</f>
        <v>6723.4079999999994</v>
      </c>
      <c r="T221" s="548">
        <f t="shared" ref="T221" si="470">F221+67</f>
        <v>6716.4079999999994</v>
      </c>
      <c r="U221" s="307">
        <f t="shared" ref="U221" si="471">+T221*$X$1</f>
        <v>6716.4079999999994</v>
      </c>
      <c r="V221" s="548">
        <f t="shared" ref="V221" si="472">F221+55</f>
        <v>6704.4079999999994</v>
      </c>
      <c r="W221" s="307">
        <f t="shared" ref="W221" si="473">+V221*$X$1</f>
        <v>6704.4079999999994</v>
      </c>
      <c r="X221" s="639"/>
      <c r="Y221" s="650"/>
      <c r="Z221" s="650"/>
      <c r="AA221" s="640"/>
      <c r="AB221" s="201">
        <v>705</v>
      </c>
    </row>
    <row r="222" spans="1:28" ht="12.6" customHeight="1" x14ac:dyDescent="0.2">
      <c r="A222" s="18"/>
      <c r="B222" s="625" t="s">
        <v>550</v>
      </c>
      <c r="C222" s="626"/>
      <c r="D222" s="626"/>
      <c r="E222" s="626"/>
      <c r="F222" s="355">
        <v>10476</v>
      </c>
      <c r="G222" s="306">
        <f t="shared" ref="G222" si="474">+F222*$X$1</f>
        <v>10476</v>
      </c>
      <c r="H222" s="613">
        <f t="shared" ref="H222:H233" si="475">F222+400</f>
        <v>10876</v>
      </c>
      <c r="I222" s="306">
        <f t="shared" ref="I222" si="476">+H222*$X$1</f>
        <v>10876</v>
      </c>
      <c r="J222" s="613">
        <f t="shared" ref="J222:J233" si="477">F222+150</f>
        <v>10626</v>
      </c>
      <c r="K222" s="306">
        <f t="shared" ref="K222" si="478">+J222*$X$1</f>
        <v>10626</v>
      </c>
      <c r="L222" s="613">
        <f t="shared" ref="L222:L233" si="479">F222+90</f>
        <v>10566</v>
      </c>
      <c r="M222" s="306">
        <f t="shared" ref="M222" si="480">+L222*$X$1</f>
        <v>10566</v>
      </c>
      <c r="N222" s="613">
        <f t="shared" ref="N222:N233" si="481">F222+55</f>
        <v>10531</v>
      </c>
      <c r="O222" s="306">
        <f t="shared" ref="O222" si="482">+N222*$X$1</f>
        <v>10531</v>
      </c>
      <c r="P222" s="613">
        <f t="shared" ref="P222:P233" si="483">F222+50</f>
        <v>10526</v>
      </c>
      <c r="Q222" s="306">
        <f t="shared" ref="Q222" si="484">+P222*$X$1</f>
        <v>10526</v>
      </c>
      <c r="R222" s="613">
        <f t="shared" ref="R222:R233" si="485">F222+42</f>
        <v>10518</v>
      </c>
      <c r="S222" s="306">
        <f t="shared" ref="S222" si="486">+R222*$X$1</f>
        <v>10518</v>
      </c>
      <c r="T222" s="105">
        <f t="shared" ref="T222:T233" si="487">F222+35</f>
        <v>10511</v>
      </c>
      <c r="U222" s="271">
        <f t="shared" ref="U222" si="488">+T222*$X$1</f>
        <v>10511</v>
      </c>
      <c r="V222" s="105">
        <f t="shared" ref="V222:V233" si="489">F222+30</f>
        <v>10506</v>
      </c>
      <c r="W222" s="271">
        <f t="shared" ref="W222" si="490">+V222*$X$1</f>
        <v>10506</v>
      </c>
      <c r="X222" s="622"/>
      <c r="Y222" s="623"/>
      <c r="Z222" s="623"/>
      <c r="AA222" s="624"/>
      <c r="AB222" s="201">
        <v>815</v>
      </c>
    </row>
    <row r="223" spans="1:28" ht="12.6" customHeight="1" x14ac:dyDescent="0.2">
      <c r="A223" s="18"/>
      <c r="B223" s="669" t="s">
        <v>549</v>
      </c>
      <c r="C223" s="670"/>
      <c r="D223" s="670"/>
      <c r="E223" s="670"/>
      <c r="F223" s="354">
        <v>16878</v>
      </c>
      <c r="G223" s="307">
        <f t="shared" ref="G223" si="491">+F223*$X$1</f>
        <v>16878</v>
      </c>
      <c r="H223" s="548">
        <f t="shared" si="475"/>
        <v>17278</v>
      </c>
      <c r="I223" s="307">
        <f t="shared" ref="I223" si="492">+H223*$X$1</f>
        <v>17278</v>
      </c>
      <c r="J223" s="548">
        <f t="shared" si="477"/>
        <v>17028</v>
      </c>
      <c r="K223" s="307">
        <f t="shared" ref="K223" si="493">+J223*$X$1</f>
        <v>17028</v>
      </c>
      <c r="L223" s="548">
        <f t="shared" si="479"/>
        <v>16968</v>
      </c>
      <c r="M223" s="307">
        <f t="shared" ref="M223" si="494">+L223*$X$1</f>
        <v>16968</v>
      </c>
      <c r="N223" s="548">
        <f t="shared" si="481"/>
        <v>16933</v>
      </c>
      <c r="O223" s="307">
        <f t="shared" ref="O223" si="495">+N223*$X$1</f>
        <v>16933</v>
      </c>
      <c r="P223" s="548">
        <f t="shared" si="483"/>
        <v>16928</v>
      </c>
      <c r="Q223" s="307">
        <f t="shared" ref="Q223" si="496">+P223*$X$1</f>
        <v>16928</v>
      </c>
      <c r="R223" s="548">
        <f t="shared" si="485"/>
        <v>16920</v>
      </c>
      <c r="S223" s="307">
        <f t="shared" ref="S223" si="497">+R223*$X$1</f>
        <v>16920</v>
      </c>
      <c r="T223" s="104">
        <f t="shared" si="487"/>
        <v>16913</v>
      </c>
      <c r="U223" s="328">
        <f t="shared" ref="U223" si="498">+T223*$X$1</f>
        <v>16913</v>
      </c>
      <c r="V223" s="104">
        <f t="shared" si="489"/>
        <v>16908</v>
      </c>
      <c r="W223" s="328">
        <f t="shared" ref="W223" si="499">+V223*$X$1</f>
        <v>16908</v>
      </c>
      <c r="X223" s="622"/>
      <c r="Y223" s="623"/>
      <c r="Z223" s="623"/>
      <c r="AA223" s="624"/>
      <c r="AB223" s="201">
        <v>819</v>
      </c>
    </row>
    <row r="224" spans="1:28" ht="12.6" customHeight="1" x14ac:dyDescent="0.2">
      <c r="A224" s="18"/>
      <c r="B224" s="625" t="s">
        <v>748</v>
      </c>
      <c r="C224" s="626"/>
      <c r="D224" s="626"/>
      <c r="E224" s="626"/>
      <c r="F224" s="417">
        <f>7.8*X2</f>
        <v>7573.8</v>
      </c>
      <c r="G224" s="306">
        <f>+F224*$X$1</f>
        <v>7573.8</v>
      </c>
      <c r="H224" s="613">
        <f t="shared" si="475"/>
        <v>7973.8</v>
      </c>
      <c r="I224" s="306">
        <f t="shared" ref="I224:I233" si="500">+H224*$X$1</f>
        <v>7973.8</v>
      </c>
      <c r="J224" s="613">
        <f t="shared" si="477"/>
        <v>7723.8</v>
      </c>
      <c r="K224" s="306">
        <f t="shared" ref="K224:K233" si="501">+J224*$X$1</f>
        <v>7723.8</v>
      </c>
      <c r="L224" s="613">
        <f t="shared" si="479"/>
        <v>7663.8</v>
      </c>
      <c r="M224" s="306">
        <f t="shared" ref="M224:M233" si="502">+L224*$X$1</f>
        <v>7663.8</v>
      </c>
      <c r="N224" s="613">
        <f t="shared" si="481"/>
        <v>7628.8</v>
      </c>
      <c r="O224" s="306">
        <f t="shared" ref="O224:O233" si="503">+N224*$X$1</f>
        <v>7628.8</v>
      </c>
      <c r="P224" s="613">
        <f t="shared" si="483"/>
        <v>7623.8</v>
      </c>
      <c r="Q224" s="306">
        <f t="shared" ref="Q224:Q233" si="504">+P224*$X$1</f>
        <v>7623.8</v>
      </c>
      <c r="R224" s="613">
        <f t="shared" si="485"/>
        <v>7615.8</v>
      </c>
      <c r="S224" s="306">
        <f t="shared" ref="S224:S233" si="505">+R224*$X$1</f>
        <v>7615.8</v>
      </c>
      <c r="T224" s="105">
        <f t="shared" si="487"/>
        <v>7608.8</v>
      </c>
      <c r="U224" s="271">
        <f t="shared" ref="U224:U233" si="506">+T224*$X$1</f>
        <v>7608.8</v>
      </c>
      <c r="V224" s="105">
        <f t="shared" si="489"/>
        <v>7603.8</v>
      </c>
      <c r="W224" s="271">
        <f t="shared" ref="W224:W233" si="507">+V224*$X$1</f>
        <v>7603.8</v>
      </c>
      <c r="X224" s="622"/>
      <c r="Y224" s="623"/>
      <c r="Z224" s="623"/>
      <c r="AA224" s="624"/>
      <c r="AB224" s="201">
        <v>821</v>
      </c>
    </row>
    <row r="225" spans="1:34" ht="12.6" customHeight="1" x14ac:dyDescent="0.2">
      <c r="A225" s="18"/>
      <c r="B225" s="669" t="s">
        <v>543</v>
      </c>
      <c r="C225" s="670"/>
      <c r="D225" s="670"/>
      <c r="E225" s="670"/>
      <c r="F225" s="354">
        <v>15132</v>
      </c>
      <c r="G225" s="307">
        <f t="shared" ref="G225:G229" si="508">+F225*$X$1</f>
        <v>15132</v>
      </c>
      <c r="H225" s="548">
        <f t="shared" si="475"/>
        <v>15532</v>
      </c>
      <c r="I225" s="307">
        <f t="shared" si="500"/>
        <v>15532</v>
      </c>
      <c r="J225" s="548">
        <f t="shared" si="477"/>
        <v>15282</v>
      </c>
      <c r="K225" s="307">
        <f t="shared" si="501"/>
        <v>15282</v>
      </c>
      <c r="L225" s="548">
        <f t="shared" si="479"/>
        <v>15222</v>
      </c>
      <c r="M225" s="307">
        <f t="shared" si="502"/>
        <v>15222</v>
      </c>
      <c r="N225" s="548">
        <f t="shared" si="481"/>
        <v>15187</v>
      </c>
      <c r="O225" s="307">
        <f t="shared" si="503"/>
        <v>15187</v>
      </c>
      <c r="P225" s="548">
        <f t="shared" si="483"/>
        <v>15182</v>
      </c>
      <c r="Q225" s="307">
        <f t="shared" si="504"/>
        <v>15182</v>
      </c>
      <c r="R225" s="548">
        <f t="shared" si="485"/>
        <v>15174</v>
      </c>
      <c r="S225" s="307">
        <f t="shared" si="505"/>
        <v>15174</v>
      </c>
      <c r="T225" s="104">
        <f t="shared" si="487"/>
        <v>15167</v>
      </c>
      <c r="U225" s="328">
        <f t="shared" si="506"/>
        <v>15167</v>
      </c>
      <c r="V225" s="104">
        <f t="shared" si="489"/>
        <v>15162</v>
      </c>
      <c r="W225" s="328">
        <f t="shared" si="507"/>
        <v>15162</v>
      </c>
      <c r="X225" s="622"/>
      <c r="Y225" s="623"/>
      <c r="Z225" s="623"/>
      <c r="AA225" s="624"/>
      <c r="AB225" s="201">
        <v>823</v>
      </c>
    </row>
    <row r="226" spans="1:34" ht="12.6" customHeight="1" x14ac:dyDescent="0.2">
      <c r="A226" s="18"/>
      <c r="B226" s="625" t="s">
        <v>907</v>
      </c>
      <c r="C226" s="626"/>
      <c r="D226" s="626"/>
      <c r="E226" s="626"/>
      <c r="F226" s="417">
        <f>3.18*X2</f>
        <v>3087.78</v>
      </c>
      <c r="G226" s="306">
        <f>+F226*$X$1</f>
        <v>3087.78</v>
      </c>
      <c r="H226" s="613">
        <f t="shared" ref="H226" si="509">F226+400</f>
        <v>3487.78</v>
      </c>
      <c r="I226" s="306">
        <f t="shared" ref="I226" si="510">+H226*$X$1</f>
        <v>3487.78</v>
      </c>
      <c r="J226" s="613">
        <f t="shared" ref="J226" si="511">F226+150</f>
        <v>3237.78</v>
      </c>
      <c r="K226" s="306">
        <f t="shared" ref="K226" si="512">+J226*$X$1</f>
        <v>3237.78</v>
      </c>
      <c r="L226" s="613">
        <f t="shared" ref="L226" si="513">F226+90</f>
        <v>3177.78</v>
      </c>
      <c r="M226" s="306">
        <f t="shared" ref="M226" si="514">+L226*$X$1</f>
        <v>3177.78</v>
      </c>
      <c r="N226" s="613">
        <f t="shared" ref="N226" si="515">F226+55</f>
        <v>3142.78</v>
      </c>
      <c r="O226" s="306">
        <f t="shared" ref="O226" si="516">+N226*$X$1</f>
        <v>3142.78</v>
      </c>
      <c r="P226" s="613">
        <f t="shared" ref="P226" si="517">F226+50</f>
        <v>3137.78</v>
      </c>
      <c r="Q226" s="306">
        <f t="shared" ref="Q226" si="518">+P226*$X$1</f>
        <v>3137.78</v>
      </c>
      <c r="R226" s="613">
        <f t="shared" ref="R226" si="519">F226+42</f>
        <v>3129.78</v>
      </c>
      <c r="S226" s="306">
        <f t="shared" ref="S226" si="520">+R226*$X$1</f>
        <v>3129.78</v>
      </c>
      <c r="T226" s="105">
        <f t="shared" ref="T226" si="521">F226+35</f>
        <v>3122.78</v>
      </c>
      <c r="U226" s="271">
        <f t="shared" ref="U226" si="522">+T226*$X$1</f>
        <v>3122.78</v>
      </c>
      <c r="V226" s="105">
        <f t="shared" ref="V226" si="523">F226+30</f>
        <v>3117.78</v>
      </c>
      <c r="W226" s="271">
        <f t="shared" ref="W226" si="524">+V226*$X$1</f>
        <v>3117.78</v>
      </c>
      <c r="X226" s="622"/>
      <c r="Y226" s="623"/>
      <c r="Z226" s="623"/>
      <c r="AA226" s="624"/>
      <c r="AB226" s="201">
        <v>825</v>
      </c>
    </row>
    <row r="227" spans="1:34" ht="12.6" customHeight="1" x14ac:dyDescent="0.2">
      <c r="A227" s="18"/>
      <c r="B227" s="669" t="s">
        <v>743</v>
      </c>
      <c r="C227" s="670"/>
      <c r="D227" s="670"/>
      <c r="E227" s="670"/>
      <c r="F227" s="418">
        <f>7.5*X2</f>
        <v>7282.5</v>
      </c>
      <c r="G227" s="307">
        <f>+F227*$X$1</f>
        <v>7282.5</v>
      </c>
      <c r="H227" s="548">
        <f t="shared" si="475"/>
        <v>7682.5</v>
      </c>
      <c r="I227" s="307">
        <f t="shared" si="500"/>
        <v>7682.5</v>
      </c>
      <c r="J227" s="548">
        <f t="shared" si="477"/>
        <v>7432.5</v>
      </c>
      <c r="K227" s="307">
        <f t="shared" si="501"/>
        <v>7432.5</v>
      </c>
      <c r="L227" s="548">
        <f t="shared" si="479"/>
        <v>7372.5</v>
      </c>
      <c r="M227" s="307">
        <f t="shared" si="502"/>
        <v>7372.5</v>
      </c>
      <c r="N227" s="548">
        <f t="shared" si="481"/>
        <v>7337.5</v>
      </c>
      <c r="O227" s="307">
        <f t="shared" si="503"/>
        <v>7337.5</v>
      </c>
      <c r="P227" s="548">
        <f t="shared" si="483"/>
        <v>7332.5</v>
      </c>
      <c r="Q227" s="307">
        <f t="shared" si="504"/>
        <v>7332.5</v>
      </c>
      <c r="R227" s="548">
        <f t="shared" si="485"/>
        <v>7324.5</v>
      </c>
      <c r="S227" s="307">
        <f t="shared" si="505"/>
        <v>7324.5</v>
      </c>
      <c r="T227" s="104">
        <f t="shared" si="487"/>
        <v>7317.5</v>
      </c>
      <c r="U227" s="328">
        <f t="shared" si="506"/>
        <v>7317.5</v>
      </c>
      <c r="V227" s="104">
        <f t="shared" si="489"/>
        <v>7312.5</v>
      </c>
      <c r="W227" s="328">
        <f t="shared" si="507"/>
        <v>7312.5</v>
      </c>
      <c r="X227" s="622"/>
      <c r="Y227" s="623"/>
      <c r="Z227" s="623"/>
      <c r="AA227" s="624"/>
      <c r="AB227" s="201">
        <v>826</v>
      </c>
    </row>
    <row r="228" spans="1:34" ht="12.6" customHeight="1" x14ac:dyDescent="0.2">
      <c r="A228" s="18"/>
      <c r="B228" s="625" t="s">
        <v>744</v>
      </c>
      <c r="C228" s="626"/>
      <c r="D228" s="626"/>
      <c r="E228" s="626"/>
      <c r="F228" s="417">
        <f>8.781*X2</f>
        <v>8526.3510000000006</v>
      </c>
      <c r="G228" s="306">
        <f>+F228*$X$1</f>
        <v>8526.3510000000006</v>
      </c>
      <c r="H228" s="613">
        <f t="shared" si="475"/>
        <v>8926.3510000000006</v>
      </c>
      <c r="I228" s="306">
        <f t="shared" si="500"/>
        <v>8926.3510000000006</v>
      </c>
      <c r="J228" s="613">
        <f t="shared" si="477"/>
        <v>8676.3510000000006</v>
      </c>
      <c r="K228" s="306">
        <f t="shared" si="501"/>
        <v>8676.3510000000006</v>
      </c>
      <c r="L228" s="613">
        <f t="shared" si="479"/>
        <v>8616.3510000000006</v>
      </c>
      <c r="M228" s="306">
        <f t="shared" si="502"/>
        <v>8616.3510000000006</v>
      </c>
      <c r="N228" s="613">
        <f t="shared" si="481"/>
        <v>8581.3510000000006</v>
      </c>
      <c r="O228" s="306">
        <f t="shared" si="503"/>
        <v>8581.3510000000006</v>
      </c>
      <c r="P228" s="613">
        <f t="shared" si="483"/>
        <v>8576.3510000000006</v>
      </c>
      <c r="Q228" s="306">
        <f t="shared" si="504"/>
        <v>8576.3510000000006</v>
      </c>
      <c r="R228" s="613">
        <f t="shared" si="485"/>
        <v>8568.3510000000006</v>
      </c>
      <c r="S228" s="306">
        <f t="shared" si="505"/>
        <v>8568.3510000000006</v>
      </c>
      <c r="T228" s="105">
        <f t="shared" si="487"/>
        <v>8561.3510000000006</v>
      </c>
      <c r="U228" s="271">
        <f t="shared" si="506"/>
        <v>8561.3510000000006</v>
      </c>
      <c r="V228" s="105">
        <f t="shared" si="489"/>
        <v>8556.3510000000006</v>
      </c>
      <c r="W228" s="271">
        <f t="shared" si="507"/>
        <v>8556.3510000000006</v>
      </c>
      <c r="X228" s="622"/>
      <c r="Y228" s="623"/>
      <c r="Z228" s="623"/>
      <c r="AA228" s="624"/>
      <c r="AB228" s="201">
        <v>828</v>
      </c>
    </row>
    <row r="229" spans="1:34" ht="12.6" customHeight="1" x14ac:dyDescent="0.2">
      <c r="A229" s="18"/>
      <c r="B229" s="669" t="s">
        <v>660</v>
      </c>
      <c r="C229" s="670"/>
      <c r="D229" s="670"/>
      <c r="E229" s="670"/>
      <c r="F229" s="418">
        <f>3.612*X2</f>
        <v>3507.252</v>
      </c>
      <c r="G229" s="307">
        <f t="shared" si="508"/>
        <v>3507.252</v>
      </c>
      <c r="H229" s="548">
        <f t="shared" si="475"/>
        <v>3907.252</v>
      </c>
      <c r="I229" s="307">
        <f t="shared" si="500"/>
        <v>3907.252</v>
      </c>
      <c r="J229" s="548">
        <f t="shared" si="477"/>
        <v>3657.252</v>
      </c>
      <c r="K229" s="307">
        <f t="shared" si="501"/>
        <v>3657.252</v>
      </c>
      <c r="L229" s="548">
        <f t="shared" si="479"/>
        <v>3597.252</v>
      </c>
      <c r="M229" s="307">
        <f t="shared" si="502"/>
        <v>3597.252</v>
      </c>
      <c r="N229" s="548">
        <f t="shared" si="481"/>
        <v>3562.252</v>
      </c>
      <c r="O229" s="307">
        <f t="shared" si="503"/>
        <v>3562.252</v>
      </c>
      <c r="P229" s="548">
        <f t="shared" si="483"/>
        <v>3557.252</v>
      </c>
      <c r="Q229" s="307">
        <f t="shared" si="504"/>
        <v>3557.252</v>
      </c>
      <c r="R229" s="548">
        <f t="shared" si="485"/>
        <v>3549.252</v>
      </c>
      <c r="S229" s="307">
        <f t="shared" si="505"/>
        <v>3549.252</v>
      </c>
      <c r="T229" s="104">
        <f t="shared" si="487"/>
        <v>3542.252</v>
      </c>
      <c r="U229" s="328">
        <f t="shared" si="506"/>
        <v>3542.252</v>
      </c>
      <c r="V229" s="104">
        <f t="shared" si="489"/>
        <v>3537.252</v>
      </c>
      <c r="W229" s="328">
        <f t="shared" si="507"/>
        <v>3537.252</v>
      </c>
      <c r="X229" s="622"/>
      <c r="Y229" s="623"/>
      <c r="Z229" s="623"/>
      <c r="AA229" s="624"/>
      <c r="AB229" s="201">
        <v>829</v>
      </c>
    </row>
    <row r="230" spans="1:34" ht="12.6" customHeight="1" x14ac:dyDescent="0.2">
      <c r="A230" s="18"/>
      <c r="B230" s="625" t="s">
        <v>908</v>
      </c>
      <c r="C230" s="626"/>
      <c r="D230" s="626"/>
      <c r="E230" s="626"/>
      <c r="F230" s="417">
        <f>10.26*X2</f>
        <v>9962.4599999999991</v>
      </c>
      <c r="G230" s="306">
        <f>+F230*$X$1</f>
        <v>9962.4599999999991</v>
      </c>
      <c r="H230" s="613">
        <f t="shared" ref="H230" si="525">F230+400</f>
        <v>10362.459999999999</v>
      </c>
      <c r="I230" s="306">
        <f t="shared" ref="I230" si="526">+H230*$X$1</f>
        <v>10362.459999999999</v>
      </c>
      <c r="J230" s="613">
        <f t="shared" ref="J230" si="527">F230+150</f>
        <v>10112.459999999999</v>
      </c>
      <c r="K230" s="306">
        <f t="shared" ref="K230" si="528">+J230*$X$1</f>
        <v>10112.459999999999</v>
      </c>
      <c r="L230" s="613">
        <f t="shared" ref="L230" si="529">F230+90</f>
        <v>10052.459999999999</v>
      </c>
      <c r="M230" s="306">
        <f t="shared" ref="M230" si="530">+L230*$X$1</f>
        <v>10052.459999999999</v>
      </c>
      <c r="N230" s="613">
        <f t="shared" ref="N230" si="531">F230+55</f>
        <v>10017.459999999999</v>
      </c>
      <c r="O230" s="306">
        <f t="shared" ref="O230" si="532">+N230*$X$1</f>
        <v>10017.459999999999</v>
      </c>
      <c r="P230" s="613">
        <f t="shared" ref="P230" si="533">F230+50</f>
        <v>10012.459999999999</v>
      </c>
      <c r="Q230" s="306">
        <f t="shared" ref="Q230" si="534">+P230*$X$1</f>
        <v>10012.459999999999</v>
      </c>
      <c r="R230" s="613">
        <f t="shared" ref="R230" si="535">F230+42</f>
        <v>10004.459999999999</v>
      </c>
      <c r="S230" s="306">
        <f t="shared" ref="S230" si="536">+R230*$X$1</f>
        <v>10004.459999999999</v>
      </c>
      <c r="T230" s="105">
        <f t="shared" ref="T230" si="537">F230+35</f>
        <v>9997.4599999999991</v>
      </c>
      <c r="U230" s="271">
        <f t="shared" ref="U230" si="538">+T230*$X$1</f>
        <v>9997.4599999999991</v>
      </c>
      <c r="V230" s="105">
        <f t="shared" ref="V230" si="539">F230+30</f>
        <v>9992.4599999999991</v>
      </c>
      <c r="W230" s="271">
        <f t="shared" ref="W230" si="540">+V230*$X$1</f>
        <v>9992.4599999999991</v>
      </c>
      <c r="X230" s="622"/>
      <c r="Y230" s="623"/>
      <c r="Z230" s="623"/>
      <c r="AA230" s="624"/>
      <c r="AB230" s="201">
        <v>831</v>
      </c>
    </row>
    <row r="231" spans="1:34" ht="12.6" customHeight="1" x14ac:dyDescent="0.2">
      <c r="A231" s="18"/>
      <c r="B231" s="669" t="s">
        <v>600</v>
      </c>
      <c r="C231" s="670"/>
      <c r="D231" s="670"/>
      <c r="E231" s="670"/>
      <c r="F231" s="418">
        <f>13.042*X2</f>
        <v>12663.781999999999</v>
      </c>
      <c r="G231" s="307">
        <f t="shared" ref="G231" si="541">+F231*$X$1</f>
        <v>12663.781999999999</v>
      </c>
      <c r="H231" s="548">
        <f t="shared" si="475"/>
        <v>13063.781999999999</v>
      </c>
      <c r="I231" s="307">
        <f t="shared" si="500"/>
        <v>13063.781999999999</v>
      </c>
      <c r="J231" s="548">
        <f t="shared" si="477"/>
        <v>12813.781999999999</v>
      </c>
      <c r="K231" s="307">
        <f t="shared" si="501"/>
        <v>12813.781999999999</v>
      </c>
      <c r="L231" s="548">
        <f t="shared" si="479"/>
        <v>12753.781999999999</v>
      </c>
      <c r="M231" s="307">
        <f t="shared" si="502"/>
        <v>12753.781999999999</v>
      </c>
      <c r="N231" s="548">
        <f t="shared" si="481"/>
        <v>12718.781999999999</v>
      </c>
      <c r="O231" s="307">
        <f t="shared" si="503"/>
        <v>12718.781999999999</v>
      </c>
      <c r="P231" s="548">
        <f t="shared" si="483"/>
        <v>12713.781999999999</v>
      </c>
      <c r="Q231" s="307">
        <f t="shared" si="504"/>
        <v>12713.781999999999</v>
      </c>
      <c r="R231" s="548">
        <f t="shared" si="485"/>
        <v>12705.781999999999</v>
      </c>
      <c r="S231" s="307">
        <f t="shared" si="505"/>
        <v>12705.781999999999</v>
      </c>
      <c r="T231" s="104">
        <f t="shared" si="487"/>
        <v>12698.781999999999</v>
      </c>
      <c r="U231" s="328">
        <f t="shared" si="506"/>
        <v>12698.781999999999</v>
      </c>
      <c r="V231" s="104">
        <f t="shared" si="489"/>
        <v>12693.781999999999</v>
      </c>
      <c r="W231" s="328">
        <f t="shared" si="507"/>
        <v>12693.781999999999</v>
      </c>
      <c r="X231" s="622"/>
      <c r="Y231" s="623"/>
      <c r="Z231" s="623"/>
      <c r="AA231" s="624"/>
      <c r="AB231" s="201">
        <v>833</v>
      </c>
    </row>
    <row r="232" spans="1:34" ht="12.6" customHeight="1" x14ac:dyDescent="0.2">
      <c r="A232" s="18"/>
      <c r="B232" s="625" t="s">
        <v>656</v>
      </c>
      <c r="C232" s="626"/>
      <c r="D232" s="626"/>
      <c r="E232" s="626"/>
      <c r="F232" s="417">
        <f>9.8*X2</f>
        <v>9515.8000000000011</v>
      </c>
      <c r="G232" s="306">
        <f t="shared" ref="G232:G233" si="542">+F232*$X$1</f>
        <v>9515.8000000000011</v>
      </c>
      <c r="H232" s="613">
        <f t="shared" si="475"/>
        <v>9915.8000000000011</v>
      </c>
      <c r="I232" s="306">
        <f t="shared" si="500"/>
        <v>9915.8000000000011</v>
      </c>
      <c r="J232" s="613">
        <f t="shared" si="477"/>
        <v>9665.8000000000011</v>
      </c>
      <c r="K232" s="306">
        <f t="shared" si="501"/>
        <v>9665.8000000000011</v>
      </c>
      <c r="L232" s="613">
        <f t="shared" si="479"/>
        <v>9605.8000000000011</v>
      </c>
      <c r="M232" s="306">
        <f t="shared" si="502"/>
        <v>9605.8000000000011</v>
      </c>
      <c r="N232" s="613">
        <f t="shared" si="481"/>
        <v>9570.8000000000011</v>
      </c>
      <c r="O232" s="306">
        <f t="shared" si="503"/>
        <v>9570.8000000000011</v>
      </c>
      <c r="P232" s="613">
        <f t="shared" si="483"/>
        <v>9565.8000000000011</v>
      </c>
      <c r="Q232" s="306">
        <f t="shared" si="504"/>
        <v>9565.8000000000011</v>
      </c>
      <c r="R232" s="613">
        <f t="shared" si="485"/>
        <v>9557.8000000000011</v>
      </c>
      <c r="S232" s="306">
        <f t="shared" si="505"/>
        <v>9557.8000000000011</v>
      </c>
      <c r="T232" s="105">
        <f t="shared" si="487"/>
        <v>9550.8000000000011</v>
      </c>
      <c r="U232" s="271">
        <f t="shared" si="506"/>
        <v>9550.8000000000011</v>
      </c>
      <c r="V232" s="105">
        <f t="shared" si="489"/>
        <v>9545.8000000000011</v>
      </c>
      <c r="W232" s="271">
        <f t="shared" si="507"/>
        <v>9545.8000000000011</v>
      </c>
      <c r="X232" s="622"/>
      <c r="Y232" s="623"/>
      <c r="Z232" s="623"/>
      <c r="AA232" s="624"/>
      <c r="AB232" s="201">
        <v>834</v>
      </c>
    </row>
    <row r="233" spans="1:34" ht="12.6" customHeight="1" x14ac:dyDescent="0.2">
      <c r="A233" s="18"/>
      <c r="B233" s="669" t="s">
        <v>658</v>
      </c>
      <c r="C233" s="670"/>
      <c r="D233" s="670"/>
      <c r="E233" s="670"/>
      <c r="F233" s="418">
        <f>7.188*X2</f>
        <v>6979.5479999999998</v>
      </c>
      <c r="G233" s="307">
        <f t="shared" si="542"/>
        <v>6979.5479999999998</v>
      </c>
      <c r="H233" s="548">
        <f t="shared" si="475"/>
        <v>7379.5479999999998</v>
      </c>
      <c r="I233" s="307">
        <f t="shared" si="500"/>
        <v>7379.5479999999998</v>
      </c>
      <c r="J233" s="548">
        <f t="shared" si="477"/>
        <v>7129.5479999999998</v>
      </c>
      <c r="K233" s="307">
        <f t="shared" si="501"/>
        <v>7129.5479999999998</v>
      </c>
      <c r="L233" s="548">
        <f t="shared" si="479"/>
        <v>7069.5479999999998</v>
      </c>
      <c r="M233" s="307">
        <f t="shared" si="502"/>
        <v>7069.5479999999998</v>
      </c>
      <c r="N233" s="548">
        <f t="shared" si="481"/>
        <v>7034.5479999999998</v>
      </c>
      <c r="O233" s="307">
        <f t="shared" si="503"/>
        <v>7034.5479999999998</v>
      </c>
      <c r="P233" s="548">
        <f t="shared" si="483"/>
        <v>7029.5479999999998</v>
      </c>
      <c r="Q233" s="307">
        <f t="shared" si="504"/>
        <v>7029.5479999999998</v>
      </c>
      <c r="R233" s="548">
        <f t="shared" si="485"/>
        <v>7021.5479999999998</v>
      </c>
      <c r="S233" s="307">
        <f t="shared" si="505"/>
        <v>7021.5479999999998</v>
      </c>
      <c r="T233" s="104">
        <f t="shared" si="487"/>
        <v>7014.5479999999998</v>
      </c>
      <c r="U233" s="328">
        <f t="shared" si="506"/>
        <v>7014.5479999999998</v>
      </c>
      <c r="V233" s="104">
        <f t="shared" si="489"/>
        <v>7009.5479999999998</v>
      </c>
      <c r="W233" s="328">
        <f t="shared" si="507"/>
        <v>7009.5479999999998</v>
      </c>
      <c r="X233" s="622"/>
      <c r="Y233" s="623"/>
      <c r="Z233" s="623"/>
      <c r="AA233" s="624"/>
      <c r="AB233" s="201">
        <v>836</v>
      </c>
    </row>
    <row r="234" spans="1:34" ht="12.6" customHeight="1" x14ac:dyDescent="0.2">
      <c r="A234" s="18"/>
      <c r="B234" s="721" t="s">
        <v>524</v>
      </c>
      <c r="C234" s="722"/>
      <c r="D234" s="722"/>
      <c r="E234" s="722"/>
      <c r="F234" s="423">
        <f>8.45*X2</f>
        <v>8204.9499999999989</v>
      </c>
      <c r="G234" s="329">
        <f>+F234*$X$1</f>
        <v>8204.9499999999989</v>
      </c>
      <c r="H234" s="613">
        <f>F234+400</f>
        <v>8604.9499999999989</v>
      </c>
      <c r="I234" s="306">
        <f>+H234*$X$1</f>
        <v>8604.9499999999989</v>
      </c>
      <c r="J234" s="613">
        <f>F234+150</f>
        <v>8354.9499999999989</v>
      </c>
      <c r="K234" s="306">
        <f>+J234*$X$1</f>
        <v>8354.9499999999989</v>
      </c>
      <c r="L234" s="613">
        <f>F234+90</f>
        <v>8294.9499999999989</v>
      </c>
      <c r="M234" s="306">
        <f>+L234*$X$1</f>
        <v>8294.9499999999989</v>
      </c>
      <c r="N234" s="613">
        <f>F234+55</f>
        <v>8259.9499999999989</v>
      </c>
      <c r="O234" s="306">
        <f>+N234*$X$1</f>
        <v>8259.9499999999989</v>
      </c>
      <c r="P234" s="613">
        <f>F234+50</f>
        <v>8254.9499999999989</v>
      </c>
      <c r="Q234" s="306">
        <f>+P234*$X$1</f>
        <v>8254.9499999999989</v>
      </c>
      <c r="R234" s="613">
        <f>F234+42</f>
        <v>8246.9499999999989</v>
      </c>
      <c r="S234" s="306">
        <f>+R234*$X$1</f>
        <v>8246.9499999999989</v>
      </c>
      <c r="T234" s="105">
        <f>F234+35</f>
        <v>8239.9499999999989</v>
      </c>
      <c r="U234" s="271">
        <f>+T234*$X$1</f>
        <v>8239.9499999999989</v>
      </c>
      <c r="V234" s="105">
        <f>F234+30</f>
        <v>8234.9499999999989</v>
      </c>
      <c r="W234" s="271">
        <f>+V234*$X$1</f>
        <v>8234.9499999999989</v>
      </c>
      <c r="X234" s="622"/>
      <c r="Y234" s="623"/>
      <c r="Z234" s="623"/>
      <c r="AA234" s="624"/>
      <c r="AB234" s="452">
        <v>916</v>
      </c>
    </row>
    <row r="235" spans="1:34" ht="12" customHeight="1" x14ac:dyDescent="0.2">
      <c r="A235" s="18"/>
      <c r="B235" s="3"/>
      <c r="C235" s="3"/>
      <c r="D235" s="3"/>
      <c r="E235" s="3"/>
      <c r="F235" s="4"/>
      <c r="G235" s="4"/>
      <c r="H235" s="3"/>
      <c r="I235" s="3"/>
      <c r="J235" s="3"/>
      <c r="K235" s="175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AB235" s="101"/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5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AB236" s="4"/>
    </row>
    <row r="237" spans="1:34" ht="12.6" customHeight="1" x14ac:dyDescent="0.2">
      <c r="A237" s="18"/>
      <c r="B237" s="3"/>
      <c r="C237" s="3"/>
      <c r="D237" s="3"/>
      <c r="E237" s="76"/>
      <c r="F237" s="1027"/>
      <c r="G237" s="1027"/>
      <c r="H237" s="1027"/>
      <c r="I237" s="1027"/>
      <c r="J237" s="1027"/>
      <c r="K237" s="293"/>
      <c r="L237" s="292"/>
      <c r="M237" s="292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AB237" s="4"/>
    </row>
    <row r="238" spans="1:34" ht="15.75" customHeight="1" x14ac:dyDescent="0.2">
      <c r="A238" s="18"/>
      <c r="B238" s="914" t="s">
        <v>11</v>
      </c>
      <c r="C238" s="1033" t="s">
        <v>12</v>
      </c>
      <c r="D238" s="1034"/>
      <c r="E238" s="1034"/>
      <c r="F238" s="813" t="s">
        <v>13</v>
      </c>
      <c r="G238" s="813" t="s">
        <v>13</v>
      </c>
      <c r="H238" s="660" t="s">
        <v>870</v>
      </c>
      <c r="I238" s="660"/>
      <c r="J238" s="661"/>
      <c r="K238" s="661"/>
      <c r="L238" s="661"/>
      <c r="M238" s="661"/>
      <c r="N238" s="661"/>
      <c r="O238" s="661"/>
      <c r="P238" s="661"/>
      <c r="Q238" s="661"/>
      <c r="R238" s="661"/>
      <c r="S238" s="661"/>
      <c r="T238" s="661"/>
      <c r="U238" s="661"/>
      <c r="V238" s="661"/>
      <c r="W238" s="661"/>
      <c r="X238" s="632" t="s">
        <v>14</v>
      </c>
      <c r="Y238" s="633"/>
      <c r="Z238" s="633"/>
      <c r="AA238" s="634"/>
      <c r="AB238" s="630" t="s">
        <v>15</v>
      </c>
      <c r="AF238" s="628" t="s">
        <v>3</v>
      </c>
      <c r="AG238" s="629"/>
      <c r="AH238" s="629"/>
    </row>
    <row r="239" spans="1:34" ht="11.25" customHeight="1" x14ac:dyDescent="0.2">
      <c r="A239" s="18"/>
      <c r="B239" s="914"/>
      <c r="C239" s="1034"/>
      <c r="D239" s="1034"/>
      <c r="E239" s="1034"/>
      <c r="F239" s="814"/>
      <c r="G239" s="814"/>
      <c r="H239" s="591"/>
      <c r="I239" s="583" t="s">
        <v>301</v>
      </c>
      <c r="J239" s="585"/>
      <c r="K239" s="583" t="s">
        <v>17</v>
      </c>
      <c r="L239" s="586"/>
      <c r="M239" s="586" t="s">
        <v>18</v>
      </c>
      <c r="N239" s="586"/>
      <c r="O239" s="583" t="s">
        <v>19</v>
      </c>
      <c r="P239" s="586"/>
      <c r="Q239" s="586" t="s">
        <v>303</v>
      </c>
      <c r="R239" s="586"/>
      <c r="S239" s="586" t="s">
        <v>20</v>
      </c>
      <c r="T239" s="586"/>
      <c r="U239" s="586" t="s">
        <v>21</v>
      </c>
      <c r="V239" s="586"/>
      <c r="W239" s="586" t="s">
        <v>22</v>
      </c>
      <c r="X239" s="635"/>
      <c r="Y239" s="636"/>
      <c r="Z239" s="636"/>
      <c r="AA239" s="637"/>
      <c r="AB239" s="631"/>
    </row>
    <row r="240" spans="1:34" ht="12.6" customHeight="1" x14ac:dyDescent="0.2">
      <c r="A240" s="18"/>
      <c r="B240" s="693" t="s">
        <v>853</v>
      </c>
      <c r="C240" s="837"/>
      <c r="D240" s="837"/>
      <c r="E240" s="837"/>
      <c r="F240" s="418">
        <f>7.1*X2</f>
        <v>6894.0999999999995</v>
      </c>
      <c r="G240" s="307">
        <f>+F240*$X$1</f>
        <v>6894.0999999999995</v>
      </c>
      <c r="H240" s="548">
        <f>F240+400</f>
        <v>7294.0999999999995</v>
      </c>
      <c r="I240" s="307">
        <f>+H240*$X$1</f>
        <v>7294.0999999999995</v>
      </c>
      <c r="J240" s="548">
        <f>F240+150</f>
        <v>7044.0999999999995</v>
      </c>
      <c r="K240" s="307">
        <f>+J240*$X$1</f>
        <v>7044.0999999999995</v>
      </c>
      <c r="L240" s="548">
        <f>F240+90</f>
        <v>6984.0999999999995</v>
      </c>
      <c r="M240" s="307">
        <f>+L240*$X$1</f>
        <v>6984.0999999999995</v>
      </c>
      <c r="N240" s="548">
        <f>F240+55</f>
        <v>6949.0999999999995</v>
      </c>
      <c r="O240" s="307">
        <f>+N240*$X$1</f>
        <v>6949.0999999999995</v>
      </c>
      <c r="P240" s="548">
        <f>F240+50</f>
        <v>6944.0999999999995</v>
      </c>
      <c r="Q240" s="307">
        <f>+P240*$X$1</f>
        <v>6944.0999999999995</v>
      </c>
      <c r="R240" s="548">
        <f>F240+42</f>
        <v>6936.0999999999995</v>
      </c>
      <c r="S240" s="307">
        <f>+R240*$X$1</f>
        <v>6936.0999999999995</v>
      </c>
      <c r="T240" s="104">
        <f>F240+35</f>
        <v>6929.0999999999995</v>
      </c>
      <c r="U240" s="328">
        <f>+T240*$X$1</f>
        <v>6929.0999999999995</v>
      </c>
      <c r="V240" s="104">
        <f>F240+30</f>
        <v>6924.0999999999995</v>
      </c>
      <c r="W240" s="328">
        <f>+V240*$X$1</f>
        <v>6924.0999999999995</v>
      </c>
      <c r="X240" s="622"/>
      <c r="Y240" s="623"/>
      <c r="Z240" s="623"/>
      <c r="AA240" s="624"/>
      <c r="AB240" s="201">
        <v>917</v>
      </c>
    </row>
    <row r="241" spans="1:33" ht="12.6" customHeight="1" x14ac:dyDescent="0.2">
      <c r="A241" s="18"/>
      <c r="B241" s="625" t="s">
        <v>205</v>
      </c>
      <c r="C241" s="626"/>
      <c r="D241" s="626"/>
      <c r="E241" s="626"/>
      <c r="F241" s="417">
        <f>9.41*X2</f>
        <v>9137.11</v>
      </c>
      <c r="G241" s="306">
        <f>+F241*$X$1</f>
        <v>9137.11</v>
      </c>
      <c r="H241" s="613">
        <f>F241+400</f>
        <v>9537.11</v>
      </c>
      <c r="I241" s="306">
        <f>+H241*$X$1</f>
        <v>9537.11</v>
      </c>
      <c r="J241" s="613">
        <f>F241+150</f>
        <v>9287.11</v>
      </c>
      <c r="K241" s="306">
        <f t="shared" ref="K241" si="543">+J241*$X$1</f>
        <v>9287.11</v>
      </c>
      <c r="L241" s="613">
        <f>F241+90</f>
        <v>9227.11</v>
      </c>
      <c r="M241" s="306">
        <f t="shared" ref="M241" si="544">+L241*$X$1</f>
        <v>9227.11</v>
      </c>
      <c r="N241" s="613">
        <f>F241+55</f>
        <v>9192.11</v>
      </c>
      <c r="O241" s="306">
        <f t="shared" ref="O241" si="545">+N241*$X$1</f>
        <v>9192.11</v>
      </c>
      <c r="P241" s="613">
        <f>F241+50</f>
        <v>9187.11</v>
      </c>
      <c r="Q241" s="306">
        <f t="shared" ref="Q241" si="546">+P241*$X$1</f>
        <v>9187.11</v>
      </c>
      <c r="R241" s="613">
        <f>F241+42</f>
        <v>9179.11</v>
      </c>
      <c r="S241" s="306">
        <f t="shared" ref="S241" si="547">+R241*$X$1</f>
        <v>9179.11</v>
      </c>
      <c r="T241" s="105">
        <f>F241+35</f>
        <v>9172.11</v>
      </c>
      <c r="U241" s="271">
        <f t="shared" ref="U241" si="548">+T241*$X$1</f>
        <v>9172.11</v>
      </c>
      <c r="V241" s="105">
        <f>F241+30</f>
        <v>9167.11</v>
      </c>
      <c r="W241" s="271">
        <f t="shared" ref="W241" si="549">+V241*$X$1</f>
        <v>9167.11</v>
      </c>
      <c r="X241" s="1035"/>
      <c r="Y241" s="1036"/>
      <c r="Z241" s="1036"/>
      <c r="AA241" s="1037"/>
      <c r="AB241" s="463">
        <v>918</v>
      </c>
    </row>
    <row r="242" spans="1:33" ht="12.6" customHeight="1" x14ac:dyDescent="0.2">
      <c r="A242" s="18"/>
      <c r="B242" s="669" t="s">
        <v>470</v>
      </c>
      <c r="C242" s="670"/>
      <c r="D242" s="670"/>
      <c r="E242" s="670"/>
      <c r="F242" s="418">
        <f>9.331*X2</f>
        <v>9060.4009999999998</v>
      </c>
      <c r="G242" s="307">
        <f>+F242*$X$1</f>
        <v>9060.4009999999998</v>
      </c>
      <c r="H242" s="548">
        <f t="shared" ref="H242:H256" si="550">F242+400</f>
        <v>9460.4009999999998</v>
      </c>
      <c r="I242" s="307">
        <f t="shared" ref="I242:I256" si="551">+H242*$X$1</f>
        <v>9460.4009999999998</v>
      </c>
      <c r="J242" s="548">
        <f t="shared" ref="J242:J256" si="552">F242+150</f>
        <v>9210.4009999999998</v>
      </c>
      <c r="K242" s="307">
        <f t="shared" ref="K242:K256" si="553">+J242*$X$1</f>
        <v>9210.4009999999998</v>
      </c>
      <c r="L242" s="548">
        <f t="shared" ref="L242:L256" si="554">F242+90</f>
        <v>9150.4009999999998</v>
      </c>
      <c r="M242" s="307">
        <f t="shared" ref="M242:M256" si="555">+L242*$X$1</f>
        <v>9150.4009999999998</v>
      </c>
      <c r="N242" s="548">
        <f t="shared" ref="N242:N256" si="556">F242+55</f>
        <v>9115.4009999999998</v>
      </c>
      <c r="O242" s="307">
        <f t="shared" ref="O242:O256" si="557">+N242*$X$1</f>
        <v>9115.4009999999998</v>
      </c>
      <c r="P242" s="548">
        <f t="shared" ref="P242:P256" si="558">F242+50</f>
        <v>9110.4009999999998</v>
      </c>
      <c r="Q242" s="307">
        <f t="shared" ref="Q242:Q256" si="559">+P242*$X$1</f>
        <v>9110.4009999999998</v>
      </c>
      <c r="R242" s="548">
        <f t="shared" ref="R242:R256" si="560">F242+42</f>
        <v>9102.4009999999998</v>
      </c>
      <c r="S242" s="307">
        <f t="shared" ref="S242:S256" si="561">+R242*$X$1</f>
        <v>9102.4009999999998</v>
      </c>
      <c r="T242" s="104">
        <f t="shared" ref="T242:T256" si="562">F242+35</f>
        <v>9095.4009999999998</v>
      </c>
      <c r="U242" s="328">
        <f t="shared" ref="U242:U256" si="563">+T242*$X$1</f>
        <v>9095.4009999999998</v>
      </c>
      <c r="V242" s="104">
        <f t="shared" ref="V242:V256" si="564">F242+30</f>
        <v>9090.4009999999998</v>
      </c>
      <c r="W242" s="328">
        <f t="shared" ref="W242:W256" si="565">+V242*$X$1</f>
        <v>9090.4009999999998</v>
      </c>
      <c r="X242" s="622"/>
      <c r="Y242" s="761"/>
      <c r="Z242" s="761"/>
      <c r="AA242" s="624"/>
      <c r="AB242" s="201">
        <v>919</v>
      </c>
    </row>
    <row r="243" spans="1:33" ht="12.6" customHeight="1" x14ac:dyDescent="0.2">
      <c r="A243" s="18"/>
      <c r="B243" s="625" t="s">
        <v>878</v>
      </c>
      <c r="C243" s="626"/>
      <c r="D243" s="626"/>
      <c r="E243" s="626"/>
      <c r="F243" s="417">
        <f>8.303*X2</f>
        <v>8062.2130000000006</v>
      </c>
      <c r="G243" s="306">
        <f t="shared" ref="G243:G246" si="566">+F243*$X$1</f>
        <v>8062.2130000000006</v>
      </c>
      <c r="H243" s="613">
        <f t="shared" si="550"/>
        <v>8462.2129999999997</v>
      </c>
      <c r="I243" s="306">
        <f t="shared" si="551"/>
        <v>8462.2129999999997</v>
      </c>
      <c r="J243" s="613">
        <f t="shared" si="552"/>
        <v>8212.2129999999997</v>
      </c>
      <c r="K243" s="306">
        <f t="shared" si="553"/>
        <v>8212.2129999999997</v>
      </c>
      <c r="L243" s="613">
        <f t="shared" si="554"/>
        <v>8152.2130000000006</v>
      </c>
      <c r="M243" s="306">
        <f t="shared" si="555"/>
        <v>8152.2130000000006</v>
      </c>
      <c r="N243" s="613">
        <f t="shared" si="556"/>
        <v>8117.2130000000006</v>
      </c>
      <c r="O243" s="306">
        <f t="shared" si="557"/>
        <v>8117.2130000000006</v>
      </c>
      <c r="P243" s="613">
        <f t="shared" si="558"/>
        <v>8112.2130000000006</v>
      </c>
      <c r="Q243" s="306">
        <f t="shared" si="559"/>
        <v>8112.2130000000006</v>
      </c>
      <c r="R243" s="613">
        <f t="shared" si="560"/>
        <v>8104.2130000000006</v>
      </c>
      <c r="S243" s="306">
        <f t="shared" si="561"/>
        <v>8104.2130000000006</v>
      </c>
      <c r="T243" s="105">
        <f t="shared" si="562"/>
        <v>8097.2130000000006</v>
      </c>
      <c r="U243" s="271">
        <f t="shared" si="563"/>
        <v>8097.2130000000006</v>
      </c>
      <c r="V243" s="105">
        <f t="shared" si="564"/>
        <v>8092.2130000000006</v>
      </c>
      <c r="W243" s="271">
        <f t="shared" si="565"/>
        <v>8092.2130000000006</v>
      </c>
      <c r="X243" s="622"/>
      <c r="Y243" s="623"/>
      <c r="Z243" s="623"/>
      <c r="AA243" s="624"/>
      <c r="AB243" s="201">
        <v>920</v>
      </c>
    </row>
    <row r="244" spans="1:33" ht="12.6" customHeight="1" x14ac:dyDescent="0.2">
      <c r="A244" s="18"/>
      <c r="B244" s="669" t="s">
        <v>877</v>
      </c>
      <c r="C244" s="670"/>
      <c r="D244" s="670"/>
      <c r="E244" s="670"/>
      <c r="F244" s="418">
        <f>8.303*X2</f>
        <v>8062.2130000000006</v>
      </c>
      <c r="G244" s="307">
        <f t="shared" ref="G244" si="567">+F244*$X$1</f>
        <v>8062.2130000000006</v>
      </c>
      <c r="H244" s="548">
        <f t="shared" si="550"/>
        <v>8462.2129999999997</v>
      </c>
      <c r="I244" s="307">
        <f t="shared" si="551"/>
        <v>8462.2129999999997</v>
      </c>
      <c r="J244" s="548">
        <f t="shared" si="552"/>
        <v>8212.2129999999997</v>
      </c>
      <c r="K244" s="307">
        <f t="shared" si="553"/>
        <v>8212.2129999999997</v>
      </c>
      <c r="L244" s="548">
        <f t="shared" si="554"/>
        <v>8152.2130000000006</v>
      </c>
      <c r="M244" s="307">
        <f t="shared" si="555"/>
        <v>8152.2130000000006</v>
      </c>
      <c r="N244" s="548">
        <f t="shared" si="556"/>
        <v>8117.2130000000006</v>
      </c>
      <c r="O244" s="307">
        <f t="shared" si="557"/>
        <v>8117.2130000000006</v>
      </c>
      <c r="P244" s="548">
        <f t="shared" si="558"/>
        <v>8112.2130000000006</v>
      </c>
      <c r="Q244" s="307">
        <f t="shared" si="559"/>
        <v>8112.2130000000006</v>
      </c>
      <c r="R244" s="548">
        <f t="shared" si="560"/>
        <v>8104.2130000000006</v>
      </c>
      <c r="S244" s="307">
        <f t="shared" si="561"/>
        <v>8104.2130000000006</v>
      </c>
      <c r="T244" s="104">
        <f t="shared" si="562"/>
        <v>8097.2130000000006</v>
      </c>
      <c r="U244" s="328">
        <f t="shared" si="563"/>
        <v>8097.2130000000006</v>
      </c>
      <c r="V244" s="104">
        <f t="shared" si="564"/>
        <v>8092.2130000000006</v>
      </c>
      <c r="W244" s="328">
        <f t="shared" si="565"/>
        <v>8092.2130000000006</v>
      </c>
      <c r="X244" s="622"/>
      <c r="Y244" s="623"/>
      <c r="Z244" s="623"/>
      <c r="AA244" s="624"/>
      <c r="AB244" s="201" t="s">
        <v>879</v>
      </c>
    </row>
    <row r="245" spans="1:33" ht="12.6" customHeight="1" x14ac:dyDescent="0.2">
      <c r="A245" s="18"/>
      <c r="B245" s="625" t="s">
        <v>883</v>
      </c>
      <c r="C245" s="626"/>
      <c r="D245" s="626"/>
      <c r="E245" s="626"/>
      <c r="F245" s="417">
        <f>8.1*X2</f>
        <v>7865.0999999999995</v>
      </c>
      <c r="G245" s="306">
        <f t="shared" si="566"/>
        <v>7865.0999999999995</v>
      </c>
      <c r="H245" s="613">
        <f t="shared" si="550"/>
        <v>8265.0999999999985</v>
      </c>
      <c r="I245" s="306">
        <f t="shared" si="551"/>
        <v>8265.0999999999985</v>
      </c>
      <c r="J245" s="613">
        <f t="shared" si="552"/>
        <v>8015.0999999999995</v>
      </c>
      <c r="K245" s="306">
        <f t="shared" si="553"/>
        <v>8015.0999999999995</v>
      </c>
      <c r="L245" s="613">
        <f t="shared" si="554"/>
        <v>7955.0999999999995</v>
      </c>
      <c r="M245" s="306">
        <f t="shared" si="555"/>
        <v>7955.0999999999995</v>
      </c>
      <c r="N245" s="613">
        <f t="shared" si="556"/>
        <v>7920.0999999999995</v>
      </c>
      <c r="O245" s="306">
        <f t="shared" si="557"/>
        <v>7920.0999999999995</v>
      </c>
      <c r="P245" s="613">
        <f t="shared" si="558"/>
        <v>7915.0999999999995</v>
      </c>
      <c r="Q245" s="306">
        <f t="shared" si="559"/>
        <v>7915.0999999999995</v>
      </c>
      <c r="R245" s="613">
        <f t="shared" si="560"/>
        <v>7907.0999999999995</v>
      </c>
      <c r="S245" s="306">
        <f t="shared" si="561"/>
        <v>7907.0999999999995</v>
      </c>
      <c r="T245" s="105">
        <f t="shared" si="562"/>
        <v>7900.0999999999995</v>
      </c>
      <c r="U245" s="271">
        <f t="shared" si="563"/>
        <v>7900.0999999999995</v>
      </c>
      <c r="V245" s="105">
        <f t="shared" si="564"/>
        <v>7895.0999999999995</v>
      </c>
      <c r="W245" s="271">
        <f t="shared" si="565"/>
        <v>7895.0999999999995</v>
      </c>
      <c r="X245" s="622"/>
      <c r="Y245" s="623"/>
      <c r="Z245" s="623"/>
      <c r="AA245" s="624"/>
      <c r="AB245" s="201">
        <v>921</v>
      </c>
    </row>
    <row r="246" spans="1:33" ht="12.6" customHeight="1" x14ac:dyDescent="0.2">
      <c r="A246" s="18"/>
      <c r="B246" s="693" t="s">
        <v>854</v>
      </c>
      <c r="C246" s="837"/>
      <c r="D246" s="837"/>
      <c r="E246" s="837"/>
      <c r="F246" s="418">
        <f>6.286*X2</f>
        <v>6103.7059999999992</v>
      </c>
      <c r="G246" s="307">
        <f t="shared" si="566"/>
        <v>6103.7059999999992</v>
      </c>
      <c r="H246" s="548">
        <f t="shared" si="550"/>
        <v>6503.7059999999992</v>
      </c>
      <c r="I246" s="307">
        <f t="shared" si="551"/>
        <v>6503.7059999999992</v>
      </c>
      <c r="J246" s="548">
        <f t="shared" si="552"/>
        <v>6253.7059999999992</v>
      </c>
      <c r="K246" s="307">
        <f t="shared" si="553"/>
        <v>6253.7059999999992</v>
      </c>
      <c r="L246" s="548">
        <f t="shared" si="554"/>
        <v>6193.7059999999992</v>
      </c>
      <c r="M246" s="307">
        <f t="shared" si="555"/>
        <v>6193.7059999999992</v>
      </c>
      <c r="N246" s="548">
        <f t="shared" si="556"/>
        <v>6158.7059999999992</v>
      </c>
      <c r="O246" s="307">
        <f t="shared" si="557"/>
        <v>6158.7059999999992</v>
      </c>
      <c r="P246" s="548">
        <f t="shared" si="558"/>
        <v>6153.7059999999992</v>
      </c>
      <c r="Q246" s="307">
        <f t="shared" si="559"/>
        <v>6153.7059999999992</v>
      </c>
      <c r="R246" s="548">
        <f t="shared" si="560"/>
        <v>6145.7059999999992</v>
      </c>
      <c r="S246" s="307">
        <f t="shared" si="561"/>
        <v>6145.7059999999992</v>
      </c>
      <c r="T246" s="104">
        <f t="shared" si="562"/>
        <v>6138.7059999999992</v>
      </c>
      <c r="U246" s="328">
        <f t="shared" si="563"/>
        <v>6138.7059999999992</v>
      </c>
      <c r="V246" s="104">
        <f t="shared" si="564"/>
        <v>6133.7059999999992</v>
      </c>
      <c r="W246" s="328">
        <f t="shared" si="565"/>
        <v>6133.7059999999992</v>
      </c>
      <c r="X246" s="639"/>
      <c r="Y246" s="650"/>
      <c r="Z246" s="650"/>
      <c r="AA246" s="640"/>
      <c r="AB246" s="201" t="s">
        <v>855</v>
      </c>
    </row>
    <row r="247" spans="1:33" ht="12.6" customHeight="1" x14ac:dyDescent="0.2">
      <c r="A247" s="108"/>
      <c r="B247" s="625" t="s">
        <v>458</v>
      </c>
      <c r="C247" s="626"/>
      <c r="D247" s="626"/>
      <c r="E247" s="626"/>
      <c r="F247" s="417">
        <f>7.624*X2</f>
        <v>7402.9039999999995</v>
      </c>
      <c r="G247" s="306">
        <f t="shared" ref="G247:G250" si="568">+F247*$X$1</f>
        <v>7402.9039999999995</v>
      </c>
      <c r="H247" s="613">
        <f t="shared" si="550"/>
        <v>7802.9039999999995</v>
      </c>
      <c r="I247" s="306">
        <f t="shared" si="551"/>
        <v>7802.9039999999995</v>
      </c>
      <c r="J247" s="613">
        <f t="shared" si="552"/>
        <v>7552.9039999999995</v>
      </c>
      <c r="K247" s="306">
        <f t="shared" si="553"/>
        <v>7552.9039999999995</v>
      </c>
      <c r="L247" s="613">
        <f t="shared" si="554"/>
        <v>7492.9039999999995</v>
      </c>
      <c r="M247" s="306">
        <f t="shared" si="555"/>
        <v>7492.9039999999995</v>
      </c>
      <c r="N247" s="613">
        <f t="shared" si="556"/>
        <v>7457.9039999999995</v>
      </c>
      <c r="O247" s="306">
        <f t="shared" si="557"/>
        <v>7457.9039999999995</v>
      </c>
      <c r="P247" s="613">
        <f t="shared" si="558"/>
        <v>7452.9039999999995</v>
      </c>
      <c r="Q247" s="306">
        <f t="shared" si="559"/>
        <v>7452.9039999999995</v>
      </c>
      <c r="R247" s="613">
        <f t="shared" si="560"/>
        <v>7444.9039999999995</v>
      </c>
      <c r="S247" s="306">
        <f t="shared" si="561"/>
        <v>7444.9039999999995</v>
      </c>
      <c r="T247" s="105">
        <f t="shared" si="562"/>
        <v>7437.9039999999995</v>
      </c>
      <c r="U247" s="271">
        <f t="shared" si="563"/>
        <v>7437.9039999999995</v>
      </c>
      <c r="V247" s="105">
        <f t="shared" si="564"/>
        <v>7432.9039999999995</v>
      </c>
      <c r="W247" s="271">
        <f t="shared" si="565"/>
        <v>7432.9039999999995</v>
      </c>
      <c r="X247" s="622"/>
      <c r="Y247" s="623"/>
      <c r="Z247" s="623"/>
      <c r="AA247" s="624"/>
      <c r="AB247" s="201">
        <v>928</v>
      </c>
    </row>
    <row r="248" spans="1:33" ht="12.6" customHeight="1" x14ac:dyDescent="0.2">
      <c r="A248" s="18"/>
      <c r="B248" s="669" t="s">
        <v>417</v>
      </c>
      <c r="C248" s="670"/>
      <c r="D248" s="670"/>
      <c r="E248" s="670"/>
      <c r="F248" s="418">
        <f>7.96*X2</f>
        <v>7729.16</v>
      </c>
      <c r="G248" s="307">
        <f t="shared" si="568"/>
        <v>7729.16</v>
      </c>
      <c r="H248" s="548">
        <f t="shared" si="550"/>
        <v>8129.16</v>
      </c>
      <c r="I248" s="307">
        <f t="shared" si="551"/>
        <v>8129.16</v>
      </c>
      <c r="J248" s="548">
        <f t="shared" si="552"/>
        <v>7879.16</v>
      </c>
      <c r="K248" s="307">
        <f t="shared" si="553"/>
        <v>7879.16</v>
      </c>
      <c r="L248" s="548">
        <f t="shared" si="554"/>
        <v>7819.16</v>
      </c>
      <c r="M248" s="307">
        <f t="shared" si="555"/>
        <v>7819.16</v>
      </c>
      <c r="N248" s="548">
        <f t="shared" si="556"/>
        <v>7784.16</v>
      </c>
      <c r="O248" s="307">
        <f t="shared" si="557"/>
        <v>7784.16</v>
      </c>
      <c r="P248" s="548">
        <f t="shared" si="558"/>
        <v>7779.16</v>
      </c>
      <c r="Q248" s="307">
        <f t="shared" si="559"/>
        <v>7779.16</v>
      </c>
      <c r="R248" s="548">
        <f t="shared" si="560"/>
        <v>7771.16</v>
      </c>
      <c r="S248" s="307">
        <f t="shared" si="561"/>
        <v>7771.16</v>
      </c>
      <c r="T248" s="104">
        <f t="shared" si="562"/>
        <v>7764.16</v>
      </c>
      <c r="U248" s="328">
        <f t="shared" si="563"/>
        <v>7764.16</v>
      </c>
      <c r="V248" s="104">
        <f t="shared" si="564"/>
        <v>7759.16</v>
      </c>
      <c r="W248" s="328">
        <f t="shared" si="565"/>
        <v>7759.16</v>
      </c>
      <c r="X248" s="622"/>
      <c r="Y248" s="761"/>
      <c r="Z248" s="761"/>
      <c r="AA248" s="624"/>
      <c r="AB248" s="201">
        <v>931</v>
      </c>
    </row>
    <row r="249" spans="1:33" ht="12.6" customHeight="1" x14ac:dyDescent="0.2">
      <c r="A249" s="18"/>
      <c r="B249" s="693" t="s">
        <v>852</v>
      </c>
      <c r="C249" s="837"/>
      <c r="D249" s="837"/>
      <c r="E249" s="837"/>
      <c r="F249" s="417">
        <f>2.97*X2</f>
        <v>2883.8700000000003</v>
      </c>
      <c r="G249" s="306">
        <f t="shared" si="568"/>
        <v>2883.8700000000003</v>
      </c>
      <c r="H249" s="613">
        <f t="shared" si="550"/>
        <v>3283.8700000000003</v>
      </c>
      <c r="I249" s="306">
        <f t="shared" si="551"/>
        <v>3283.8700000000003</v>
      </c>
      <c r="J249" s="613">
        <f t="shared" si="552"/>
        <v>3033.8700000000003</v>
      </c>
      <c r="K249" s="306">
        <f t="shared" si="553"/>
        <v>3033.8700000000003</v>
      </c>
      <c r="L249" s="613">
        <f t="shared" si="554"/>
        <v>2973.8700000000003</v>
      </c>
      <c r="M249" s="306">
        <f t="shared" si="555"/>
        <v>2973.8700000000003</v>
      </c>
      <c r="N249" s="613">
        <f t="shared" si="556"/>
        <v>2938.8700000000003</v>
      </c>
      <c r="O249" s="306">
        <f t="shared" si="557"/>
        <v>2938.8700000000003</v>
      </c>
      <c r="P249" s="613">
        <f t="shared" si="558"/>
        <v>2933.8700000000003</v>
      </c>
      <c r="Q249" s="306">
        <f t="shared" si="559"/>
        <v>2933.8700000000003</v>
      </c>
      <c r="R249" s="613">
        <f t="shared" si="560"/>
        <v>2925.8700000000003</v>
      </c>
      <c r="S249" s="306">
        <f t="shared" si="561"/>
        <v>2925.8700000000003</v>
      </c>
      <c r="T249" s="105">
        <f t="shared" si="562"/>
        <v>2918.8700000000003</v>
      </c>
      <c r="U249" s="271">
        <f t="shared" si="563"/>
        <v>2918.8700000000003</v>
      </c>
      <c r="V249" s="105">
        <f t="shared" si="564"/>
        <v>2913.8700000000003</v>
      </c>
      <c r="W249" s="271">
        <f t="shared" si="565"/>
        <v>2913.8700000000003</v>
      </c>
      <c r="X249" s="622"/>
      <c r="Y249" s="761"/>
      <c r="Z249" s="761"/>
      <c r="AA249" s="624"/>
      <c r="AB249" s="201">
        <v>933</v>
      </c>
    </row>
    <row r="250" spans="1:33" ht="12.6" customHeight="1" x14ac:dyDescent="0.2">
      <c r="A250" s="18"/>
      <c r="B250" s="669" t="s">
        <v>624</v>
      </c>
      <c r="C250" s="670"/>
      <c r="D250" s="670"/>
      <c r="E250" s="670"/>
      <c r="F250" s="418">
        <f>8.31*X2</f>
        <v>8069.01</v>
      </c>
      <c r="G250" s="307">
        <f t="shared" si="568"/>
        <v>8069.01</v>
      </c>
      <c r="H250" s="548">
        <f t="shared" si="550"/>
        <v>8469.01</v>
      </c>
      <c r="I250" s="307">
        <f t="shared" si="551"/>
        <v>8469.01</v>
      </c>
      <c r="J250" s="548">
        <f t="shared" si="552"/>
        <v>8219.01</v>
      </c>
      <c r="K250" s="307">
        <f t="shared" si="553"/>
        <v>8219.01</v>
      </c>
      <c r="L250" s="548">
        <f t="shared" si="554"/>
        <v>8159.01</v>
      </c>
      <c r="M250" s="307">
        <f t="shared" si="555"/>
        <v>8159.01</v>
      </c>
      <c r="N250" s="548">
        <f t="shared" si="556"/>
        <v>8124.01</v>
      </c>
      <c r="O250" s="307">
        <f t="shared" si="557"/>
        <v>8124.01</v>
      </c>
      <c r="P250" s="548">
        <f t="shared" si="558"/>
        <v>8119.01</v>
      </c>
      <c r="Q250" s="307">
        <f t="shared" si="559"/>
        <v>8119.01</v>
      </c>
      <c r="R250" s="548">
        <f t="shared" si="560"/>
        <v>8111.01</v>
      </c>
      <c r="S250" s="307">
        <f t="shared" si="561"/>
        <v>8111.01</v>
      </c>
      <c r="T250" s="104">
        <f t="shared" si="562"/>
        <v>8104.01</v>
      </c>
      <c r="U250" s="328">
        <f t="shared" si="563"/>
        <v>8104.01</v>
      </c>
      <c r="V250" s="104">
        <f t="shared" si="564"/>
        <v>8099.01</v>
      </c>
      <c r="W250" s="328">
        <f t="shared" si="565"/>
        <v>8099.01</v>
      </c>
      <c r="X250" s="413"/>
      <c r="Y250" s="413"/>
      <c r="Z250" s="413"/>
      <c r="AA250" s="413"/>
      <c r="AB250" s="201">
        <v>935</v>
      </c>
    </row>
    <row r="251" spans="1:33" ht="12.6" customHeight="1" x14ac:dyDescent="0.2">
      <c r="A251" s="18"/>
      <c r="B251" s="625" t="s">
        <v>659</v>
      </c>
      <c r="C251" s="626"/>
      <c r="D251" s="626"/>
      <c r="E251" s="626"/>
      <c r="F251" s="417">
        <f>10*X2</f>
        <v>9710</v>
      </c>
      <c r="G251" s="306">
        <f t="shared" ref="G251:G252" si="569">+F251*$X$1</f>
        <v>9710</v>
      </c>
      <c r="H251" s="613">
        <f t="shared" si="550"/>
        <v>10110</v>
      </c>
      <c r="I251" s="306">
        <f t="shared" si="551"/>
        <v>10110</v>
      </c>
      <c r="J251" s="613">
        <f t="shared" si="552"/>
        <v>9860</v>
      </c>
      <c r="K251" s="306">
        <f t="shared" si="553"/>
        <v>9860</v>
      </c>
      <c r="L251" s="613">
        <f t="shared" si="554"/>
        <v>9800</v>
      </c>
      <c r="M251" s="306">
        <f t="shared" si="555"/>
        <v>9800</v>
      </c>
      <c r="N251" s="613">
        <f t="shared" si="556"/>
        <v>9765</v>
      </c>
      <c r="O251" s="306">
        <f t="shared" si="557"/>
        <v>9765</v>
      </c>
      <c r="P251" s="613">
        <f t="shared" si="558"/>
        <v>9760</v>
      </c>
      <c r="Q251" s="306">
        <f t="shared" si="559"/>
        <v>9760</v>
      </c>
      <c r="R251" s="613">
        <f t="shared" si="560"/>
        <v>9752</v>
      </c>
      <c r="S251" s="306">
        <f t="shared" si="561"/>
        <v>9752</v>
      </c>
      <c r="T251" s="105">
        <f t="shared" si="562"/>
        <v>9745</v>
      </c>
      <c r="U251" s="271">
        <f t="shared" si="563"/>
        <v>9745</v>
      </c>
      <c r="V251" s="105">
        <f t="shared" si="564"/>
        <v>9740</v>
      </c>
      <c r="W251" s="271">
        <f t="shared" si="565"/>
        <v>9740</v>
      </c>
      <c r="X251" s="622"/>
      <c r="Y251" s="623"/>
      <c r="Z251" s="623"/>
      <c r="AA251" s="624"/>
      <c r="AB251" s="201">
        <v>936</v>
      </c>
    </row>
    <row r="252" spans="1:33" ht="12.6" customHeight="1" x14ac:dyDescent="0.2">
      <c r="A252" s="18"/>
      <c r="B252" s="693" t="s">
        <v>776</v>
      </c>
      <c r="C252" s="837"/>
      <c r="D252" s="837"/>
      <c r="E252" s="837"/>
      <c r="F252" s="418">
        <f>4.9*X2</f>
        <v>4757.9000000000005</v>
      </c>
      <c r="G252" s="307">
        <f t="shared" si="569"/>
        <v>4757.9000000000005</v>
      </c>
      <c r="H252" s="548">
        <f t="shared" si="550"/>
        <v>5157.9000000000005</v>
      </c>
      <c r="I252" s="307">
        <f t="shared" si="551"/>
        <v>5157.9000000000005</v>
      </c>
      <c r="J252" s="548">
        <f t="shared" si="552"/>
        <v>4907.9000000000005</v>
      </c>
      <c r="K252" s="307">
        <f t="shared" si="553"/>
        <v>4907.9000000000005</v>
      </c>
      <c r="L252" s="548">
        <f t="shared" si="554"/>
        <v>4847.9000000000005</v>
      </c>
      <c r="M252" s="307">
        <f t="shared" si="555"/>
        <v>4847.9000000000005</v>
      </c>
      <c r="N252" s="548">
        <f t="shared" si="556"/>
        <v>4812.9000000000005</v>
      </c>
      <c r="O252" s="307">
        <f t="shared" si="557"/>
        <v>4812.9000000000005</v>
      </c>
      <c r="P252" s="548">
        <f t="shared" si="558"/>
        <v>4807.9000000000005</v>
      </c>
      <c r="Q252" s="307">
        <f t="shared" si="559"/>
        <v>4807.9000000000005</v>
      </c>
      <c r="R252" s="548">
        <f t="shared" si="560"/>
        <v>4799.9000000000005</v>
      </c>
      <c r="S252" s="307">
        <f t="shared" si="561"/>
        <v>4799.9000000000005</v>
      </c>
      <c r="T252" s="104">
        <f t="shared" si="562"/>
        <v>4792.9000000000005</v>
      </c>
      <c r="U252" s="328">
        <f t="shared" si="563"/>
        <v>4792.9000000000005</v>
      </c>
      <c r="V252" s="104">
        <f t="shared" si="564"/>
        <v>4787.9000000000005</v>
      </c>
      <c r="W252" s="328">
        <f t="shared" si="565"/>
        <v>4787.9000000000005</v>
      </c>
      <c r="X252" s="512"/>
      <c r="Y252" s="512"/>
      <c r="Z252" s="512"/>
      <c r="AA252" s="512"/>
      <c r="AB252" s="201">
        <v>940</v>
      </c>
    </row>
    <row r="253" spans="1:33" ht="12.6" customHeight="1" x14ac:dyDescent="0.2">
      <c r="A253" s="18"/>
      <c r="B253" s="641" t="s">
        <v>206</v>
      </c>
      <c r="C253" s="642"/>
      <c r="D253" s="642"/>
      <c r="E253" s="643"/>
      <c r="F253" s="417">
        <f>5.483*X2</f>
        <v>5323.9929999999995</v>
      </c>
      <c r="G253" s="306">
        <f t="shared" ref="G253:G257" si="570">+F253*$X$1</f>
        <v>5323.9929999999995</v>
      </c>
      <c r="H253" s="613">
        <f t="shared" si="550"/>
        <v>5723.9929999999995</v>
      </c>
      <c r="I253" s="306">
        <f t="shared" si="551"/>
        <v>5723.9929999999995</v>
      </c>
      <c r="J253" s="613">
        <f t="shared" si="552"/>
        <v>5473.9929999999995</v>
      </c>
      <c r="K253" s="306">
        <f t="shared" si="553"/>
        <v>5473.9929999999995</v>
      </c>
      <c r="L253" s="613">
        <f t="shared" si="554"/>
        <v>5413.9929999999995</v>
      </c>
      <c r="M253" s="306">
        <f t="shared" si="555"/>
        <v>5413.9929999999995</v>
      </c>
      <c r="N253" s="613">
        <f t="shared" si="556"/>
        <v>5378.9929999999995</v>
      </c>
      <c r="O253" s="306">
        <f t="shared" si="557"/>
        <v>5378.9929999999995</v>
      </c>
      <c r="P253" s="613">
        <f t="shared" si="558"/>
        <v>5373.9929999999995</v>
      </c>
      <c r="Q253" s="306">
        <f t="shared" si="559"/>
        <v>5373.9929999999995</v>
      </c>
      <c r="R253" s="613">
        <f t="shared" si="560"/>
        <v>5365.9929999999995</v>
      </c>
      <c r="S253" s="306">
        <f t="shared" si="561"/>
        <v>5365.9929999999995</v>
      </c>
      <c r="T253" s="105">
        <f t="shared" si="562"/>
        <v>5358.9929999999995</v>
      </c>
      <c r="U253" s="271">
        <f t="shared" si="563"/>
        <v>5358.9929999999995</v>
      </c>
      <c r="V253" s="105">
        <f t="shared" si="564"/>
        <v>5353.9929999999995</v>
      </c>
      <c r="W253" s="271">
        <f t="shared" si="565"/>
        <v>5353.9929999999995</v>
      </c>
      <c r="X253" s="139"/>
      <c r="Y253" s="141"/>
      <c r="Z253" s="136"/>
      <c r="AA253" s="136"/>
      <c r="AB253" s="201">
        <v>945</v>
      </c>
      <c r="AD253" s="66"/>
      <c r="AE253" s="66"/>
      <c r="AF253" s="66"/>
      <c r="AG253" s="66"/>
    </row>
    <row r="254" spans="1:33" ht="12.6" customHeight="1" x14ac:dyDescent="0.2">
      <c r="A254" s="18"/>
      <c r="B254" s="669" t="s">
        <v>513</v>
      </c>
      <c r="C254" s="670"/>
      <c r="D254" s="670"/>
      <c r="E254" s="670"/>
      <c r="F254" s="418">
        <f>4.502*X2</f>
        <v>4371.442</v>
      </c>
      <c r="G254" s="307">
        <f t="shared" ref="G254" si="571">+F254*$X$1</f>
        <v>4371.442</v>
      </c>
      <c r="H254" s="548">
        <f t="shared" si="550"/>
        <v>4771.442</v>
      </c>
      <c r="I254" s="307">
        <f t="shared" si="551"/>
        <v>4771.442</v>
      </c>
      <c r="J254" s="548">
        <f t="shared" si="552"/>
        <v>4521.442</v>
      </c>
      <c r="K254" s="307">
        <f t="shared" si="553"/>
        <v>4521.442</v>
      </c>
      <c r="L254" s="548">
        <f t="shared" si="554"/>
        <v>4461.442</v>
      </c>
      <c r="M254" s="307">
        <f t="shared" si="555"/>
        <v>4461.442</v>
      </c>
      <c r="N254" s="548">
        <f t="shared" si="556"/>
        <v>4426.442</v>
      </c>
      <c r="O254" s="307">
        <f t="shared" si="557"/>
        <v>4426.442</v>
      </c>
      <c r="P254" s="548">
        <f t="shared" si="558"/>
        <v>4421.442</v>
      </c>
      <c r="Q254" s="307">
        <f t="shared" si="559"/>
        <v>4421.442</v>
      </c>
      <c r="R254" s="548">
        <f t="shared" si="560"/>
        <v>4413.442</v>
      </c>
      <c r="S254" s="307">
        <f t="shared" si="561"/>
        <v>4413.442</v>
      </c>
      <c r="T254" s="104">
        <f t="shared" si="562"/>
        <v>4406.442</v>
      </c>
      <c r="U254" s="328">
        <f t="shared" si="563"/>
        <v>4406.442</v>
      </c>
      <c r="V254" s="104">
        <f t="shared" si="564"/>
        <v>4401.442</v>
      </c>
      <c r="W254" s="328">
        <f t="shared" si="565"/>
        <v>4401.442</v>
      </c>
      <c r="X254" s="160"/>
      <c r="Y254" s="160"/>
      <c r="Z254" s="160"/>
      <c r="AA254" s="160"/>
      <c r="AB254" s="201">
        <v>946</v>
      </c>
    </row>
    <row r="255" spans="1:33" ht="12.6" customHeight="1" x14ac:dyDescent="0.2">
      <c r="A255" s="18"/>
      <c r="B255" s="891" t="s">
        <v>207</v>
      </c>
      <c r="C255" s="892"/>
      <c r="D255" s="892"/>
      <c r="E255" s="893"/>
      <c r="F255" s="417">
        <f>5.1*X2</f>
        <v>4952.0999999999995</v>
      </c>
      <c r="G255" s="306">
        <f t="shared" si="570"/>
        <v>4952.0999999999995</v>
      </c>
      <c r="H255" s="613">
        <f t="shared" si="550"/>
        <v>5352.0999999999995</v>
      </c>
      <c r="I255" s="306">
        <f t="shared" si="551"/>
        <v>5352.0999999999995</v>
      </c>
      <c r="J255" s="613"/>
      <c r="K255" s="306"/>
      <c r="L255" s="613"/>
      <c r="M255" s="306"/>
      <c r="N255" s="613"/>
      <c r="O255" s="306"/>
      <c r="P255" s="613"/>
      <c r="Q255" s="306"/>
      <c r="R255" s="613"/>
      <c r="S255" s="306"/>
      <c r="T255" s="105"/>
      <c r="U255" s="271"/>
      <c r="V255" s="105"/>
      <c r="W255" s="271"/>
      <c r="X255" s="622"/>
      <c r="Y255" s="761"/>
      <c r="Z255" s="761"/>
      <c r="AA255" s="624"/>
      <c r="AB255" s="463">
        <v>949</v>
      </c>
    </row>
    <row r="256" spans="1:33" ht="12.6" customHeight="1" x14ac:dyDescent="0.2">
      <c r="A256" s="18"/>
      <c r="B256" s="669" t="s">
        <v>208</v>
      </c>
      <c r="C256" s="670"/>
      <c r="D256" s="670"/>
      <c r="E256" s="670"/>
      <c r="F256" s="418">
        <f>4.7*X2</f>
        <v>4563.7</v>
      </c>
      <c r="G256" s="307">
        <f t="shared" si="570"/>
        <v>4563.7</v>
      </c>
      <c r="H256" s="548">
        <f t="shared" si="550"/>
        <v>4963.7</v>
      </c>
      <c r="I256" s="307">
        <f t="shared" si="551"/>
        <v>4963.7</v>
      </c>
      <c r="J256" s="548">
        <f t="shared" si="552"/>
        <v>4713.7</v>
      </c>
      <c r="K256" s="307">
        <f t="shared" si="553"/>
        <v>4713.7</v>
      </c>
      <c r="L256" s="548">
        <f t="shared" si="554"/>
        <v>4653.7</v>
      </c>
      <c r="M256" s="307">
        <f t="shared" si="555"/>
        <v>4653.7</v>
      </c>
      <c r="N256" s="548">
        <f t="shared" si="556"/>
        <v>4618.7</v>
      </c>
      <c r="O256" s="307">
        <f t="shared" si="557"/>
        <v>4618.7</v>
      </c>
      <c r="P256" s="548">
        <f t="shared" si="558"/>
        <v>4613.7</v>
      </c>
      <c r="Q256" s="307">
        <f t="shared" si="559"/>
        <v>4613.7</v>
      </c>
      <c r="R256" s="548">
        <f t="shared" si="560"/>
        <v>4605.7</v>
      </c>
      <c r="S256" s="307">
        <f t="shared" si="561"/>
        <v>4605.7</v>
      </c>
      <c r="T256" s="104">
        <f t="shared" si="562"/>
        <v>4598.7</v>
      </c>
      <c r="U256" s="328">
        <f t="shared" si="563"/>
        <v>4598.7</v>
      </c>
      <c r="V256" s="104">
        <f t="shared" si="564"/>
        <v>4593.7</v>
      </c>
      <c r="W256" s="328">
        <f t="shared" si="565"/>
        <v>4593.7</v>
      </c>
      <c r="X256" s="622"/>
      <c r="Y256" s="761"/>
      <c r="Z256" s="761"/>
      <c r="AA256" s="624"/>
      <c r="AB256" s="201">
        <v>950</v>
      </c>
    </row>
    <row r="257" spans="1:38" ht="12.6" customHeight="1" x14ac:dyDescent="0.2">
      <c r="A257" s="18"/>
      <c r="B257" s="625" t="s">
        <v>625</v>
      </c>
      <c r="C257" s="626"/>
      <c r="D257" s="626"/>
      <c r="E257" s="626"/>
      <c r="F257" s="417">
        <f>6.46*X2</f>
        <v>6272.66</v>
      </c>
      <c r="G257" s="306">
        <f t="shared" si="570"/>
        <v>6272.66</v>
      </c>
      <c r="H257" s="613">
        <f>F257+400</f>
        <v>6672.66</v>
      </c>
      <c r="I257" s="306">
        <f>+H257*$X$1</f>
        <v>6672.66</v>
      </c>
      <c r="J257" s="613">
        <f>F257+150</f>
        <v>6422.66</v>
      </c>
      <c r="K257" s="306">
        <f t="shared" ref="K257" si="572">+J257*$X$1</f>
        <v>6422.66</v>
      </c>
      <c r="L257" s="613">
        <f>F257+90</f>
        <v>6362.66</v>
      </c>
      <c r="M257" s="306">
        <f t="shared" ref="M257" si="573">+L257*$X$1</f>
        <v>6362.66</v>
      </c>
      <c r="N257" s="613">
        <f>F257+55</f>
        <v>6327.66</v>
      </c>
      <c r="O257" s="306">
        <f t="shared" ref="O257" si="574">+N257*$X$1</f>
        <v>6327.66</v>
      </c>
      <c r="P257" s="613">
        <f>F257+50</f>
        <v>6322.66</v>
      </c>
      <c r="Q257" s="306">
        <f t="shared" ref="Q257" si="575">+P257*$X$1</f>
        <v>6322.66</v>
      </c>
      <c r="R257" s="613">
        <f>F257+42</f>
        <v>6314.66</v>
      </c>
      <c r="S257" s="306">
        <f t="shared" ref="S257" si="576">+R257*$X$1</f>
        <v>6314.66</v>
      </c>
      <c r="T257" s="105">
        <f>F257+35</f>
        <v>6307.66</v>
      </c>
      <c r="U257" s="271">
        <f t="shared" ref="U257" si="577">+T257*$X$1</f>
        <v>6307.66</v>
      </c>
      <c r="V257" s="105">
        <f>F257+30</f>
        <v>6302.66</v>
      </c>
      <c r="W257" s="271">
        <f t="shared" ref="W257" si="578">+V257*$X$1</f>
        <v>6302.66</v>
      </c>
      <c r="X257" s="646"/>
      <c r="Y257" s="647"/>
      <c r="Z257" s="647"/>
      <c r="AA257" s="648"/>
      <c r="AB257" s="201">
        <v>962</v>
      </c>
    </row>
    <row r="258" spans="1:38" s="1" customFormat="1" ht="12.6" customHeight="1" x14ac:dyDescent="0.2">
      <c r="A258" s="19"/>
      <c r="B258" s="669" t="s">
        <v>399</v>
      </c>
      <c r="C258" s="670"/>
      <c r="D258" s="670"/>
      <c r="E258" s="670"/>
      <c r="F258" s="307">
        <v>362</v>
      </c>
      <c r="G258" s="307">
        <f>+F258*$X$1</f>
        <v>362</v>
      </c>
      <c r="H258" s="297"/>
      <c r="I258" s="297"/>
      <c r="J258" s="548">
        <f>F258+150</f>
        <v>512</v>
      </c>
      <c r="K258" s="307">
        <f t="shared" ref="K258" si="579">+J258*$X$1</f>
        <v>512</v>
      </c>
      <c r="L258" s="548">
        <f>F258+90</f>
        <v>452</v>
      </c>
      <c r="M258" s="307">
        <f t="shared" ref="M258" si="580">+L258*$X$1</f>
        <v>452</v>
      </c>
      <c r="N258" s="548">
        <f>F258+55</f>
        <v>417</v>
      </c>
      <c r="O258" s="307">
        <f t="shared" ref="O258" si="581">+N258*$X$1</f>
        <v>417</v>
      </c>
      <c r="P258" s="548">
        <f>F258+50</f>
        <v>412</v>
      </c>
      <c r="Q258" s="307">
        <f t="shared" ref="Q258" si="582">+P258*$X$1</f>
        <v>412</v>
      </c>
      <c r="R258" s="548">
        <f>F258+42</f>
        <v>404</v>
      </c>
      <c r="S258" s="307">
        <f t="shared" ref="S258" si="583">+R258*$X$1</f>
        <v>404</v>
      </c>
      <c r="T258" s="104">
        <f>F258+35</f>
        <v>397</v>
      </c>
      <c r="U258" s="328">
        <f t="shared" ref="U258" si="584">+T258*$X$1</f>
        <v>397</v>
      </c>
      <c r="V258" s="104">
        <f>F258+30</f>
        <v>392</v>
      </c>
      <c r="W258" s="328">
        <f t="shared" ref="W258" si="585">+V258*$X$1</f>
        <v>392</v>
      </c>
      <c r="X258" s="157"/>
      <c r="Y258" s="157"/>
      <c r="Z258" s="157"/>
      <c r="AA258" s="157"/>
      <c r="AB258" s="201">
        <v>998</v>
      </c>
      <c r="AC258" s="76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19"/>
      <c r="B259" s="641" t="s">
        <v>218</v>
      </c>
      <c r="C259" s="651"/>
      <c r="D259" s="651"/>
      <c r="E259" s="652"/>
      <c r="F259" s="306">
        <v>1400</v>
      </c>
      <c r="G259" s="329">
        <f t="shared" ref="G259" si="586">+F259*$X$1</f>
        <v>1400</v>
      </c>
      <c r="H259" s="1041" t="s">
        <v>422</v>
      </c>
      <c r="I259" s="1042"/>
      <c r="J259" s="1042"/>
      <c r="K259" s="1042"/>
      <c r="L259" s="1042"/>
      <c r="M259" s="1043"/>
      <c r="N259" s="613">
        <f>F259+100</f>
        <v>1500</v>
      </c>
      <c r="O259" s="306">
        <f t="shared" ref="O259" si="587">+N259*$X$1</f>
        <v>1500</v>
      </c>
      <c r="P259" s="613">
        <f>F259+80</f>
        <v>1480</v>
      </c>
      <c r="Q259" s="306">
        <f t="shared" ref="Q259" si="588">+P259*$X$1</f>
        <v>1480</v>
      </c>
      <c r="R259" s="613">
        <f>F259+63</f>
        <v>1463</v>
      </c>
      <c r="S259" s="306">
        <f t="shared" ref="S259" si="589">+R259*$X$1</f>
        <v>1463</v>
      </c>
      <c r="T259" s="613">
        <f>F259+55</f>
        <v>1455</v>
      </c>
      <c r="U259" s="306">
        <f t="shared" ref="U259" si="590">+T259*$X$1</f>
        <v>1455</v>
      </c>
      <c r="V259" s="613">
        <f>F259+50</f>
        <v>1450</v>
      </c>
      <c r="W259" s="306">
        <f t="shared" ref="W259" si="591">+V259*$X$1</f>
        <v>1450</v>
      </c>
      <c r="X259" s="638"/>
      <c r="Y259" s="639"/>
      <c r="Z259" s="639"/>
      <c r="AA259" s="640"/>
      <c r="AB259" s="201">
        <v>1001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19"/>
      <c r="B260" s="682" t="s">
        <v>219</v>
      </c>
      <c r="C260" s="1049"/>
      <c r="D260" s="1049"/>
      <c r="E260" s="1050"/>
      <c r="F260" s="343">
        <v>1400</v>
      </c>
      <c r="G260" s="307">
        <f t="shared" ref="G260:G268" si="592">+F260*$X$1</f>
        <v>1400</v>
      </c>
      <c r="H260" s="1044"/>
      <c r="I260" s="1045"/>
      <c r="J260" s="1045"/>
      <c r="K260" s="1042"/>
      <c r="L260" s="1045"/>
      <c r="M260" s="1043"/>
      <c r="N260" s="613">
        <f>F260+100</f>
        <v>1500</v>
      </c>
      <c r="O260" s="307">
        <f t="shared" ref="O260:O263" si="593">+N260*$X$1</f>
        <v>1500</v>
      </c>
      <c r="P260" s="548">
        <f>F260+80</f>
        <v>1480</v>
      </c>
      <c r="Q260" s="307">
        <f t="shared" ref="Q260:Q263" si="594">+P260*$X$1</f>
        <v>1480</v>
      </c>
      <c r="R260" s="548">
        <f>F260+63</f>
        <v>1463</v>
      </c>
      <c r="S260" s="307">
        <f t="shared" ref="S260:S263" si="595">+R260*$X$1</f>
        <v>1463</v>
      </c>
      <c r="T260" s="548">
        <f>F260+55</f>
        <v>1455</v>
      </c>
      <c r="U260" s="307">
        <f t="shared" ref="U260:U263" si="596">+T260*$X$1</f>
        <v>1455</v>
      </c>
      <c r="V260" s="548">
        <f>F260+50</f>
        <v>1450</v>
      </c>
      <c r="W260" s="307">
        <f t="shared" ref="W260:W263" si="597">+V260*$X$1</f>
        <v>1450</v>
      </c>
      <c r="X260" s="638"/>
      <c r="Y260" s="639"/>
      <c r="Z260" s="639"/>
      <c r="AA260" s="640"/>
      <c r="AB260" s="201">
        <v>1002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19"/>
      <c r="B261" s="641" t="s">
        <v>676</v>
      </c>
      <c r="C261" s="651"/>
      <c r="D261" s="651"/>
      <c r="E261" s="652"/>
      <c r="F261" s="306">
        <v>1400</v>
      </c>
      <c r="G261" s="306">
        <f t="shared" si="592"/>
        <v>1400</v>
      </c>
      <c r="H261" s="1044"/>
      <c r="I261" s="1045"/>
      <c r="J261" s="1045"/>
      <c r="K261" s="1042"/>
      <c r="L261" s="1045"/>
      <c r="M261" s="1043"/>
      <c r="N261" s="613">
        <f>F261+100</f>
        <v>1500</v>
      </c>
      <c r="O261" s="306">
        <f t="shared" si="593"/>
        <v>1500</v>
      </c>
      <c r="P261" s="613">
        <f>F261+80</f>
        <v>1480</v>
      </c>
      <c r="Q261" s="306">
        <f t="shared" si="594"/>
        <v>1480</v>
      </c>
      <c r="R261" s="613">
        <f>F261+63</f>
        <v>1463</v>
      </c>
      <c r="S261" s="306">
        <f t="shared" si="595"/>
        <v>1463</v>
      </c>
      <c r="T261" s="613">
        <f>F261+55</f>
        <v>1455</v>
      </c>
      <c r="U261" s="306">
        <f t="shared" si="596"/>
        <v>1455</v>
      </c>
      <c r="V261" s="613">
        <f>F261+50</f>
        <v>1450</v>
      </c>
      <c r="W261" s="306">
        <f t="shared" si="597"/>
        <v>1450</v>
      </c>
      <c r="X261" s="638"/>
      <c r="Y261" s="639"/>
      <c r="Z261" s="639"/>
      <c r="AA261" s="640"/>
      <c r="AB261" s="201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19"/>
      <c r="B262" s="669" t="s">
        <v>737</v>
      </c>
      <c r="C262" s="670"/>
      <c r="D262" s="670"/>
      <c r="E262" s="670"/>
      <c r="F262" s="307">
        <v>1650</v>
      </c>
      <c r="G262" s="307">
        <f t="shared" si="592"/>
        <v>1650</v>
      </c>
      <c r="H262" s="1044"/>
      <c r="I262" s="1045"/>
      <c r="J262" s="1045"/>
      <c r="K262" s="1042"/>
      <c r="L262" s="1045"/>
      <c r="M262" s="1043"/>
      <c r="N262" s="613">
        <f>F262+100</f>
        <v>1750</v>
      </c>
      <c r="O262" s="307">
        <f t="shared" si="593"/>
        <v>1750</v>
      </c>
      <c r="P262" s="548">
        <f>F262+80</f>
        <v>1730</v>
      </c>
      <c r="Q262" s="307">
        <f t="shared" si="594"/>
        <v>1730</v>
      </c>
      <c r="R262" s="548">
        <f>F262+63</f>
        <v>1713</v>
      </c>
      <c r="S262" s="307">
        <f t="shared" si="595"/>
        <v>1713</v>
      </c>
      <c r="T262" s="548">
        <f>F262+55</f>
        <v>1705</v>
      </c>
      <c r="U262" s="307">
        <f t="shared" si="596"/>
        <v>1705</v>
      </c>
      <c r="V262" s="548">
        <f>F262+50</f>
        <v>1700</v>
      </c>
      <c r="W262" s="307">
        <f t="shared" si="597"/>
        <v>1700</v>
      </c>
      <c r="X262" s="638"/>
      <c r="Y262" s="650"/>
      <c r="Z262" s="650"/>
      <c r="AA262" s="640"/>
      <c r="AB262" s="201">
        <v>1004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19"/>
      <c r="B263" s="641" t="s">
        <v>736</v>
      </c>
      <c r="C263" s="651"/>
      <c r="D263" s="651"/>
      <c r="E263" s="652"/>
      <c r="F263" s="306">
        <v>1650</v>
      </c>
      <c r="G263" s="306">
        <f t="shared" si="592"/>
        <v>1650</v>
      </c>
      <c r="H263" s="1044"/>
      <c r="I263" s="1045"/>
      <c r="J263" s="1045"/>
      <c r="K263" s="1042"/>
      <c r="L263" s="1045"/>
      <c r="M263" s="1043"/>
      <c r="N263" s="613">
        <f>F263+100</f>
        <v>1750</v>
      </c>
      <c r="O263" s="306">
        <f t="shared" si="593"/>
        <v>1750</v>
      </c>
      <c r="P263" s="613">
        <f>F263+80</f>
        <v>1730</v>
      </c>
      <c r="Q263" s="306">
        <f t="shared" si="594"/>
        <v>1730</v>
      </c>
      <c r="R263" s="613">
        <f>F263+63</f>
        <v>1713</v>
      </c>
      <c r="S263" s="306">
        <f t="shared" si="595"/>
        <v>1713</v>
      </c>
      <c r="T263" s="613">
        <f>F263+55</f>
        <v>1705</v>
      </c>
      <c r="U263" s="306">
        <f t="shared" si="596"/>
        <v>1705</v>
      </c>
      <c r="V263" s="613">
        <f>F263+50</f>
        <v>1700</v>
      </c>
      <c r="W263" s="306">
        <f t="shared" si="597"/>
        <v>1700</v>
      </c>
      <c r="X263" s="638"/>
      <c r="Y263" s="639"/>
      <c r="Z263" s="639"/>
      <c r="AA263" s="640"/>
      <c r="AB263" s="201">
        <v>1005</v>
      </c>
      <c r="AC263" s="4"/>
      <c r="AD263" s="4"/>
      <c r="AE263" s="4"/>
      <c r="AF263" s="4"/>
      <c r="AG263" s="4"/>
      <c r="AH263" s="133"/>
      <c r="AI263" s="4"/>
      <c r="AJ263" s="4"/>
      <c r="AK263" s="4"/>
      <c r="AL263" s="4"/>
    </row>
    <row r="264" spans="1:38" s="1" customFormat="1" ht="12.6" customHeight="1" x14ac:dyDescent="0.2">
      <c r="A264" s="19"/>
      <c r="B264" s="682" t="s">
        <v>220</v>
      </c>
      <c r="C264" s="683"/>
      <c r="D264" s="683"/>
      <c r="E264" s="684"/>
      <c r="F264" s="307"/>
      <c r="G264" s="307"/>
      <c r="H264" s="1046"/>
      <c r="I264" s="1047"/>
      <c r="J264" s="1047"/>
      <c r="K264" s="1047"/>
      <c r="L264" s="1047"/>
      <c r="M264" s="1048"/>
      <c r="N264" s="548"/>
      <c r="O264" s="307"/>
      <c r="P264" s="548"/>
      <c r="Q264" s="307"/>
      <c r="R264" s="548"/>
      <c r="S264" s="307"/>
      <c r="T264" s="548"/>
      <c r="U264" s="307"/>
      <c r="V264" s="548"/>
      <c r="W264" s="307"/>
      <c r="X264" s="638"/>
      <c r="Y264" s="639"/>
      <c r="Z264" s="639"/>
      <c r="AA264" s="640"/>
      <c r="AB264" s="201">
        <v>1006</v>
      </c>
      <c r="AC264" s="4"/>
      <c r="AD264" s="4"/>
      <c r="AE264" s="4"/>
      <c r="AF264" s="4"/>
      <c r="AG264" s="4"/>
      <c r="AH264" s="133"/>
      <c r="AI264" s="4"/>
      <c r="AJ264" s="4"/>
      <c r="AK264" s="4"/>
      <c r="AL264" s="4"/>
    </row>
    <row r="265" spans="1:38" s="1" customFormat="1" ht="12.6" customHeight="1" x14ac:dyDescent="0.2">
      <c r="A265" s="19"/>
      <c r="B265" s="641" t="s">
        <v>903</v>
      </c>
      <c r="C265" s="644"/>
      <c r="D265" s="644"/>
      <c r="E265" s="645"/>
      <c r="F265" s="425">
        <f>2.77*X2</f>
        <v>2689.67</v>
      </c>
      <c r="G265" s="308">
        <f t="shared" ref="G265" si="598">+F265*$X$1</f>
        <v>2689.67</v>
      </c>
      <c r="H265" s="72">
        <f>F265+400</f>
        <v>3089.67</v>
      </c>
      <c r="I265" s="306">
        <f t="shared" ref="I265" si="599">+H265*$X$1</f>
        <v>3089.67</v>
      </c>
      <c r="J265" s="613">
        <f>F265+180</f>
        <v>2869.67</v>
      </c>
      <c r="K265" s="306">
        <f>+J265*$X$1</f>
        <v>2869.67</v>
      </c>
      <c r="L265" s="613">
        <f>F265+144</f>
        <v>2833.67</v>
      </c>
      <c r="M265" s="306">
        <f>+L265*$X$1</f>
        <v>2833.67</v>
      </c>
      <c r="N265" s="72">
        <f>F265+114</f>
        <v>2803.67</v>
      </c>
      <c r="O265" s="306">
        <f t="shared" ref="O265" si="600">+N265*$X$1</f>
        <v>2803.67</v>
      </c>
      <c r="P265" s="72">
        <f>F265+96</f>
        <v>2785.67</v>
      </c>
      <c r="Q265" s="306">
        <f t="shared" ref="Q265" si="601">+P265*$X$1</f>
        <v>2785.67</v>
      </c>
      <c r="R265" s="613">
        <f>F265+88</f>
        <v>2777.67</v>
      </c>
      <c r="S265" s="306">
        <f t="shared" ref="S265" si="602">+R265*$X$1</f>
        <v>2777.67</v>
      </c>
      <c r="T265" s="613">
        <f>F265+81</f>
        <v>2770.67</v>
      </c>
      <c r="U265" s="306">
        <f t="shared" ref="U265" si="603">+T265*$X$1</f>
        <v>2770.67</v>
      </c>
      <c r="V265" s="613">
        <f>F265+73</f>
        <v>2762.67</v>
      </c>
      <c r="W265" s="306">
        <f t="shared" ref="W265" si="604">+V265*$X$1</f>
        <v>2762.67</v>
      </c>
      <c r="X265" s="604"/>
      <c r="Y265" s="602"/>
      <c r="Z265" s="602"/>
      <c r="AA265" s="603"/>
      <c r="AB265" s="201">
        <v>1026</v>
      </c>
      <c r="AC265" s="4"/>
      <c r="AD265" s="4"/>
      <c r="AE265" s="4"/>
      <c r="AF265" s="4"/>
      <c r="AG265" s="4"/>
      <c r="AH265" s="606"/>
      <c r="AI265" s="4"/>
      <c r="AJ265" s="4"/>
      <c r="AK265" s="4"/>
      <c r="AL265" s="4"/>
    </row>
    <row r="266" spans="1:38" s="1" customFormat="1" ht="12.6" customHeight="1" x14ac:dyDescent="0.2">
      <c r="A266" s="19"/>
      <c r="B266" s="682" t="s">
        <v>904</v>
      </c>
      <c r="C266" s="683"/>
      <c r="D266" s="683"/>
      <c r="E266" s="684"/>
      <c r="F266" s="424">
        <f>3.53*X2</f>
        <v>3427.6299999999997</v>
      </c>
      <c r="G266" s="309">
        <f t="shared" ref="G266" si="605">+F266*$X$1</f>
        <v>3427.6299999999997</v>
      </c>
      <c r="H266" s="90">
        <f>F266+400</f>
        <v>3827.6299999999997</v>
      </c>
      <c r="I266" s="307">
        <f t="shared" ref="I266" si="606">+H266*$X$1</f>
        <v>3827.6299999999997</v>
      </c>
      <c r="J266" s="548">
        <f>F266+180</f>
        <v>3607.6299999999997</v>
      </c>
      <c r="K266" s="307">
        <f>+J266*$X$1</f>
        <v>3607.6299999999997</v>
      </c>
      <c r="L266" s="548">
        <f>F266+144</f>
        <v>3571.6299999999997</v>
      </c>
      <c r="M266" s="307">
        <f>+L266*$X$1</f>
        <v>3571.6299999999997</v>
      </c>
      <c r="N266" s="90">
        <f>F266+114</f>
        <v>3541.6299999999997</v>
      </c>
      <c r="O266" s="307">
        <f t="shared" ref="O266" si="607">+N266*$X$1</f>
        <v>3541.6299999999997</v>
      </c>
      <c r="P266" s="90">
        <f>F266+96</f>
        <v>3523.6299999999997</v>
      </c>
      <c r="Q266" s="307">
        <f t="shared" ref="Q266" si="608">+P266*$X$1</f>
        <v>3523.6299999999997</v>
      </c>
      <c r="R266" s="548">
        <f>F266+88</f>
        <v>3515.6299999999997</v>
      </c>
      <c r="S266" s="307">
        <f t="shared" ref="S266" si="609">+R266*$X$1</f>
        <v>3515.6299999999997</v>
      </c>
      <c r="T266" s="548">
        <f>F266+81</f>
        <v>3508.6299999999997</v>
      </c>
      <c r="U266" s="307">
        <f t="shared" ref="U266" si="610">+T266*$X$1</f>
        <v>3508.6299999999997</v>
      </c>
      <c r="V266" s="548">
        <f>F266+73</f>
        <v>3500.6299999999997</v>
      </c>
      <c r="W266" s="307">
        <f t="shared" ref="W266" si="611">+V266*$X$1</f>
        <v>3500.6299999999997</v>
      </c>
      <c r="X266" s="604"/>
      <c r="Y266" s="602"/>
      <c r="Z266" s="602"/>
      <c r="AA266" s="603"/>
      <c r="AB266" s="201">
        <v>1027</v>
      </c>
      <c r="AC266" s="4"/>
      <c r="AD266" s="4"/>
      <c r="AE266" s="4"/>
      <c r="AF266" s="4"/>
      <c r="AG266" s="4"/>
      <c r="AH266" s="606"/>
      <c r="AI266" s="4"/>
      <c r="AJ266" s="4"/>
      <c r="AK266" s="4"/>
      <c r="AL266" s="4"/>
    </row>
    <row r="267" spans="1:38" s="1" customFormat="1" ht="12.6" customHeight="1" x14ac:dyDescent="0.2">
      <c r="A267" s="19"/>
      <c r="B267" s="641" t="s">
        <v>629</v>
      </c>
      <c r="C267" s="644"/>
      <c r="D267" s="644"/>
      <c r="E267" s="645"/>
      <c r="F267" s="425">
        <f>15.25*X2</f>
        <v>14807.75</v>
      </c>
      <c r="G267" s="308">
        <f t="shared" si="592"/>
        <v>14807.75</v>
      </c>
      <c r="H267" s="72">
        <f>F267+400</f>
        <v>15207.75</v>
      </c>
      <c r="I267" s="306">
        <f t="shared" ref="I267" si="612">+H267*$X$1</f>
        <v>15207.75</v>
      </c>
      <c r="J267" s="613">
        <f>F267+170</f>
        <v>14977.75</v>
      </c>
      <c r="K267" s="306">
        <f t="shared" ref="K267" si="613">+J267*$X$1</f>
        <v>14977.75</v>
      </c>
      <c r="L267" s="613">
        <f>F267+130</f>
        <v>14937.75</v>
      </c>
      <c r="M267" s="306">
        <f t="shared" ref="M267" si="614">+L267*$X$1</f>
        <v>14937.75</v>
      </c>
      <c r="N267" s="613">
        <f>F267+100</f>
        <v>14907.75</v>
      </c>
      <c r="O267" s="306">
        <f t="shared" ref="O267" si="615">+N267*$X$1</f>
        <v>14907.75</v>
      </c>
      <c r="P267" s="613">
        <f>F267+80</f>
        <v>14887.75</v>
      </c>
      <c r="Q267" s="306">
        <f t="shared" ref="Q267" si="616">+P267*$X$1</f>
        <v>14887.75</v>
      </c>
      <c r="R267" s="613">
        <f>F267+74</f>
        <v>14881.75</v>
      </c>
      <c r="S267" s="306">
        <f t="shared" ref="S267" si="617">+R267*$X$1</f>
        <v>14881.75</v>
      </c>
      <c r="T267" s="613">
        <f>F267+67</f>
        <v>14874.75</v>
      </c>
      <c r="U267" s="306">
        <f t="shared" ref="U267" si="618">+T267*$X$1</f>
        <v>14874.75</v>
      </c>
      <c r="V267" s="613">
        <f>F267+55</f>
        <v>14862.75</v>
      </c>
      <c r="W267" s="306">
        <f t="shared" ref="W267" si="619">+V267*$X$1</f>
        <v>14862.75</v>
      </c>
      <c r="X267" s="361"/>
      <c r="Y267" s="362"/>
      <c r="Z267" s="362"/>
      <c r="AA267" s="363"/>
      <c r="AB267" s="201">
        <v>1028</v>
      </c>
      <c r="AC267" s="4"/>
      <c r="AD267" s="4"/>
      <c r="AE267" s="4"/>
      <c r="AF267" s="4"/>
      <c r="AG267" s="4"/>
      <c r="AH267" s="133"/>
      <c r="AI267" s="4"/>
      <c r="AJ267" s="4"/>
      <c r="AK267" s="4"/>
      <c r="AL267" s="4"/>
    </row>
    <row r="268" spans="1:38" s="1" customFormat="1" ht="12.6" customHeight="1" x14ac:dyDescent="0.2">
      <c r="A268" s="19"/>
      <c r="B268" s="682" t="s">
        <v>627</v>
      </c>
      <c r="C268" s="683"/>
      <c r="D268" s="683"/>
      <c r="E268" s="684"/>
      <c r="F268" s="307">
        <v>2960</v>
      </c>
      <c r="G268" s="307">
        <f t="shared" si="592"/>
        <v>2960</v>
      </c>
      <c r="H268" s="90"/>
      <c r="I268" s="307"/>
      <c r="J268" s="548"/>
      <c r="K268" s="307"/>
      <c r="L268" s="548">
        <f>F268+130</f>
        <v>3090</v>
      </c>
      <c r="M268" s="307">
        <f t="shared" ref="M268:M270" si="620">+L268*$X$1</f>
        <v>3090</v>
      </c>
      <c r="N268" s="548">
        <f>F268+100</f>
        <v>3060</v>
      </c>
      <c r="O268" s="307">
        <f t="shared" ref="O268:O270" si="621">+N268*$X$1</f>
        <v>3060</v>
      </c>
      <c r="P268" s="548">
        <f>F268+80</f>
        <v>3040</v>
      </c>
      <c r="Q268" s="307">
        <f t="shared" ref="Q268:Q270" si="622">+P268*$X$1</f>
        <v>3040</v>
      </c>
      <c r="R268" s="548">
        <f>F268+74</f>
        <v>3034</v>
      </c>
      <c r="S268" s="307">
        <f t="shared" ref="S268:S270" si="623">+R268*$X$1</f>
        <v>3034</v>
      </c>
      <c r="T268" s="548">
        <f>F268+67</f>
        <v>3027</v>
      </c>
      <c r="U268" s="307">
        <f t="shared" ref="U268:U270" si="624">+T268*$X$1</f>
        <v>3027</v>
      </c>
      <c r="V268" s="548">
        <f>F268+55</f>
        <v>3015</v>
      </c>
      <c r="W268" s="307">
        <f t="shared" ref="W268:W270" si="625">+V268*$X$1</f>
        <v>3015</v>
      </c>
      <c r="X268" s="350"/>
      <c r="Y268" s="348"/>
      <c r="Z268" s="348"/>
      <c r="AA268" s="349"/>
      <c r="AB268" s="201">
        <v>1030</v>
      </c>
      <c r="AC268" s="4"/>
      <c r="AD268" s="4"/>
      <c r="AE268" s="4"/>
      <c r="AF268" s="4"/>
      <c r="AG268" s="4"/>
      <c r="AH268" s="133"/>
      <c r="AI268" s="4"/>
      <c r="AJ268" s="4"/>
      <c r="AK268" s="4"/>
      <c r="AL268" s="4"/>
    </row>
    <row r="269" spans="1:38" s="1" customFormat="1" ht="12.6" customHeight="1" x14ac:dyDescent="0.2">
      <c r="A269" s="19"/>
      <c r="B269" s="641" t="s">
        <v>628</v>
      </c>
      <c r="C269" s="644"/>
      <c r="D269" s="644"/>
      <c r="E269" s="645"/>
      <c r="F269" s="306">
        <v>2960</v>
      </c>
      <c r="G269" s="306">
        <f t="shared" ref="G269" si="626">+F269*$X$1</f>
        <v>2960</v>
      </c>
      <c r="H269" s="72"/>
      <c r="I269" s="306"/>
      <c r="J269" s="613"/>
      <c r="K269" s="306"/>
      <c r="L269" s="613">
        <f>F269+130</f>
        <v>3090</v>
      </c>
      <c r="M269" s="306">
        <f t="shared" si="620"/>
        <v>3090</v>
      </c>
      <c r="N269" s="613">
        <f>F269+100</f>
        <v>3060</v>
      </c>
      <c r="O269" s="306">
        <f t="shared" si="621"/>
        <v>3060</v>
      </c>
      <c r="P269" s="613">
        <f>F269+80</f>
        <v>3040</v>
      </c>
      <c r="Q269" s="306">
        <f t="shared" si="622"/>
        <v>3040</v>
      </c>
      <c r="R269" s="613">
        <f>F269+74</f>
        <v>3034</v>
      </c>
      <c r="S269" s="306">
        <f t="shared" si="623"/>
        <v>3034</v>
      </c>
      <c r="T269" s="613">
        <f>F269+67</f>
        <v>3027</v>
      </c>
      <c r="U269" s="306">
        <f t="shared" si="624"/>
        <v>3027</v>
      </c>
      <c r="V269" s="613">
        <f>F269+55</f>
        <v>3015</v>
      </c>
      <c r="W269" s="306">
        <f t="shared" si="625"/>
        <v>3015</v>
      </c>
      <c r="X269" s="356"/>
      <c r="Y269" s="357"/>
      <c r="Z269" s="357"/>
      <c r="AA269" s="358"/>
      <c r="AB269" s="201">
        <v>1031</v>
      </c>
      <c r="AC269" s="4"/>
      <c r="AD269" s="4"/>
      <c r="AE269" s="4"/>
      <c r="AF269" s="4"/>
      <c r="AG269" s="4"/>
      <c r="AH269" s="133"/>
      <c r="AI269" s="4"/>
      <c r="AJ269" s="4"/>
      <c r="AK269" s="4"/>
      <c r="AL269" s="4"/>
    </row>
    <row r="270" spans="1:38" s="1" customFormat="1" ht="12.6" customHeight="1" x14ac:dyDescent="0.2">
      <c r="A270" s="19"/>
      <c r="B270" s="851" t="s">
        <v>511</v>
      </c>
      <c r="C270" s="852"/>
      <c r="D270" s="852"/>
      <c r="E270" s="853"/>
      <c r="F270" s="562">
        <f>4.5*X2</f>
        <v>4369.5</v>
      </c>
      <c r="G270" s="563">
        <f t="shared" ref="G270" si="627">+F270*$X$1</f>
        <v>4369.5</v>
      </c>
      <c r="H270" s="106">
        <f t="shared" ref="H270:H295" si="628">F270+400</f>
        <v>4769.5</v>
      </c>
      <c r="I270" s="364">
        <f t="shared" ref="I270" si="629">+H270*$X$1</f>
        <v>4769.5</v>
      </c>
      <c r="J270" s="614">
        <f>F270+170</f>
        <v>4539.5</v>
      </c>
      <c r="K270" s="364">
        <f t="shared" ref="K270" si="630">+J270*$X$1</f>
        <v>4539.5</v>
      </c>
      <c r="L270" s="614">
        <f>F270+130</f>
        <v>4499.5</v>
      </c>
      <c r="M270" s="364">
        <f t="shared" si="620"/>
        <v>4499.5</v>
      </c>
      <c r="N270" s="614">
        <f>F270+100</f>
        <v>4469.5</v>
      </c>
      <c r="O270" s="364">
        <f t="shared" si="621"/>
        <v>4469.5</v>
      </c>
      <c r="P270" s="614">
        <f>F270+80</f>
        <v>4449.5</v>
      </c>
      <c r="Q270" s="364">
        <f t="shared" si="622"/>
        <v>4449.5</v>
      </c>
      <c r="R270" s="614">
        <f>F270+74</f>
        <v>4443.5</v>
      </c>
      <c r="S270" s="364">
        <f t="shared" si="623"/>
        <v>4443.5</v>
      </c>
      <c r="T270" s="614">
        <f>F270+67</f>
        <v>4436.5</v>
      </c>
      <c r="U270" s="364">
        <f t="shared" si="624"/>
        <v>4436.5</v>
      </c>
      <c r="V270" s="614">
        <f>F270+55</f>
        <v>4424.5</v>
      </c>
      <c r="W270" s="364">
        <f t="shared" si="625"/>
        <v>4424.5</v>
      </c>
      <c r="X270" s="264"/>
      <c r="Y270" s="265"/>
      <c r="Z270" s="265"/>
      <c r="AA270" s="266"/>
      <c r="AB270" s="201">
        <v>1033</v>
      </c>
      <c r="AC270" s="4"/>
      <c r="AD270" s="4"/>
      <c r="AE270" s="4"/>
      <c r="AF270" s="4"/>
      <c r="AG270" s="4"/>
      <c r="AH270" s="133"/>
      <c r="AI270" s="4"/>
      <c r="AJ270" s="4"/>
      <c r="AK270" s="4"/>
      <c r="AL270" s="4"/>
    </row>
    <row r="271" spans="1:38" s="1" customFormat="1" ht="12.6" customHeight="1" x14ac:dyDescent="0.2">
      <c r="A271" s="19"/>
      <c r="B271" s="682" t="s">
        <v>500</v>
      </c>
      <c r="C271" s="683"/>
      <c r="D271" s="683"/>
      <c r="E271" s="684"/>
      <c r="F271" s="418">
        <f>21.33*X2</f>
        <v>20711.429999999997</v>
      </c>
      <c r="G271" s="307">
        <f t="shared" ref="G271" si="631">+F271*$X$1</f>
        <v>20711.429999999997</v>
      </c>
      <c r="H271" s="90">
        <f t="shared" si="628"/>
        <v>21111.429999999997</v>
      </c>
      <c r="I271" s="307">
        <f t="shared" ref="I271:I272" si="632">+H271*$X$1</f>
        <v>21111.429999999997</v>
      </c>
      <c r="J271" s="548">
        <f>F271+170</f>
        <v>20881.429999999997</v>
      </c>
      <c r="K271" s="307">
        <f t="shared" ref="K271" si="633">+J271*$X$1</f>
        <v>20881.429999999997</v>
      </c>
      <c r="L271" s="548">
        <f>F271+130</f>
        <v>20841.429999999997</v>
      </c>
      <c r="M271" s="307">
        <f t="shared" ref="M271" si="634">+L271*$X$1</f>
        <v>20841.429999999997</v>
      </c>
      <c r="N271" s="548">
        <f>F271+100</f>
        <v>20811.429999999997</v>
      </c>
      <c r="O271" s="307">
        <f t="shared" ref="O271:O273" si="635">+N271*$X$1</f>
        <v>20811.429999999997</v>
      </c>
      <c r="P271" s="548">
        <f>F271+80</f>
        <v>20791.429999999997</v>
      </c>
      <c r="Q271" s="307">
        <f t="shared" ref="Q271:Q273" si="636">+P271*$X$1</f>
        <v>20791.429999999997</v>
      </c>
      <c r="R271" s="548">
        <f>F271+74</f>
        <v>20785.429999999997</v>
      </c>
      <c r="S271" s="307">
        <f t="shared" ref="S271:S273" si="637">+R271*$X$1</f>
        <v>20785.429999999997</v>
      </c>
      <c r="T271" s="548">
        <f>F271+67</f>
        <v>20778.429999999997</v>
      </c>
      <c r="U271" s="307">
        <f t="shared" ref="U271:U273" si="638">+T271*$X$1</f>
        <v>20778.429999999997</v>
      </c>
      <c r="V271" s="548">
        <f>F271+55</f>
        <v>20766.429999999997</v>
      </c>
      <c r="W271" s="307">
        <f t="shared" ref="W271:W273" si="639">+V271*$X$1</f>
        <v>20766.429999999997</v>
      </c>
      <c r="X271" s="257"/>
      <c r="Y271" s="259"/>
      <c r="Z271" s="259"/>
      <c r="AA271" s="258"/>
      <c r="AB271" s="201">
        <v>1034</v>
      </c>
      <c r="AC271" s="4"/>
      <c r="AD271" s="4"/>
      <c r="AE271" s="4"/>
      <c r="AF271" s="4"/>
      <c r="AG271" s="4"/>
      <c r="AH271" s="133"/>
      <c r="AI271" s="4"/>
      <c r="AJ271" s="4"/>
      <c r="AK271" s="4"/>
      <c r="AL271" s="4"/>
    </row>
    <row r="272" spans="1:38" ht="12.6" customHeight="1" x14ac:dyDescent="0.2">
      <c r="A272" s="18"/>
      <c r="B272" s="641" t="s">
        <v>632</v>
      </c>
      <c r="C272" s="644"/>
      <c r="D272" s="644"/>
      <c r="E272" s="645"/>
      <c r="F272" s="417">
        <f>4.49*X2</f>
        <v>4359.79</v>
      </c>
      <c r="G272" s="306">
        <f t="shared" ref="G272" si="640">+F272*$X$1</f>
        <v>4359.79</v>
      </c>
      <c r="H272" s="72">
        <f t="shared" si="628"/>
        <v>4759.79</v>
      </c>
      <c r="I272" s="306">
        <f t="shared" si="632"/>
        <v>4759.79</v>
      </c>
      <c r="J272" s="613">
        <f>F272+180</f>
        <v>4539.79</v>
      </c>
      <c r="K272" s="306">
        <f>+J272*$X$1</f>
        <v>4539.79</v>
      </c>
      <c r="L272" s="613">
        <f>F272+144</f>
        <v>4503.79</v>
      </c>
      <c r="M272" s="306">
        <f>+L272*$X$1</f>
        <v>4503.79</v>
      </c>
      <c r="N272" s="72">
        <f>F272+114</f>
        <v>4473.79</v>
      </c>
      <c r="O272" s="306">
        <f t="shared" si="635"/>
        <v>4473.79</v>
      </c>
      <c r="P272" s="72">
        <f>F272+96</f>
        <v>4455.79</v>
      </c>
      <c r="Q272" s="306">
        <f t="shared" si="636"/>
        <v>4455.79</v>
      </c>
      <c r="R272" s="613">
        <f>F272+88</f>
        <v>4447.79</v>
      </c>
      <c r="S272" s="306">
        <f t="shared" si="637"/>
        <v>4447.79</v>
      </c>
      <c r="T272" s="613">
        <f>F272+81</f>
        <v>4440.79</v>
      </c>
      <c r="U272" s="306">
        <f t="shared" si="638"/>
        <v>4440.79</v>
      </c>
      <c r="V272" s="613">
        <f>F272+73</f>
        <v>4432.79</v>
      </c>
      <c r="W272" s="306">
        <f t="shared" si="639"/>
        <v>4432.79</v>
      </c>
      <c r="X272" s="251"/>
      <c r="Y272" s="253"/>
      <c r="Z272" s="253"/>
      <c r="AA272" s="252"/>
      <c r="AB272" s="201">
        <v>1036</v>
      </c>
    </row>
    <row r="273" spans="1:29" ht="12.6" customHeight="1" x14ac:dyDescent="0.2">
      <c r="A273" s="18"/>
      <c r="B273" s="669" t="s">
        <v>462</v>
      </c>
      <c r="C273" s="670"/>
      <c r="D273" s="670"/>
      <c r="E273" s="670"/>
      <c r="F273" s="307">
        <v>12270</v>
      </c>
      <c r="G273" s="307">
        <f>+F273*$X$1</f>
        <v>12270</v>
      </c>
      <c r="H273" s="90">
        <f t="shared" si="628"/>
        <v>12670</v>
      </c>
      <c r="I273" s="307">
        <f t="shared" ref="I273" si="641">+H273*$X$1</f>
        <v>12670</v>
      </c>
      <c r="J273" s="548">
        <f t="shared" ref="J273:J286" si="642">F273+170</f>
        <v>12440</v>
      </c>
      <c r="K273" s="307">
        <f t="shared" ref="K273" si="643">+J273*$X$1</f>
        <v>12440</v>
      </c>
      <c r="L273" s="548">
        <f t="shared" ref="L273:L286" si="644">F273+130</f>
        <v>12400</v>
      </c>
      <c r="M273" s="307">
        <f t="shared" ref="M273" si="645">+L273*$X$1</f>
        <v>12400</v>
      </c>
      <c r="N273" s="548">
        <f t="shared" ref="N273:N286" si="646">F273+100</f>
        <v>12370</v>
      </c>
      <c r="O273" s="307">
        <f t="shared" si="635"/>
        <v>12370</v>
      </c>
      <c r="P273" s="548">
        <f t="shared" ref="P273:P286" si="647">F273+80</f>
        <v>12350</v>
      </c>
      <c r="Q273" s="307">
        <f t="shared" si="636"/>
        <v>12350</v>
      </c>
      <c r="R273" s="548">
        <f t="shared" ref="R273:R286" si="648">F273+74</f>
        <v>12344</v>
      </c>
      <c r="S273" s="307">
        <f t="shared" si="637"/>
        <v>12344</v>
      </c>
      <c r="T273" s="548">
        <f t="shared" ref="T273:T286" si="649">F273+67</f>
        <v>12337</v>
      </c>
      <c r="U273" s="307">
        <f t="shared" si="638"/>
        <v>12337</v>
      </c>
      <c r="V273" s="548">
        <f t="shared" ref="V273:V286" si="650">F273+55</f>
        <v>12325</v>
      </c>
      <c r="W273" s="307">
        <f t="shared" si="639"/>
        <v>12325</v>
      </c>
      <c r="X273" s="638"/>
      <c r="Y273" s="639"/>
      <c r="Z273" s="639"/>
      <c r="AA273" s="640"/>
      <c r="AB273" s="201">
        <v>1040</v>
      </c>
      <c r="AC273" s="65"/>
    </row>
    <row r="274" spans="1:29" ht="12.6" customHeight="1" x14ac:dyDescent="0.2">
      <c r="A274" s="18"/>
      <c r="B274" s="625" t="s">
        <v>826</v>
      </c>
      <c r="C274" s="626"/>
      <c r="D274" s="626"/>
      <c r="E274" s="626"/>
      <c r="F274" s="417">
        <f>22.35*X2</f>
        <v>21701.850000000002</v>
      </c>
      <c r="G274" s="306">
        <f>+F274*$X$1</f>
        <v>21701.850000000002</v>
      </c>
      <c r="H274" s="72">
        <f t="shared" si="628"/>
        <v>22101.850000000002</v>
      </c>
      <c r="I274" s="306">
        <f t="shared" ref="I274:I287" si="651">+H274*$X$1</f>
        <v>22101.850000000002</v>
      </c>
      <c r="J274" s="613">
        <f t="shared" si="642"/>
        <v>21871.850000000002</v>
      </c>
      <c r="K274" s="306">
        <f t="shared" ref="K274:K286" si="652">+J274*$X$1</f>
        <v>21871.850000000002</v>
      </c>
      <c r="L274" s="613">
        <f t="shared" si="644"/>
        <v>21831.850000000002</v>
      </c>
      <c r="M274" s="306">
        <f t="shared" ref="M274:M286" si="653">+L274*$X$1</f>
        <v>21831.850000000002</v>
      </c>
      <c r="N274" s="613">
        <f t="shared" si="646"/>
        <v>21801.850000000002</v>
      </c>
      <c r="O274" s="306">
        <f t="shared" ref="O274:O287" si="654">+N274*$X$1</f>
        <v>21801.850000000002</v>
      </c>
      <c r="P274" s="613">
        <f t="shared" si="647"/>
        <v>21781.850000000002</v>
      </c>
      <c r="Q274" s="306">
        <f t="shared" ref="Q274:Q287" si="655">+P274*$X$1</f>
        <v>21781.850000000002</v>
      </c>
      <c r="R274" s="613">
        <f t="shared" si="648"/>
        <v>21775.850000000002</v>
      </c>
      <c r="S274" s="306">
        <f t="shared" ref="S274:S287" si="656">+R274*$X$1</f>
        <v>21775.850000000002</v>
      </c>
      <c r="T274" s="613">
        <f t="shared" si="649"/>
        <v>21768.850000000002</v>
      </c>
      <c r="U274" s="306">
        <f t="shared" ref="U274:U287" si="657">+T274*$X$1</f>
        <v>21768.850000000002</v>
      </c>
      <c r="V274" s="613">
        <f t="shared" si="650"/>
        <v>21756.850000000002</v>
      </c>
      <c r="W274" s="306">
        <f t="shared" ref="W274:W287" si="658">+V274*$X$1</f>
        <v>21756.850000000002</v>
      </c>
      <c r="X274" s="638"/>
      <c r="Y274" s="639"/>
      <c r="Z274" s="639"/>
      <c r="AA274" s="640"/>
      <c r="AB274" s="201">
        <v>1041</v>
      </c>
      <c r="AC274" s="65"/>
    </row>
    <row r="275" spans="1:29" ht="12.6" customHeight="1" x14ac:dyDescent="0.2">
      <c r="A275" s="18"/>
      <c r="B275" s="669" t="s">
        <v>825</v>
      </c>
      <c r="C275" s="670"/>
      <c r="D275" s="670"/>
      <c r="E275" s="670"/>
      <c r="F275" s="418">
        <f>16.6*X2</f>
        <v>16118.600000000002</v>
      </c>
      <c r="G275" s="307">
        <f t="shared" ref="G275" si="659">+F275*$X$1</f>
        <v>16118.600000000002</v>
      </c>
      <c r="H275" s="90">
        <f t="shared" si="628"/>
        <v>16518.600000000002</v>
      </c>
      <c r="I275" s="307">
        <f t="shared" ref="I275" si="660">+H275*$X$1</f>
        <v>16518.600000000002</v>
      </c>
      <c r="J275" s="548">
        <f t="shared" si="642"/>
        <v>16288.600000000002</v>
      </c>
      <c r="K275" s="307">
        <f t="shared" ref="K275" si="661">+J275*$X$1</f>
        <v>16288.600000000002</v>
      </c>
      <c r="L275" s="548">
        <f t="shared" si="644"/>
        <v>16248.600000000002</v>
      </c>
      <c r="M275" s="307">
        <f t="shared" ref="M275" si="662">+L275*$X$1</f>
        <v>16248.600000000002</v>
      </c>
      <c r="N275" s="548">
        <f t="shared" si="646"/>
        <v>16218.600000000002</v>
      </c>
      <c r="O275" s="307">
        <f t="shared" ref="O275" si="663">+N275*$X$1</f>
        <v>16218.600000000002</v>
      </c>
      <c r="P275" s="548">
        <f t="shared" si="647"/>
        <v>16198.600000000002</v>
      </c>
      <c r="Q275" s="307">
        <f t="shared" ref="Q275" si="664">+P275*$X$1</f>
        <v>16198.600000000002</v>
      </c>
      <c r="R275" s="548">
        <f t="shared" si="648"/>
        <v>16192.600000000002</v>
      </c>
      <c r="S275" s="307">
        <f t="shared" ref="S275" si="665">+R275*$X$1</f>
        <v>16192.600000000002</v>
      </c>
      <c r="T275" s="548">
        <f t="shared" si="649"/>
        <v>16185.600000000002</v>
      </c>
      <c r="U275" s="307">
        <f t="shared" ref="U275" si="666">+T275*$X$1</f>
        <v>16185.600000000002</v>
      </c>
      <c r="V275" s="548">
        <f t="shared" si="650"/>
        <v>16173.600000000002</v>
      </c>
      <c r="W275" s="307">
        <f t="shared" ref="W275" si="667">+V275*$X$1</f>
        <v>16173.600000000002</v>
      </c>
      <c r="X275" s="638"/>
      <c r="Y275" s="639"/>
      <c r="Z275" s="639"/>
      <c r="AA275" s="640"/>
      <c r="AB275" s="201">
        <v>1042</v>
      </c>
    </row>
    <row r="276" spans="1:29" ht="12.6" customHeight="1" x14ac:dyDescent="0.2">
      <c r="A276" s="18"/>
      <c r="B276" s="625" t="s">
        <v>553</v>
      </c>
      <c r="C276" s="626"/>
      <c r="D276" s="626"/>
      <c r="E276" s="626"/>
      <c r="F276" s="306">
        <v>20434</v>
      </c>
      <c r="G276" s="306">
        <f t="shared" ref="G276:G284" si="668">+F276*$X$1</f>
        <v>20434</v>
      </c>
      <c r="H276" s="72">
        <f t="shared" si="628"/>
        <v>20834</v>
      </c>
      <c r="I276" s="306">
        <f t="shared" si="651"/>
        <v>20834</v>
      </c>
      <c r="J276" s="613">
        <f t="shared" si="642"/>
        <v>20604</v>
      </c>
      <c r="K276" s="306">
        <f t="shared" si="652"/>
        <v>20604</v>
      </c>
      <c r="L276" s="613">
        <f t="shared" si="644"/>
        <v>20564</v>
      </c>
      <c r="M276" s="306">
        <f t="shared" si="653"/>
        <v>20564</v>
      </c>
      <c r="N276" s="613">
        <f t="shared" si="646"/>
        <v>20534</v>
      </c>
      <c r="O276" s="306">
        <f t="shared" si="654"/>
        <v>20534</v>
      </c>
      <c r="P276" s="613">
        <f t="shared" si="647"/>
        <v>20514</v>
      </c>
      <c r="Q276" s="306">
        <f t="shared" si="655"/>
        <v>20514</v>
      </c>
      <c r="R276" s="613">
        <f t="shared" si="648"/>
        <v>20508</v>
      </c>
      <c r="S276" s="306">
        <f t="shared" si="656"/>
        <v>20508</v>
      </c>
      <c r="T276" s="613">
        <f t="shared" si="649"/>
        <v>20501</v>
      </c>
      <c r="U276" s="306">
        <f t="shared" si="657"/>
        <v>20501</v>
      </c>
      <c r="V276" s="613">
        <f t="shared" si="650"/>
        <v>20489</v>
      </c>
      <c r="W276" s="306">
        <f t="shared" si="658"/>
        <v>20489</v>
      </c>
      <c r="X276" s="638"/>
      <c r="Y276" s="639"/>
      <c r="Z276" s="639"/>
      <c r="AA276" s="640"/>
      <c r="AB276" s="201">
        <v>1043</v>
      </c>
      <c r="AC276" s="65"/>
    </row>
    <row r="277" spans="1:29" ht="12.6" customHeight="1" x14ac:dyDescent="0.2">
      <c r="A277" s="18"/>
      <c r="B277" s="669" t="s">
        <v>554</v>
      </c>
      <c r="C277" s="670"/>
      <c r="D277" s="670"/>
      <c r="E277" s="670"/>
      <c r="F277" s="307">
        <v>20682</v>
      </c>
      <c r="G277" s="307">
        <f t="shared" si="668"/>
        <v>20682</v>
      </c>
      <c r="H277" s="90">
        <f t="shared" si="628"/>
        <v>21082</v>
      </c>
      <c r="I277" s="307">
        <f t="shared" si="651"/>
        <v>21082</v>
      </c>
      <c r="J277" s="548">
        <f t="shared" si="642"/>
        <v>20852</v>
      </c>
      <c r="K277" s="307">
        <f t="shared" si="652"/>
        <v>20852</v>
      </c>
      <c r="L277" s="548">
        <f t="shared" si="644"/>
        <v>20812</v>
      </c>
      <c r="M277" s="307">
        <f t="shared" si="653"/>
        <v>20812</v>
      </c>
      <c r="N277" s="548">
        <f t="shared" si="646"/>
        <v>20782</v>
      </c>
      <c r="O277" s="307">
        <f t="shared" si="654"/>
        <v>20782</v>
      </c>
      <c r="P277" s="548">
        <f t="shared" si="647"/>
        <v>20762</v>
      </c>
      <c r="Q277" s="307">
        <f t="shared" si="655"/>
        <v>20762</v>
      </c>
      <c r="R277" s="548">
        <f t="shared" si="648"/>
        <v>20756</v>
      </c>
      <c r="S277" s="307">
        <f t="shared" si="656"/>
        <v>20756</v>
      </c>
      <c r="T277" s="548">
        <f t="shared" si="649"/>
        <v>20749</v>
      </c>
      <c r="U277" s="307">
        <f t="shared" si="657"/>
        <v>20749</v>
      </c>
      <c r="V277" s="548">
        <f t="shared" si="650"/>
        <v>20737</v>
      </c>
      <c r="W277" s="307">
        <f t="shared" si="658"/>
        <v>20737</v>
      </c>
      <c r="X277" s="638"/>
      <c r="Y277" s="639"/>
      <c r="Z277" s="639"/>
      <c r="AA277" s="640"/>
      <c r="AB277" s="201">
        <v>1044</v>
      </c>
      <c r="AC277" s="65"/>
    </row>
    <row r="278" spans="1:29" ht="12.6" customHeight="1" x14ac:dyDescent="0.2">
      <c r="A278" s="18"/>
      <c r="B278" s="693" t="s">
        <v>865</v>
      </c>
      <c r="C278" s="837"/>
      <c r="D278" s="837"/>
      <c r="E278" s="837"/>
      <c r="F278" s="306">
        <v>21770</v>
      </c>
      <c r="G278" s="306">
        <f>+F278*$X$1</f>
        <v>21770</v>
      </c>
      <c r="H278" s="72">
        <f t="shared" si="628"/>
        <v>22170</v>
      </c>
      <c r="I278" s="306">
        <f t="shared" si="651"/>
        <v>22170</v>
      </c>
      <c r="J278" s="613">
        <f t="shared" si="642"/>
        <v>21940</v>
      </c>
      <c r="K278" s="306">
        <f t="shared" si="652"/>
        <v>21940</v>
      </c>
      <c r="L278" s="613">
        <f t="shared" si="644"/>
        <v>21900</v>
      </c>
      <c r="M278" s="306">
        <f t="shared" si="653"/>
        <v>21900</v>
      </c>
      <c r="N278" s="613">
        <f t="shared" si="646"/>
        <v>21870</v>
      </c>
      <c r="O278" s="306">
        <f t="shared" si="654"/>
        <v>21870</v>
      </c>
      <c r="P278" s="613">
        <f t="shared" si="647"/>
        <v>21850</v>
      </c>
      <c r="Q278" s="306">
        <f t="shared" si="655"/>
        <v>21850</v>
      </c>
      <c r="R278" s="613">
        <f t="shared" si="648"/>
        <v>21844</v>
      </c>
      <c r="S278" s="306">
        <f t="shared" si="656"/>
        <v>21844</v>
      </c>
      <c r="T278" s="613">
        <f t="shared" si="649"/>
        <v>21837</v>
      </c>
      <c r="U278" s="306">
        <f t="shared" si="657"/>
        <v>21837</v>
      </c>
      <c r="V278" s="613">
        <f t="shared" si="650"/>
        <v>21825</v>
      </c>
      <c r="W278" s="306">
        <f t="shared" si="658"/>
        <v>21825</v>
      </c>
      <c r="X278" s="639"/>
      <c r="Y278" s="639"/>
      <c r="Z278" s="639"/>
      <c r="AA278" s="640"/>
      <c r="AB278" s="201">
        <v>1045</v>
      </c>
      <c r="AC278" s="65"/>
    </row>
    <row r="279" spans="1:29" ht="12.6" customHeight="1" x14ac:dyDescent="0.2">
      <c r="A279" s="18"/>
      <c r="B279" s="693" t="s">
        <v>866</v>
      </c>
      <c r="C279" s="837"/>
      <c r="D279" s="837"/>
      <c r="E279" s="837"/>
      <c r="F279" s="307">
        <v>19392</v>
      </c>
      <c r="G279" s="307">
        <f>+F279*$X$1</f>
        <v>19392</v>
      </c>
      <c r="H279" s="90">
        <f t="shared" si="628"/>
        <v>19792</v>
      </c>
      <c r="I279" s="307">
        <f t="shared" si="651"/>
        <v>19792</v>
      </c>
      <c r="J279" s="548">
        <f t="shared" si="642"/>
        <v>19562</v>
      </c>
      <c r="K279" s="307">
        <f t="shared" si="652"/>
        <v>19562</v>
      </c>
      <c r="L279" s="548">
        <f t="shared" si="644"/>
        <v>19522</v>
      </c>
      <c r="M279" s="307">
        <f t="shared" si="653"/>
        <v>19522</v>
      </c>
      <c r="N279" s="548">
        <f t="shared" si="646"/>
        <v>19492</v>
      </c>
      <c r="O279" s="307">
        <f t="shared" si="654"/>
        <v>19492</v>
      </c>
      <c r="P279" s="548">
        <f t="shared" si="647"/>
        <v>19472</v>
      </c>
      <c r="Q279" s="307">
        <f t="shared" si="655"/>
        <v>19472</v>
      </c>
      <c r="R279" s="548">
        <f t="shared" si="648"/>
        <v>19466</v>
      </c>
      <c r="S279" s="307">
        <f t="shared" si="656"/>
        <v>19466</v>
      </c>
      <c r="T279" s="548">
        <f t="shared" si="649"/>
        <v>19459</v>
      </c>
      <c r="U279" s="307">
        <f t="shared" si="657"/>
        <v>19459</v>
      </c>
      <c r="V279" s="548">
        <f t="shared" si="650"/>
        <v>19447</v>
      </c>
      <c r="W279" s="307">
        <f t="shared" si="658"/>
        <v>19447</v>
      </c>
      <c r="X279" s="639"/>
      <c r="Y279" s="639"/>
      <c r="Z279" s="639"/>
      <c r="AA279" s="640"/>
      <c r="AB279" s="201">
        <v>1046</v>
      </c>
      <c r="AC279" s="65"/>
    </row>
    <row r="280" spans="1:29" ht="12.6" customHeight="1" x14ac:dyDescent="0.2">
      <c r="A280" s="18"/>
      <c r="B280" s="625" t="s">
        <v>587</v>
      </c>
      <c r="C280" s="626"/>
      <c r="D280" s="626"/>
      <c r="E280" s="626"/>
      <c r="F280" s="306">
        <v>11260</v>
      </c>
      <c r="G280" s="306">
        <f t="shared" si="668"/>
        <v>11260</v>
      </c>
      <c r="H280" s="72">
        <f t="shared" si="628"/>
        <v>11660</v>
      </c>
      <c r="I280" s="306">
        <f t="shared" si="651"/>
        <v>11660</v>
      </c>
      <c r="J280" s="613">
        <f t="shared" si="642"/>
        <v>11430</v>
      </c>
      <c r="K280" s="306">
        <f t="shared" si="652"/>
        <v>11430</v>
      </c>
      <c r="L280" s="613">
        <f t="shared" si="644"/>
        <v>11390</v>
      </c>
      <c r="M280" s="306">
        <f t="shared" si="653"/>
        <v>11390</v>
      </c>
      <c r="N280" s="613">
        <f t="shared" si="646"/>
        <v>11360</v>
      </c>
      <c r="O280" s="306">
        <f t="shared" si="654"/>
        <v>11360</v>
      </c>
      <c r="P280" s="613">
        <f t="shared" si="647"/>
        <v>11340</v>
      </c>
      <c r="Q280" s="306">
        <f t="shared" si="655"/>
        <v>11340</v>
      </c>
      <c r="R280" s="613">
        <f t="shared" si="648"/>
        <v>11334</v>
      </c>
      <c r="S280" s="306">
        <f t="shared" si="656"/>
        <v>11334</v>
      </c>
      <c r="T280" s="613">
        <f t="shared" si="649"/>
        <v>11327</v>
      </c>
      <c r="U280" s="306">
        <f t="shared" si="657"/>
        <v>11327</v>
      </c>
      <c r="V280" s="613">
        <f t="shared" si="650"/>
        <v>11315</v>
      </c>
      <c r="W280" s="306">
        <f t="shared" si="658"/>
        <v>11315</v>
      </c>
      <c r="X280" s="638"/>
      <c r="Y280" s="639"/>
      <c r="Z280" s="639"/>
      <c r="AA280" s="640"/>
      <c r="AB280" s="201">
        <v>1048</v>
      </c>
      <c r="AC280" s="65"/>
    </row>
    <row r="281" spans="1:29" ht="12.6" customHeight="1" x14ac:dyDescent="0.2">
      <c r="A281" s="18"/>
      <c r="B281" s="669" t="s">
        <v>586</v>
      </c>
      <c r="C281" s="670"/>
      <c r="D281" s="670"/>
      <c r="E281" s="670"/>
      <c r="F281" s="307">
        <v>10595</v>
      </c>
      <c r="G281" s="307">
        <f t="shared" si="668"/>
        <v>10595</v>
      </c>
      <c r="H281" s="90">
        <f t="shared" si="628"/>
        <v>10995</v>
      </c>
      <c r="I281" s="307">
        <f t="shared" si="651"/>
        <v>10995</v>
      </c>
      <c r="J281" s="548">
        <f t="shared" si="642"/>
        <v>10765</v>
      </c>
      <c r="K281" s="307">
        <f t="shared" si="652"/>
        <v>10765</v>
      </c>
      <c r="L281" s="548">
        <f t="shared" si="644"/>
        <v>10725</v>
      </c>
      <c r="M281" s="307">
        <f t="shared" si="653"/>
        <v>10725</v>
      </c>
      <c r="N281" s="548">
        <f t="shared" si="646"/>
        <v>10695</v>
      </c>
      <c r="O281" s="307">
        <f t="shared" si="654"/>
        <v>10695</v>
      </c>
      <c r="P281" s="548">
        <f t="shared" si="647"/>
        <v>10675</v>
      </c>
      <c r="Q281" s="307">
        <f t="shared" si="655"/>
        <v>10675</v>
      </c>
      <c r="R281" s="548">
        <f t="shared" si="648"/>
        <v>10669</v>
      </c>
      <c r="S281" s="307">
        <f t="shared" si="656"/>
        <v>10669</v>
      </c>
      <c r="T281" s="548">
        <f t="shared" si="649"/>
        <v>10662</v>
      </c>
      <c r="U281" s="307">
        <f t="shared" si="657"/>
        <v>10662</v>
      </c>
      <c r="V281" s="548">
        <f t="shared" si="650"/>
        <v>10650</v>
      </c>
      <c r="W281" s="307">
        <f t="shared" si="658"/>
        <v>10650</v>
      </c>
      <c r="X281" s="638"/>
      <c r="Y281" s="639"/>
      <c r="Z281" s="639"/>
      <c r="AA281" s="640"/>
      <c r="AB281" s="201">
        <v>1049</v>
      </c>
      <c r="AC281" s="65"/>
    </row>
    <row r="282" spans="1:29" ht="12.6" customHeight="1" x14ac:dyDescent="0.2">
      <c r="A282" s="18"/>
      <c r="B282" s="625" t="s">
        <v>588</v>
      </c>
      <c r="C282" s="626"/>
      <c r="D282" s="626"/>
      <c r="E282" s="626"/>
      <c r="F282" s="306">
        <v>11920</v>
      </c>
      <c r="G282" s="306">
        <f t="shared" si="668"/>
        <v>11920</v>
      </c>
      <c r="H282" s="72">
        <f t="shared" si="628"/>
        <v>12320</v>
      </c>
      <c r="I282" s="306">
        <f t="shared" si="651"/>
        <v>12320</v>
      </c>
      <c r="J282" s="613">
        <f t="shared" si="642"/>
        <v>12090</v>
      </c>
      <c r="K282" s="306">
        <f t="shared" si="652"/>
        <v>12090</v>
      </c>
      <c r="L282" s="613">
        <f t="shared" si="644"/>
        <v>12050</v>
      </c>
      <c r="M282" s="306">
        <f t="shared" si="653"/>
        <v>12050</v>
      </c>
      <c r="N282" s="613">
        <f t="shared" si="646"/>
        <v>12020</v>
      </c>
      <c r="O282" s="306">
        <f t="shared" si="654"/>
        <v>12020</v>
      </c>
      <c r="P282" s="613">
        <f t="shared" si="647"/>
        <v>12000</v>
      </c>
      <c r="Q282" s="306">
        <f t="shared" si="655"/>
        <v>12000</v>
      </c>
      <c r="R282" s="613">
        <f t="shared" si="648"/>
        <v>11994</v>
      </c>
      <c r="S282" s="306">
        <f t="shared" si="656"/>
        <v>11994</v>
      </c>
      <c r="T282" s="613">
        <f t="shared" si="649"/>
        <v>11987</v>
      </c>
      <c r="U282" s="306">
        <f t="shared" si="657"/>
        <v>11987</v>
      </c>
      <c r="V282" s="613">
        <f t="shared" si="650"/>
        <v>11975</v>
      </c>
      <c r="W282" s="306">
        <f t="shared" si="658"/>
        <v>11975</v>
      </c>
      <c r="X282" s="638"/>
      <c r="Y282" s="639"/>
      <c r="Z282" s="639"/>
      <c r="AA282" s="640"/>
      <c r="AB282" s="201">
        <v>1050</v>
      </c>
      <c r="AC282" s="65"/>
    </row>
    <row r="283" spans="1:29" ht="12.6" customHeight="1" x14ac:dyDescent="0.2">
      <c r="A283" s="18"/>
      <c r="B283" s="1030" t="s">
        <v>867</v>
      </c>
      <c r="C283" s="1031"/>
      <c r="D283" s="1031"/>
      <c r="E283" s="1032"/>
      <c r="F283" s="418">
        <f>12.7*X2</f>
        <v>12331.699999999999</v>
      </c>
      <c r="G283" s="307">
        <f t="shared" ref="G283" si="669">+F283*$X$1</f>
        <v>12331.699999999999</v>
      </c>
      <c r="H283" s="90">
        <f t="shared" si="628"/>
        <v>12731.699999999999</v>
      </c>
      <c r="I283" s="307">
        <f t="shared" si="651"/>
        <v>12731.699999999999</v>
      </c>
      <c r="J283" s="548">
        <f t="shared" si="642"/>
        <v>12501.699999999999</v>
      </c>
      <c r="K283" s="307">
        <f t="shared" si="652"/>
        <v>12501.699999999999</v>
      </c>
      <c r="L283" s="548">
        <f t="shared" si="644"/>
        <v>12461.699999999999</v>
      </c>
      <c r="M283" s="307">
        <f t="shared" si="653"/>
        <v>12461.699999999999</v>
      </c>
      <c r="N283" s="548">
        <f t="shared" si="646"/>
        <v>12431.699999999999</v>
      </c>
      <c r="O283" s="307">
        <f t="shared" si="654"/>
        <v>12431.699999999999</v>
      </c>
      <c r="P283" s="548">
        <f t="shared" si="647"/>
        <v>12411.699999999999</v>
      </c>
      <c r="Q283" s="307">
        <f t="shared" si="655"/>
        <v>12411.699999999999</v>
      </c>
      <c r="R283" s="548">
        <f t="shared" si="648"/>
        <v>12405.699999999999</v>
      </c>
      <c r="S283" s="307">
        <f t="shared" si="656"/>
        <v>12405.699999999999</v>
      </c>
      <c r="T283" s="548">
        <f t="shared" si="649"/>
        <v>12398.699999999999</v>
      </c>
      <c r="U283" s="307">
        <f t="shared" si="657"/>
        <v>12398.699999999999</v>
      </c>
      <c r="V283" s="548">
        <f t="shared" si="650"/>
        <v>12386.699999999999</v>
      </c>
      <c r="W283" s="307">
        <f t="shared" si="658"/>
        <v>12386.699999999999</v>
      </c>
      <c r="X283" s="638"/>
      <c r="Y283" s="639"/>
      <c r="Z283" s="639"/>
      <c r="AA283" s="640"/>
      <c r="AB283" s="201">
        <v>1052</v>
      </c>
      <c r="AC283" s="65"/>
    </row>
    <row r="284" spans="1:29" ht="12.6" customHeight="1" x14ac:dyDescent="0.2">
      <c r="A284" s="18"/>
      <c r="B284" s="641" t="s">
        <v>492</v>
      </c>
      <c r="C284" s="651"/>
      <c r="D284" s="651"/>
      <c r="E284" s="652"/>
      <c r="F284" s="417">
        <f>31.583*X2</f>
        <v>30667.092999999997</v>
      </c>
      <c r="G284" s="306">
        <f t="shared" si="668"/>
        <v>30667.092999999997</v>
      </c>
      <c r="H284" s="72">
        <f t="shared" si="628"/>
        <v>31067.092999999997</v>
      </c>
      <c r="I284" s="306">
        <f t="shared" si="651"/>
        <v>31067.092999999997</v>
      </c>
      <c r="J284" s="613">
        <f t="shared" si="642"/>
        <v>30837.092999999997</v>
      </c>
      <c r="K284" s="306">
        <f t="shared" si="652"/>
        <v>30837.092999999997</v>
      </c>
      <c r="L284" s="613">
        <f t="shared" si="644"/>
        <v>30797.092999999997</v>
      </c>
      <c r="M284" s="306">
        <f t="shared" si="653"/>
        <v>30797.092999999997</v>
      </c>
      <c r="N284" s="613">
        <f t="shared" si="646"/>
        <v>30767.092999999997</v>
      </c>
      <c r="O284" s="306">
        <f t="shared" si="654"/>
        <v>30767.092999999997</v>
      </c>
      <c r="P284" s="613">
        <f t="shared" si="647"/>
        <v>30747.092999999997</v>
      </c>
      <c r="Q284" s="306">
        <f t="shared" si="655"/>
        <v>30747.092999999997</v>
      </c>
      <c r="R284" s="613">
        <f t="shared" si="648"/>
        <v>30741.092999999997</v>
      </c>
      <c r="S284" s="306">
        <f t="shared" si="656"/>
        <v>30741.092999999997</v>
      </c>
      <c r="T284" s="613">
        <f t="shared" si="649"/>
        <v>30734.092999999997</v>
      </c>
      <c r="U284" s="306">
        <f t="shared" si="657"/>
        <v>30734.092999999997</v>
      </c>
      <c r="V284" s="613">
        <f t="shared" si="650"/>
        <v>30722.092999999997</v>
      </c>
      <c r="W284" s="306">
        <f t="shared" si="658"/>
        <v>30722.092999999997</v>
      </c>
      <c r="X284" s="638"/>
      <c r="Y284" s="639"/>
      <c r="Z284" s="639"/>
      <c r="AA284" s="640"/>
      <c r="AB284" s="201">
        <v>1053</v>
      </c>
      <c r="AC284" s="65"/>
    </row>
    <row r="285" spans="1:29" ht="12.6" customHeight="1" x14ac:dyDescent="0.2">
      <c r="A285" s="18"/>
      <c r="B285" s="669" t="s">
        <v>642</v>
      </c>
      <c r="C285" s="670"/>
      <c r="D285" s="670"/>
      <c r="E285" s="670"/>
      <c r="F285" s="307">
        <v>17425</v>
      </c>
      <c r="G285" s="307">
        <f>+F285*$X$1</f>
        <v>17425</v>
      </c>
      <c r="H285" s="90">
        <f t="shared" si="628"/>
        <v>17825</v>
      </c>
      <c r="I285" s="307">
        <f t="shared" si="651"/>
        <v>17825</v>
      </c>
      <c r="J285" s="548">
        <f t="shared" si="642"/>
        <v>17595</v>
      </c>
      <c r="K285" s="307">
        <f t="shared" si="652"/>
        <v>17595</v>
      </c>
      <c r="L285" s="548">
        <f t="shared" si="644"/>
        <v>17555</v>
      </c>
      <c r="M285" s="307">
        <f t="shared" si="653"/>
        <v>17555</v>
      </c>
      <c r="N285" s="548">
        <f t="shared" si="646"/>
        <v>17525</v>
      </c>
      <c r="O285" s="307">
        <f t="shared" si="654"/>
        <v>17525</v>
      </c>
      <c r="P285" s="548">
        <f t="shared" si="647"/>
        <v>17505</v>
      </c>
      <c r="Q285" s="307">
        <f t="shared" si="655"/>
        <v>17505</v>
      </c>
      <c r="R285" s="548">
        <f t="shared" si="648"/>
        <v>17499</v>
      </c>
      <c r="S285" s="307">
        <f t="shared" si="656"/>
        <v>17499</v>
      </c>
      <c r="T285" s="548">
        <f t="shared" si="649"/>
        <v>17492</v>
      </c>
      <c r="U285" s="307">
        <f t="shared" si="657"/>
        <v>17492</v>
      </c>
      <c r="V285" s="548">
        <f t="shared" si="650"/>
        <v>17480</v>
      </c>
      <c r="W285" s="307">
        <f t="shared" si="658"/>
        <v>17480</v>
      </c>
      <c r="X285" s="638"/>
      <c r="Y285" s="639"/>
      <c r="Z285" s="639"/>
      <c r="AA285" s="640"/>
      <c r="AB285" s="201">
        <v>1057</v>
      </c>
    </row>
    <row r="286" spans="1:29" ht="12.6" customHeight="1" x14ac:dyDescent="0.2">
      <c r="A286" s="18"/>
      <c r="B286" s="625" t="s">
        <v>460</v>
      </c>
      <c r="C286" s="626"/>
      <c r="D286" s="626"/>
      <c r="E286" s="626"/>
      <c r="F286" s="417">
        <f>14*X2</f>
        <v>13594</v>
      </c>
      <c r="G286" s="306">
        <f>+F286*$X$1</f>
        <v>13594</v>
      </c>
      <c r="H286" s="72">
        <f t="shared" si="628"/>
        <v>13994</v>
      </c>
      <c r="I286" s="306">
        <f t="shared" si="651"/>
        <v>13994</v>
      </c>
      <c r="J286" s="613">
        <f t="shared" si="642"/>
        <v>13764</v>
      </c>
      <c r="K286" s="306">
        <f t="shared" si="652"/>
        <v>13764</v>
      </c>
      <c r="L286" s="613">
        <f t="shared" si="644"/>
        <v>13724</v>
      </c>
      <c r="M286" s="306">
        <f t="shared" si="653"/>
        <v>13724</v>
      </c>
      <c r="N286" s="613">
        <f t="shared" si="646"/>
        <v>13694</v>
      </c>
      <c r="O286" s="306">
        <f t="shared" si="654"/>
        <v>13694</v>
      </c>
      <c r="P286" s="613">
        <f t="shared" si="647"/>
        <v>13674</v>
      </c>
      <c r="Q286" s="306">
        <f t="shared" si="655"/>
        <v>13674</v>
      </c>
      <c r="R286" s="613">
        <f t="shared" si="648"/>
        <v>13668</v>
      </c>
      <c r="S286" s="306">
        <f t="shared" si="656"/>
        <v>13668</v>
      </c>
      <c r="T286" s="613">
        <f t="shared" si="649"/>
        <v>13661</v>
      </c>
      <c r="U286" s="306">
        <f t="shared" si="657"/>
        <v>13661</v>
      </c>
      <c r="V286" s="613">
        <f t="shared" si="650"/>
        <v>13649</v>
      </c>
      <c r="W286" s="306">
        <f t="shared" si="658"/>
        <v>13649</v>
      </c>
      <c r="X286" s="638"/>
      <c r="Y286" s="639"/>
      <c r="Z286" s="639"/>
      <c r="AA286" s="640"/>
      <c r="AB286" s="201">
        <v>1064</v>
      </c>
      <c r="AC286" s="65"/>
    </row>
    <row r="287" spans="1:29" ht="12.6" customHeight="1" x14ac:dyDescent="0.2">
      <c r="A287" s="18"/>
      <c r="B287" s="682" t="s">
        <v>221</v>
      </c>
      <c r="C287" s="683"/>
      <c r="D287" s="683"/>
      <c r="E287" s="684"/>
      <c r="F287" s="418">
        <f>12.1*X2</f>
        <v>11749.1</v>
      </c>
      <c r="G287" s="307">
        <f>+F287*$X$1</f>
        <v>11749.1</v>
      </c>
      <c r="H287" s="90">
        <f t="shared" si="628"/>
        <v>12149.1</v>
      </c>
      <c r="I287" s="307">
        <f t="shared" si="651"/>
        <v>12149.1</v>
      </c>
      <c r="J287" s="548">
        <f>F287+180</f>
        <v>11929.1</v>
      </c>
      <c r="K287" s="307">
        <f>+J287*$X$1</f>
        <v>11929.1</v>
      </c>
      <c r="L287" s="548">
        <f>F287+144</f>
        <v>11893.1</v>
      </c>
      <c r="M287" s="307">
        <f>+L287*$X$1</f>
        <v>11893.1</v>
      </c>
      <c r="N287" s="90">
        <f>F287+114</f>
        <v>11863.1</v>
      </c>
      <c r="O287" s="307">
        <f t="shared" si="654"/>
        <v>11863.1</v>
      </c>
      <c r="P287" s="90">
        <f>F287+96</f>
        <v>11845.1</v>
      </c>
      <c r="Q287" s="307">
        <f t="shared" si="655"/>
        <v>11845.1</v>
      </c>
      <c r="R287" s="548">
        <f>F287+88</f>
        <v>11837.1</v>
      </c>
      <c r="S287" s="307">
        <f t="shared" si="656"/>
        <v>11837.1</v>
      </c>
      <c r="T287" s="548">
        <f>F287+81</f>
        <v>11830.1</v>
      </c>
      <c r="U287" s="307">
        <f t="shared" si="657"/>
        <v>11830.1</v>
      </c>
      <c r="V287" s="548">
        <f>F287+73</f>
        <v>11822.1</v>
      </c>
      <c r="W287" s="307">
        <f t="shared" si="658"/>
        <v>11822.1</v>
      </c>
      <c r="X287" s="186"/>
      <c r="Y287" s="189"/>
      <c r="Z287" s="189"/>
      <c r="AA287" s="188"/>
      <c r="AB287" s="201">
        <v>1075</v>
      </c>
    </row>
    <row r="288" spans="1:29" ht="12.6" customHeight="1" x14ac:dyDescent="0.2">
      <c r="A288" s="18"/>
      <c r="B288" s="625" t="s">
        <v>408</v>
      </c>
      <c r="C288" s="707"/>
      <c r="D288" s="707"/>
      <c r="E288" s="707"/>
      <c r="F288" s="417">
        <f>8.45*X2</f>
        <v>8204.9499999999989</v>
      </c>
      <c r="G288" s="306">
        <f>+F288*$X$1</f>
        <v>8204.9499999999989</v>
      </c>
      <c r="H288" s="72">
        <f t="shared" si="628"/>
        <v>8604.9499999999989</v>
      </c>
      <c r="I288" s="306">
        <f t="shared" ref="I288" si="670">+H288*$X$1</f>
        <v>8604.9499999999989</v>
      </c>
      <c r="J288" s="613">
        <f>F288+170</f>
        <v>8374.9499999999989</v>
      </c>
      <c r="K288" s="306">
        <f t="shared" ref="K288" si="671">+J288*$X$1</f>
        <v>8374.9499999999989</v>
      </c>
      <c r="L288" s="613">
        <f>F288+130</f>
        <v>8334.9499999999989</v>
      </c>
      <c r="M288" s="306">
        <f t="shared" ref="M288" si="672">+L288*$X$1</f>
        <v>8334.9499999999989</v>
      </c>
      <c r="N288" s="613">
        <f>F288+100</f>
        <v>8304.9499999999989</v>
      </c>
      <c r="O288" s="306">
        <f t="shared" ref="O288" si="673">+N288*$X$1</f>
        <v>8304.9499999999989</v>
      </c>
      <c r="P288" s="613">
        <f>F288+80</f>
        <v>8284.9499999999989</v>
      </c>
      <c r="Q288" s="306">
        <f t="shared" ref="Q288" si="674">+P288*$X$1</f>
        <v>8284.9499999999989</v>
      </c>
      <c r="R288" s="613">
        <f>F288+74</f>
        <v>8278.9499999999989</v>
      </c>
      <c r="S288" s="306">
        <f t="shared" ref="S288" si="675">+R288*$X$1</f>
        <v>8278.9499999999989</v>
      </c>
      <c r="T288" s="613">
        <f>F288+67</f>
        <v>8271.9499999999989</v>
      </c>
      <c r="U288" s="306">
        <f t="shared" ref="U288" si="676">+T288*$X$1</f>
        <v>8271.9499999999989</v>
      </c>
      <c r="V288" s="613">
        <f>F288+55</f>
        <v>8259.9499999999989</v>
      </c>
      <c r="W288" s="306">
        <f t="shared" ref="W288" si="677">+V288*$X$1</f>
        <v>8259.9499999999989</v>
      </c>
      <c r="X288" s="638"/>
      <c r="Y288" s="639"/>
      <c r="Z288" s="639"/>
      <c r="AA288" s="640"/>
      <c r="AB288" s="201">
        <v>1078</v>
      </c>
    </row>
    <row r="289" spans="1:34" ht="12.6" customHeight="1" x14ac:dyDescent="0.2">
      <c r="A289" s="18"/>
      <c r="B289" s="675" t="s">
        <v>411</v>
      </c>
      <c r="C289" s="676"/>
      <c r="D289" s="676"/>
      <c r="E289" s="676"/>
      <c r="F289" s="422">
        <f>6.52*X2</f>
        <v>6330.9199999999992</v>
      </c>
      <c r="G289" s="343">
        <f t="shared" ref="G289" si="678">+F289*$X$1</f>
        <v>6330.9199999999992</v>
      </c>
      <c r="H289" s="90">
        <f t="shared" si="628"/>
        <v>6730.9199999999992</v>
      </c>
      <c r="I289" s="307">
        <f t="shared" ref="I289:I293" si="679">+H289*$X$1</f>
        <v>6730.9199999999992</v>
      </c>
      <c r="J289" s="548"/>
      <c r="K289" s="307"/>
      <c r="L289" s="548"/>
      <c r="M289" s="307"/>
      <c r="N289" s="548"/>
      <c r="O289" s="307"/>
      <c r="P289" s="548"/>
      <c r="Q289" s="307"/>
      <c r="R289" s="548"/>
      <c r="S289" s="307"/>
      <c r="T289" s="548"/>
      <c r="U289" s="307"/>
      <c r="V289" s="548"/>
      <c r="W289" s="307"/>
      <c r="X289" s="639"/>
      <c r="Y289" s="639"/>
      <c r="Z289" s="639"/>
      <c r="AA289" s="640"/>
      <c r="AB289" s="201">
        <v>1079</v>
      </c>
    </row>
    <row r="290" spans="1:34" ht="12.6" customHeight="1" x14ac:dyDescent="0.2">
      <c r="A290" s="18"/>
      <c r="B290" s="625" t="s">
        <v>551</v>
      </c>
      <c r="C290" s="626"/>
      <c r="D290" s="626"/>
      <c r="E290" s="626"/>
      <c r="F290" s="306">
        <v>15467</v>
      </c>
      <c r="G290" s="306">
        <f>+F290*$X$1</f>
        <v>15467</v>
      </c>
      <c r="H290" s="72">
        <f t="shared" si="628"/>
        <v>15867</v>
      </c>
      <c r="I290" s="306">
        <f t="shared" ref="I290:I291" si="680">+H290*$X$1</f>
        <v>15867</v>
      </c>
      <c r="J290" s="613">
        <f t="shared" ref="J290:J295" si="681">F290+170</f>
        <v>15637</v>
      </c>
      <c r="K290" s="306">
        <f t="shared" ref="K290:K291" si="682">+J290*$X$1</f>
        <v>15637</v>
      </c>
      <c r="L290" s="613">
        <f>F290+130</f>
        <v>15597</v>
      </c>
      <c r="M290" s="306">
        <f t="shared" ref="M290:M291" si="683">+L290*$X$1</f>
        <v>15597</v>
      </c>
      <c r="N290" s="613">
        <f>F290+100</f>
        <v>15567</v>
      </c>
      <c r="O290" s="306">
        <f t="shared" ref="O290:O291" si="684">+N290*$X$1</f>
        <v>15567</v>
      </c>
      <c r="P290" s="613">
        <f>F290+80</f>
        <v>15547</v>
      </c>
      <c r="Q290" s="306">
        <f t="shared" ref="Q290:Q291" si="685">+P290*$X$1</f>
        <v>15547</v>
      </c>
      <c r="R290" s="613">
        <f>F290+74</f>
        <v>15541</v>
      </c>
      <c r="S290" s="306">
        <f t="shared" ref="S290:S291" si="686">+R290*$X$1</f>
        <v>15541</v>
      </c>
      <c r="T290" s="613">
        <f>F290+67</f>
        <v>15534</v>
      </c>
      <c r="U290" s="306">
        <f t="shared" ref="U290:U291" si="687">+T290*$X$1</f>
        <v>15534</v>
      </c>
      <c r="V290" s="613">
        <f>F290+55</f>
        <v>15522</v>
      </c>
      <c r="W290" s="306">
        <f t="shared" ref="W290:W291" si="688">+V290*$X$1</f>
        <v>15522</v>
      </c>
      <c r="X290" s="639"/>
      <c r="Y290" s="639"/>
      <c r="Z290" s="639"/>
      <c r="AA290" s="640"/>
      <c r="AB290" s="201">
        <v>1080</v>
      </c>
      <c r="AC290" s="65"/>
    </row>
    <row r="291" spans="1:34" ht="12.6" customHeight="1" x14ac:dyDescent="0.2">
      <c r="A291" s="18"/>
      <c r="B291" s="669" t="s">
        <v>552</v>
      </c>
      <c r="C291" s="670"/>
      <c r="D291" s="670"/>
      <c r="E291" s="670"/>
      <c r="F291" s="307">
        <v>16370</v>
      </c>
      <c r="G291" s="307">
        <f>+F291*$X$1</f>
        <v>16370</v>
      </c>
      <c r="H291" s="90">
        <f t="shared" si="628"/>
        <v>16770</v>
      </c>
      <c r="I291" s="307">
        <f t="shared" si="680"/>
        <v>16770</v>
      </c>
      <c r="J291" s="548">
        <f t="shared" si="681"/>
        <v>16540</v>
      </c>
      <c r="K291" s="307">
        <f t="shared" si="682"/>
        <v>16540</v>
      </c>
      <c r="L291" s="548">
        <f>F291+130</f>
        <v>16500</v>
      </c>
      <c r="M291" s="307">
        <f t="shared" si="683"/>
        <v>16500</v>
      </c>
      <c r="N291" s="548">
        <f>F291+100</f>
        <v>16470</v>
      </c>
      <c r="O291" s="307">
        <f t="shared" si="684"/>
        <v>16470</v>
      </c>
      <c r="P291" s="548">
        <f>F291+80</f>
        <v>16450</v>
      </c>
      <c r="Q291" s="307">
        <f t="shared" si="685"/>
        <v>16450</v>
      </c>
      <c r="R291" s="548">
        <f>F291+74</f>
        <v>16444</v>
      </c>
      <c r="S291" s="307">
        <f t="shared" si="686"/>
        <v>16444</v>
      </c>
      <c r="T291" s="548">
        <f>F291+67</f>
        <v>16437</v>
      </c>
      <c r="U291" s="307">
        <f t="shared" si="687"/>
        <v>16437</v>
      </c>
      <c r="V291" s="548">
        <f>F291+55</f>
        <v>16425</v>
      </c>
      <c r="W291" s="307">
        <f t="shared" si="688"/>
        <v>16425</v>
      </c>
      <c r="X291" s="639"/>
      <c r="Y291" s="639"/>
      <c r="Z291" s="639"/>
      <c r="AA291" s="640"/>
      <c r="AB291" s="201">
        <v>1081</v>
      </c>
      <c r="AC291" s="65"/>
    </row>
    <row r="292" spans="1:34" ht="12.6" customHeight="1" x14ac:dyDescent="0.2">
      <c r="A292" s="18"/>
      <c r="B292" s="625" t="s">
        <v>674</v>
      </c>
      <c r="C292" s="626"/>
      <c r="D292" s="626"/>
      <c r="E292" s="626"/>
      <c r="F292" s="306">
        <v>20463</v>
      </c>
      <c r="G292" s="306">
        <f>+F292*$X$1</f>
        <v>20463</v>
      </c>
      <c r="H292" s="72">
        <f t="shared" si="628"/>
        <v>20863</v>
      </c>
      <c r="I292" s="306">
        <f t="shared" si="679"/>
        <v>20863</v>
      </c>
      <c r="J292" s="613">
        <f t="shared" si="681"/>
        <v>20633</v>
      </c>
      <c r="K292" s="306">
        <f t="shared" ref="K292:K294" si="689">+J292*$X$1</f>
        <v>20633</v>
      </c>
      <c r="L292" s="613">
        <f>F292+130</f>
        <v>20593</v>
      </c>
      <c r="M292" s="306">
        <f t="shared" ref="M292:M294" si="690">+L292*$X$1</f>
        <v>20593</v>
      </c>
      <c r="N292" s="613">
        <f>F292+100</f>
        <v>20563</v>
      </c>
      <c r="O292" s="306">
        <f t="shared" ref="O292:O294" si="691">+N292*$X$1</f>
        <v>20563</v>
      </c>
      <c r="P292" s="613">
        <f>F292+80</f>
        <v>20543</v>
      </c>
      <c r="Q292" s="306">
        <f t="shared" ref="Q292:Q294" si="692">+P292*$X$1</f>
        <v>20543</v>
      </c>
      <c r="R292" s="613">
        <f>F292+74</f>
        <v>20537</v>
      </c>
      <c r="S292" s="306">
        <f t="shared" ref="S292:S294" si="693">+R292*$X$1</f>
        <v>20537</v>
      </c>
      <c r="T292" s="613">
        <f>F292+67</f>
        <v>20530</v>
      </c>
      <c r="U292" s="306">
        <f t="shared" ref="U292:U294" si="694">+T292*$X$1</f>
        <v>20530</v>
      </c>
      <c r="V292" s="613">
        <f>F292+55</f>
        <v>20518</v>
      </c>
      <c r="W292" s="306">
        <f t="shared" ref="W292:W294" si="695">+V292*$X$1</f>
        <v>20518</v>
      </c>
      <c r="X292" s="639"/>
      <c r="Y292" s="639"/>
      <c r="Z292" s="639"/>
      <c r="AA292" s="640"/>
      <c r="AB292" s="201">
        <v>1082</v>
      </c>
      <c r="AC292" s="65"/>
    </row>
    <row r="293" spans="1:34" ht="12.6" customHeight="1" x14ac:dyDescent="0.2">
      <c r="A293" s="18"/>
      <c r="B293" s="669" t="s">
        <v>464</v>
      </c>
      <c r="C293" s="670"/>
      <c r="D293" s="670"/>
      <c r="E293" s="670"/>
      <c r="F293" s="307">
        <v>13390</v>
      </c>
      <c r="G293" s="307">
        <f>+F293*$X$1</f>
        <v>13390</v>
      </c>
      <c r="H293" s="90">
        <f t="shared" si="628"/>
        <v>13790</v>
      </c>
      <c r="I293" s="307">
        <f t="shared" si="679"/>
        <v>13790</v>
      </c>
      <c r="J293" s="548">
        <f t="shared" si="681"/>
        <v>13560</v>
      </c>
      <c r="K293" s="307">
        <f t="shared" si="689"/>
        <v>13560</v>
      </c>
      <c r="L293" s="548">
        <f>F293+130</f>
        <v>13520</v>
      </c>
      <c r="M293" s="307">
        <f t="shared" si="690"/>
        <v>13520</v>
      </c>
      <c r="N293" s="548">
        <f>F293+100</f>
        <v>13490</v>
      </c>
      <c r="O293" s="307">
        <f t="shared" si="691"/>
        <v>13490</v>
      </c>
      <c r="P293" s="548">
        <f>F293+80</f>
        <v>13470</v>
      </c>
      <c r="Q293" s="307">
        <f t="shared" si="692"/>
        <v>13470</v>
      </c>
      <c r="R293" s="548">
        <f>F293+74</f>
        <v>13464</v>
      </c>
      <c r="S293" s="307">
        <f t="shared" si="693"/>
        <v>13464</v>
      </c>
      <c r="T293" s="548">
        <f>F293+67</f>
        <v>13457</v>
      </c>
      <c r="U293" s="307">
        <f t="shared" si="694"/>
        <v>13457</v>
      </c>
      <c r="V293" s="548">
        <f>F293+55</f>
        <v>13445</v>
      </c>
      <c r="W293" s="307">
        <f t="shared" si="695"/>
        <v>13445</v>
      </c>
      <c r="X293" s="639"/>
      <c r="Y293" s="639"/>
      <c r="Z293" s="639"/>
      <c r="AA293" s="640"/>
      <c r="AB293" s="201">
        <v>1083</v>
      </c>
      <c r="AC293" s="65"/>
    </row>
    <row r="294" spans="1:34" ht="12.6" customHeight="1" x14ac:dyDescent="0.2">
      <c r="A294" s="18"/>
      <c r="B294" s="664" t="s">
        <v>885</v>
      </c>
      <c r="C294" s="665"/>
      <c r="D294" s="665"/>
      <c r="E294" s="665"/>
      <c r="F294" s="417">
        <f>2.35*X2</f>
        <v>2281.85</v>
      </c>
      <c r="G294" s="306">
        <f t="shared" ref="G294" si="696">+F294*$X$1</f>
        <v>2281.85</v>
      </c>
      <c r="H294" s="613">
        <f t="shared" si="628"/>
        <v>2681.85</v>
      </c>
      <c r="I294" s="306">
        <f>+H294*$X$1</f>
        <v>2681.85</v>
      </c>
      <c r="J294" s="72">
        <f t="shared" si="681"/>
        <v>2451.85</v>
      </c>
      <c r="K294" s="306">
        <f t="shared" si="689"/>
        <v>2451.85</v>
      </c>
      <c r="L294" s="613">
        <f>F294+120</f>
        <v>2401.85</v>
      </c>
      <c r="M294" s="306">
        <f t="shared" si="690"/>
        <v>2401.85</v>
      </c>
      <c r="N294" s="613">
        <f>F294+65</f>
        <v>2346.85</v>
      </c>
      <c r="O294" s="306">
        <f t="shared" si="691"/>
        <v>2346.85</v>
      </c>
      <c r="P294" s="613">
        <f>F294+55</f>
        <v>2336.85</v>
      </c>
      <c r="Q294" s="306">
        <f t="shared" si="692"/>
        <v>2336.85</v>
      </c>
      <c r="R294" s="613">
        <f>F294+49</f>
        <v>2330.85</v>
      </c>
      <c r="S294" s="306">
        <f t="shared" si="693"/>
        <v>2330.85</v>
      </c>
      <c r="T294" s="613">
        <f>F294+43</f>
        <v>2324.85</v>
      </c>
      <c r="U294" s="306">
        <f t="shared" si="694"/>
        <v>2324.85</v>
      </c>
      <c r="V294" s="613">
        <f>F294+34</f>
        <v>2315.85</v>
      </c>
      <c r="W294" s="306">
        <f t="shared" si="695"/>
        <v>2315.85</v>
      </c>
      <c r="X294" s="627"/>
      <c r="Y294" s="1039"/>
      <c r="Z294" s="1039"/>
      <c r="AA294" s="1040"/>
      <c r="AB294" s="451">
        <v>2130</v>
      </c>
      <c r="AC294" s="66"/>
    </row>
    <row r="295" spans="1:34" ht="12.6" customHeight="1" x14ac:dyDescent="0.2">
      <c r="A295" s="18"/>
      <c r="B295" s="675" t="s">
        <v>886</v>
      </c>
      <c r="C295" s="676"/>
      <c r="D295" s="676"/>
      <c r="E295" s="676"/>
      <c r="F295" s="418">
        <f>3.89*X2</f>
        <v>3777.19</v>
      </c>
      <c r="G295" s="307">
        <f t="shared" ref="G295" si="697">+F295*$X$1</f>
        <v>3777.19</v>
      </c>
      <c r="H295" s="548">
        <f t="shared" si="628"/>
        <v>4177.1900000000005</v>
      </c>
      <c r="I295" s="307">
        <f>+H295*$X$1</f>
        <v>4177.1900000000005</v>
      </c>
      <c r="J295" s="90">
        <f t="shared" si="681"/>
        <v>3947.19</v>
      </c>
      <c r="K295" s="307">
        <f t="shared" ref="K295" si="698">+J295*$X$1</f>
        <v>3947.19</v>
      </c>
      <c r="L295" s="548">
        <f>F295+120</f>
        <v>3897.19</v>
      </c>
      <c r="M295" s="307">
        <f t="shared" ref="M295" si="699">+L295*$X$1</f>
        <v>3897.19</v>
      </c>
      <c r="N295" s="548">
        <f>F295+65</f>
        <v>3842.19</v>
      </c>
      <c r="O295" s="307">
        <f t="shared" ref="O295" si="700">+N295*$X$1</f>
        <v>3842.19</v>
      </c>
      <c r="P295" s="548">
        <f>F295+55</f>
        <v>3832.19</v>
      </c>
      <c r="Q295" s="307">
        <f t="shared" ref="Q295" si="701">+P295*$X$1</f>
        <v>3832.19</v>
      </c>
      <c r="R295" s="548">
        <f>F295+49</f>
        <v>3826.19</v>
      </c>
      <c r="S295" s="307">
        <f t="shared" ref="S295" si="702">+R295*$X$1</f>
        <v>3826.19</v>
      </c>
      <c r="T295" s="548">
        <f>F295+43</f>
        <v>3820.19</v>
      </c>
      <c r="U295" s="307">
        <f t="shared" ref="U295" si="703">+T295*$X$1</f>
        <v>3820.19</v>
      </c>
      <c r="V295" s="548">
        <f>F295+34</f>
        <v>3811.19</v>
      </c>
      <c r="W295" s="307">
        <f t="shared" ref="W295" si="704">+V295*$X$1</f>
        <v>3811.19</v>
      </c>
      <c r="X295" s="627"/>
      <c r="Y295" s="1039"/>
      <c r="Z295" s="1039"/>
      <c r="AA295" s="1040"/>
      <c r="AB295" s="451">
        <v>2131</v>
      </c>
      <c r="AC295" s="66"/>
    </row>
    <row r="296" spans="1:34" ht="12.6" customHeight="1" x14ac:dyDescent="0.2">
      <c r="A296" s="108"/>
      <c r="B296" s="625" t="s">
        <v>222</v>
      </c>
      <c r="C296" s="626"/>
      <c r="D296" s="626"/>
      <c r="E296" s="626"/>
      <c r="F296" s="417">
        <f>0.445*X2</f>
        <v>432.09500000000003</v>
      </c>
      <c r="G296" s="306">
        <f t="shared" ref="G296:G297" si="705">+F296*$X$1</f>
        <v>432.09500000000003</v>
      </c>
      <c r="H296" s="298"/>
      <c r="I296" s="372"/>
      <c r="J296" s="613"/>
      <c r="K296" s="306"/>
      <c r="L296" s="613">
        <f>F296+100</f>
        <v>532.09500000000003</v>
      </c>
      <c r="M296" s="306">
        <f>+L296*$X$1</f>
        <v>532.09500000000003</v>
      </c>
      <c r="N296" s="613">
        <f>F296+52</f>
        <v>484.09500000000003</v>
      </c>
      <c r="O296" s="306">
        <f>+N296*$X$1</f>
        <v>484.09500000000003</v>
      </c>
      <c r="P296" s="613">
        <f>F296+44</f>
        <v>476.09500000000003</v>
      </c>
      <c r="Q296" s="306">
        <f>+P296*$X$1</f>
        <v>476.09500000000003</v>
      </c>
      <c r="R296" s="613">
        <f>F296+37</f>
        <v>469.09500000000003</v>
      </c>
      <c r="S296" s="306">
        <f>+R296*$X$1</f>
        <v>469.09500000000003</v>
      </c>
      <c r="T296" s="105">
        <f>F296+29</f>
        <v>461.09500000000003</v>
      </c>
      <c r="U296" s="271">
        <f>+T296*$X$1</f>
        <v>461.09500000000003</v>
      </c>
      <c r="V296" s="105">
        <f>F296+25</f>
        <v>457.09500000000003</v>
      </c>
      <c r="W296" s="271">
        <f>+V296*$X$1</f>
        <v>457.09500000000003</v>
      </c>
      <c r="X296" s="139"/>
      <c r="Y296" s="136"/>
      <c r="Z296" s="136"/>
      <c r="AA296" s="136"/>
      <c r="AB296" s="451">
        <v>2145</v>
      </c>
      <c r="AC296" s="66"/>
    </row>
    <row r="297" spans="1:34" ht="12.6" customHeight="1" x14ac:dyDescent="0.2">
      <c r="A297" s="18"/>
      <c r="B297" s="669" t="s">
        <v>223</v>
      </c>
      <c r="C297" s="670"/>
      <c r="D297" s="670"/>
      <c r="E297" s="670"/>
      <c r="F297" s="418">
        <v>48</v>
      </c>
      <c r="G297" s="307">
        <f t="shared" si="705"/>
        <v>48</v>
      </c>
      <c r="H297" s="297"/>
      <c r="I297" s="373"/>
      <c r="J297" s="548">
        <f>F297+160</f>
        <v>208</v>
      </c>
      <c r="K297" s="307">
        <f t="shared" ref="K297" si="706">+J297*$X$1</f>
        <v>208</v>
      </c>
      <c r="L297" s="548">
        <f>F297+100</f>
        <v>148</v>
      </c>
      <c r="M297" s="307">
        <f>+L297*$X$1</f>
        <v>148</v>
      </c>
      <c r="N297" s="548">
        <f>F297+52</f>
        <v>100</v>
      </c>
      <c r="O297" s="307">
        <f>+N297*$X$1</f>
        <v>100</v>
      </c>
      <c r="P297" s="548">
        <f>F297+44</f>
        <v>92</v>
      </c>
      <c r="Q297" s="307">
        <f>+P297*$X$1</f>
        <v>92</v>
      </c>
      <c r="R297" s="548">
        <f>F297+37</f>
        <v>85</v>
      </c>
      <c r="S297" s="307">
        <f>+R297*$X$1</f>
        <v>85</v>
      </c>
      <c r="T297" s="104">
        <f>F297+29</f>
        <v>77</v>
      </c>
      <c r="U297" s="328">
        <f>+T297*$X$1</f>
        <v>77</v>
      </c>
      <c r="V297" s="104">
        <f>F297+25</f>
        <v>73</v>
      </c>
      <c r="W297" s="328">
        <f>+V297*$X$1</f>
        <v>73</v>
      </c>
      <c r="X297" s="136"/>
      <c r="Y297" s="136"/>
      <c r="Z297" s="136"/>
      <c r="AA297" s="136"/>
      <c r="AB297" s="451">
        <v>2149</v>
      </c>
    </row>
    <row r="298" spans="1:34" ht="12.6" customHeight="1" x14ac:dyDescent="0.25">
      <c r="A298" s="131"/>
      <c r="B298" s="625" t="s">
        <v>224</v>
      </c>
      <c r="C298" s="626"/>
      <c r="D298" s="626"/>
      <c r="E298" s="626"/>
      <c r="F298" s="417">
        <f>0.892*X2</f>
        <v>866.13200000000006</v>
      </c>
      <c r="G298" s="306">
        <f>+F298*$X$1</f>
        <v>866.13200000000006</v>
      </c>
      <c r="H298" s="298"/>
      <c r="I298" s="372"/>
      <c r="J298" s="516"/>
      <c r="K298" s="306"/>
      <c r="L298" s="517"/>
      <c r="M298" s="306"/>
      <c r="N298" s="517"/>
      <c r="O298" s="518"/>
      <c r="P298" s="298"/>
      <c r="Q298" s="372"/>
      <c r="R298" s="517"/>
      <c r="S298" s="518"/>
      <c r="T298" s="517"/>
      <c r="U298" s="518"/>
      <c r="V298" s="517"/>
      <c r="W298" s="518"/>
      <c r="X298" s="136"/>
      <c r="Y298" s="136"/>
      <c r="Z298" s="136"/>
      <c r="AA298" s="136"/>
      <c r="AB298" s="201">
        <v>2151</v>
      </c>
    </row>
    <row r="299" spans="1:34" ht="12.6" customHeight="1" x14ac:dyDescent="0.2">
      <c r="A299" s="18"/>
      <c r="B299" s="675" t="s">
        <v>225</v>
      </c>
      <c r="C299" s="890"/>
      <c r="D299" s="890"/>
      <c r="E299" s="890"/>
      <c r="F299" s="422">
        <f>0.689*X2</f>
        <v>669.01899999999989</v>
      </c>
      <c r="G299" s="343">
        <f>+F299*$X$1</f>
        <v>669.01899999999989</v>
      </c>
      <c r="H299" s="321"/>
      <c r="I299" s="408"/>
      <c r="J299" s="104"/>
      <c r="K299" s="343"/>
      <c r="L299" s="548">
        <f>F299+100</f>
        <v>769.01899999999989</v>
      </c>
      <c r="M299" s="307">
        <f>+L299*$X$1</f>
        <v>769.01899999999989</v>
      </c>
      <c r="N299" s="548">
        <f>F299+52</f>
        <v>721.01899999999989</v>
      </c>
      <c r="O299" s="307">
        <f>+N299*$X$1</f>
        <v>721.01899999999989</v>
      </c>
      <c r="P299" s="548">
        <f>F299+44</f>
        <v>713.01899999999989</v>
      </c>
      <c r="Q299" s="307">
        <f>+P299*$X$1</f>
        <v>713.01899999999989</v>
      </c>
      <c r="R299" s="548">
        <f>F299+37</f>
        <v>706.01899999999989</v>
      </c>
      <c r="S299" s="307">
        <f>+R299*$X$1</f>
        <v>706.01899999999989</v>
      </c>
      <c r="T299" s="104">
        <f>F299+29</f>
        <v>698.01899999999989</v>
      </c>
      <c r="U299" s="328">
        <f>+T299*$X$1</f>
        <v>698.01899999999989</v>
      </c>
      <c r="V299" s="104">
        <f>F299+25</f>
        <v>694.01899999999989</v>
      </c>
      <c r="W299" s="328">
        <f>+V299*$X$1</f>
        <v>694.01899999999989</v>
      </c>
      <c r="X299" s="136"/>
      <c r="Y299" s="136"/>
      <c r="Z299" s="136"/>
      <c r="AA299" s="136"/>
      <c r="AB299" s="466">
        <v>2153</v>
      </c>
      <c r="AC299" s="66"/>
    </row>
    <row r="300" spans="1:34" ht="12.6" customHeight="1" x14ac:dyDescent="0.2">
      <c r="A300" s="18"/>
      <c r="B300" s="625" t="s">
        <v>402</v>
      </c>
      <c r="C300" s="626"/>
      <c r="D300" s="626"/>
      <c r="E300" s="626"/>
      <c r="F300" s="417">
        <f>0.519*X2</f>
        <v>503.94900000000001</v>
      </c>
      <c r="G300" s="306">
        <f>+F300*$X$1</f>
        <v>503.94900000000001</v>
      </c>
      <c r="H300" s="298"/>
      <c r="I300" s="372"/>
      <c r="J300" s="613"/>
      <c r="K300" s="306"/>
      <c r="L300" s="613">
        <f>F300+100</f>
        <v>603.94900000000007</v>
      </c>
      <c r="M300" s="306">
        <f>+L300*$X$1</f>
        <v>603.94900000000007</v>
      </c>
      <c r="N300" s="613">
        <f>F300+52</f>
        <v>555.94900000000007</v>
      </c>
      <c r="O300" s="306">
        <f>+N300*$X$1</f>
        <v>555.94900000000007</v>
      </c>
      <c r="P300" s="613">
        <f t="shared" ref="P300:P306" si="707">F300+44</f>
        <v>547.94900000000007</v>
      </c>
      <c r="Q300" s="306">
        <f t="shared" ref="Q300:Q306" si="708">+P300*$X$1</f>
        <v>547.94900000000007</v>
      </c>
      <c r="R300" s="613">
        <f t="shared" ref="R300:R306" si="709">F300+37</f>
        <v>540.94900000000007</v>
      </c>
      <c r="S300" s="306">
        <f t="shared" ref="S300:S306" si="710">+R300*$X$1</f>
        <v>540.94900000000007</v>
      </c>
      <c r="T300" s="105">
        <f t="shared" ref="T300:T306" si="711">F300+29</f>
        <v>532.94900000000007</v>
      </c>
      <c r="U300" s="271">
        <f t="shared" ref="U300:U306" si="712">+T300*$X$1</f>
        <v>532.94900000000007</v>
      </c>
      <c r="V300" s="105">
        <f t="shared" ref="V300:V306" si="713">F300+25</f>
        <v>528.94900000000007</v>
      </c>
      <c r="W300" s="271">
        <f t="shared" ref="W300:W306" si="714">+V300*$X$1</f>
        <v>528.94900000000007</v>
      </c>
      <c r="X300" s="136"/>
      <c r="Y300" s="144"/>
      <c r="Z300" s="144"/>
      <c r="AA300" s="144"/>
      <c r="AB300" s="464">
        <v>2154</v>
      </c>
      <c r="AC300" s="22"/>
      <c r="AD300" s="22"/>
    </row>
    <row r="301" spans="1:34" ht="12.6" customHeight="1" x14ac:dyDescent="0.2">
      <c r="A301" s="18"/>
      <c r="B301" s="669" t="s">
        <v>403</v>
      </c>
      <c r="C301" s="670"/>
      <c r="D301" s="670"/>
      <c r="E301" s="670"/>
      <c r="F301" s="418">
        <f>0.611*X2</f>
        <v>593.28099999999995</v>
      </c>
      <c r="G301" s="307">
        <f>+F301*$X$1</f>
        <v>593.28099999999995</v>
      </c>
      <c r="H301" s="297"/>
      <c r="I301" s="373"/>
      <c r="J301" s="548"/>
      <c r="K301" s="307"/>
      <c r="L301" s="548">
        <f>F301+100</f>
        <v>693.28099999999995</v>
      </c>
      <c r="M301" s="307">
        <f>+L301*$X$1</f>
        <v>693.28099999999995</v>
      </c>
      <c r="N301" s="548">
        <f>F301+52</f>
        <v>645.28099999999995</v>
      </c>
      <c r="O301" s="307">
        <f>+N301*$X$1</f>
        <v>645.28099999999995</v>
      </c>
      <c r="P301" s="548">
        <f t="shared" si="707"/>
        <v>637.28099999999995</v>
      </c>
      <c r="Q301" s="307">
        <f t="shared" si="708"/>
        <v>637.28099999999995</v>
      </c>
      <c r="R301" s="548">
        <f t="shared" si="709"/>
        <v>630.28099999999995</v>
      </c>
      <c r="S301" s="307">
        <f t="shared" si="710"/>
        <v>630.28099999999995</v>
      </c>
      <c r="T301" s="104">
        <f t="shared" si="711"/>
        <v>622.28099999999995</v>
      </c>
      <c r="U301" s="328">
        <f t="shared" si="712"/>
        <v>622.28099999999995</v>
      </c>
      <c r="V301" s="104">
        <f t="shared" si="713"/>
        <v>618.28099999999995</v>
      </c>
      <c r="W301" s="328">
        <f t="shared" si="714"/>
        <v>618.28099999999995</v>
      </c>
      <c r="X301" s="159"/>
      <c r="Y301" s="136"/>
      <c r="Z301" s="144"/>
      <c r="AA301" s="144"/>
      <c r="AB301" s="464">
        <v>2156</v>
      </c>
      <c r="AC301" s="22"/>
      <c r="AD301" s="22"/>
    </row>
    <row r="302" spans="1:34" ht="12.6" customHeight="1" x14ac:dyDescent="0.2">
      <c r="A302" s="18"/>
      <c r="B302" s="641" t="s">
        <v>226</v>
      </c>
      <c r="C302" s="644"/>
      <c r="D302" s="644"/>
      <c r="E302" s="645"/>
      <c r="F302" s="417">
        <f>0.482*X2</f>
        <v>468.02199999999999</v>
      </c>
      <c r="G302" s="306">
        <f t="shared" ref="G302" si="715">+F302*$X$1</f>
        <v>468.02199999999999</v>
      </c>
      <c r="H302" s="298"/>
      <c r="I302" s="372"/>
      <c r="J302" s="613"/>
      <c r="K302" s="306"/>
      <c r="L302" s="613">
        <f t="shared" ref="L302:L308" si="716">F302+100</f>
        <v>568.02199999999993</v>
      </c>
      <c r="M302" s="306">
        <f t="shared" ref="M302:M308" si="717">+L302*$X$1</f>
        <v>568.02199999999993</v>
      </c>
      <c r="N302" s="613">
        <f t="shared" ref="N302:N308" si="718">F302+52</f>
        <v>520.02199999999993</v>
      </c>
      <c r="O302" s="306">
        <f t="shared" ref="O302:O308" si="719">+N302*$X$1</f>
        <v>520.02199999999993</v>
      </c>
      <c r="P302" s="613">
        <f t="shared" si="707"/>
        <v>512.02199999999993</v>
      </c>
      <c r="Q302" s="306">
        <f t="shared" si="708"/>
        <v>512.02199999999993</v>
      </c>
      <c r="R302" s="613">
        <f t="shared" si="709"/>
        <v>505.02199999999999</v>
      </c>
      <c r="S302" s="306">
        <f t="shared" si="710"/>
        <v>505.02199999999999</v>
      </c>
      <c r="T302" s="105">
        <f t="shared" si="711"/>
        <v>497.02199999999999</v>
      </c>
      <c r="U302" s="271">
        <f t="shared" si="712"/>
        <v>497.02199999999999</v>
      </c>
      <c r="V302" s="105">
        <f t="shared" si="713"/>
        <v>493.02199999999999</v>
      </c>
      <c r="W302" s="271">
        <f t="shared" si="714"/>
        <v>493.02199999999999</v>
      </c>
      <c r="X302" s="136"/>
      <c r="Y302" s="144"/>
      <c r="Z302" s="144"/>
      <c r="AA302" s="144"/>
      <c r="AB302" s="464">
        <v>2160</v>
      </c>
      <c r="AC302" s="22"/>
      <c r="AD302" s="22"/>
      <c r="AH302" s="65"/>
    </row>
    <row r="303" spans="1:34" ht="12.6" customHeight="1" x14ac:dyDescent="0.2">
      <c r="A303" s="98"/>
      <c r="B303" s="654" t="s">
        <v>227</v>
      </c>
      <c r="C303" s="655"/>
      <c r="D303" s="655"/>
      <c r="E303" s="656"/>
      <c r="F303" s="418">
        <f>0.648*X2</f>
        <v>629.20799999999997</v>
      </c>
      <c r="G303" s="328">
        <f t="shared" ref="G303:G308" si="720">+F303*$X$1</f>
        <v>629.20799999999997</v>
      </c>
      <c r="H303" s="548"/>
      <c r="I303" s="548"/>
      <c r="J303" s="125"/>
      <c r="K303" s="307"/>
      <c r="L303" s="548">
        <f t="shared" si="716"/>
        <v>729.20799999999997</v>
      </c>
      <c r="M303" s="307">
        <f t="shared" si="717"/>
        <v>729.20799999999997</v>
      </c>
      <c r="N303" s="548">
        <f t="shared" si="718"/>
        <v>681.20799999999997</v>
      </c>
      <c r="O303" s="307">
        <f t="shared" si="719"/>
        <v>681.20799999999997</v>
      </c>
      <c r="P303" s="548">
        <f t="shared" si="707"/>
        <v>673.20799999999997</v>
      </c>
      <c r="Q303" s="307">
        <f t="shared" si="708"/>
        <v>673.20799999999997</v>
      </c>
      <c r="R303" s="548">
        <f t="shared" si="709"/>
        <v>666.20799999999997</v>
      </c>
      <c r="S303" s="307">
        <f t="shared" si="710"/>
        <v>666.20799999999997</v>
      </c>
      <c r="T303" s="104">
        <f t="shared" si="711"/>
        <v>658.20799999999997</v>
      </c>
      <c r="U303" s="328">
        <f t="shared" si="712"/>
        <v>658.20799999999997</v>
      </c>
      <c r="V303" s="104">
        <f t="shared" si="713"/>
        <v>654.20799999999997</v>
      </c>
      <c r="W303" s="328">
        <f t="shared" si="714"/>
        <v>654.20799999999997</v>
      </c>
      <c r="X303" s="136"/>
      <c r="Y303" s="144"/>
      <c r="Z303" s="144"/>
      <c r="AA303" s="144"/>
      <c r="AB303" s="451">
        <v>2174</v>
      </c>
      <c r="AC303" s="67"/>
      <c r="AD303" s="22"/>
    </row>
    <row r="304" spans="1:34" ht="12.6" customHeight="1" x14ac:dyDescent="0.2">
      <c r="A304" s="98"/>
      <c r="B304" s="891" t="s">
        <v>228</v>
      </c>
      <c r="C304" s="892"/>
      <c r="D304" s="892"/>
      <c r="E304" s="893"/>
      <c r="F304" s="417">
        <f>0.648*X2</f>
        <v>629.20799999999997</v>
      </c>
      <c r="G304" s="271">
        <f t="shared" si="720"/>
        <v>629.20799999999997</v>
      </c>
      <c r="H304" s="613"/>
      <c r="I304" s="613"/>
      <c r="J304" s="126"/>
      <c r="K304" s="306"/>
      <c r="L304" s="613">
        <f t="shared" si="716"/>
        <v>729.20799999999997</v>
      </c>
      <c r="M304" s="306">
        <f t="shared" si="717"/>
        <v>729.20799999999997</v>
      </c>
      <c r="N304" s="613">
        <f t="shared" si="718"/>
        <v>681.20799999999997</v>
      </c>
      <c r="O304" s="306">
        <f t="shared" si="719"/>
        <v>681.20799999999997</v>
      </c>
      <c r="P304" s="613">
        <f t="shared" si="707"/>
        <v>673.20799999999997</v>
      </c>
      <c r="Q304" s="306">
        <f t="shared" si="708"/>
        <v>673.20799999999997</v>
      </c>
      <c r="R304" s="613">
        <f t="shared" si="709"/>
        <v>666.20799999999997</v>
      </c>
      <c r="S304" s="306">
        <f t="shared" si="710"/>
        <v>666.20799999999997</v>
      </c>
      <c r="T304" s="105">
        <f t="shared" si="711"/>
        <v>658.20799999999997</v>
      </c>
      <c r="U304" s="271">
        <f t="shared" si="712"/>
        <v>658.20799999999997</v>
      </c>
      <c r="V304" s="105">
        <f t="shared" si="713"/>
        <v>654.20799999999997</v>
      </c>
      <c r="W304" s="271">
        <f t="shared" si="714"/>
        <v>654.20799999999997</v>
      </c>
      <c r="X304" s="136"/>
      <c r="Y304" s="144"/>
      <c r="Z304" s="144"/>
      <c r="AA304" s="144"/>
      <c r="AB304" s="451" t="s">
        <v>359</v>
      </c>
      <c r="AC304" s="67"/>
      <c r="AD304" s="22"/>
    </row>
    <row r="305" spans="1:34" ht="12.6" customHeight="1" x14ac:dyDescent="0.2">
      <c r="A305" s="98" t="s">
        <v>378</v>
      </c>
      <c r="B305" s="654" t="s">
        <v>384</v>
      </c>
      <c r="C305" s="655"/>
      <c r="D305" s="655"/>
      <c r="E305" s="656"/>
      <c r="F305" s="418">
        <f>0.466*X2</f>
        <v>452.48600000000005</v>
      </c>
      <c r="G305" s="328">
        <f t="shared" si="720"/>
        <v>452.48600000000005</v>
      </c>
      <c r="H305" s="548"/>
      <c r="I305" s="548"/>
      <c r="J305" s="125"/>
      <c r="K305" s="307"/>
      <c r="L305" s="548">
        <f t="shared" si="716"/>
        <v>552.4860000000001</v>
      </c>
      <c r="M305" s="307">
        <f t="shared" si="717"/>
        <v>552.4860000000001</v>
      </c>
      <c r="N305" s="548">
        <f t="shared" si="718"/>
        <v>504.48600000000005</v>
      </c>
      <c r="O305" s="307">
        <f t="shared" si="719"/>
        <v>504.48600000000005</v>
      </c>
      <c r="P305" s="548">
        <f t="shared" si="707"/>
        <v>496.48600000000005</v>
      </c>
      <c r="Q305" s="307">
        <f t="shared" si="708"/>
        <v>496.48600000000005</v>
      </c>
      <c r="R305" s="548">
        <f t="shared" si="709"/>
        <v>489.48600000000005</v>
      </c>
      <c r="S305" s="307">
        <f t="shared" si="710"/>
        <v>489.48600000000005</v>
      </c>
      <c r="T305" s="104">
        <f t="shared" si="711"/>
        <v>481.48600000000005</v>
      </c>
      <c r="U305" s="328">
        <f t="shared" si="712"/>
        <v>481.48600000000005</v>
      </c>
      <c r="V305" s="104">
        <f t="shared" si="713"/>
        <v>477.48600000000005</v>
      </c>
      <c r="W305" s="328">
        <f t="shared" si="714"/>
        <v>477.48600000000005</v>
      </c>
      <c r="X305" s="136"/>
      <c r="Y305" s="144"/>
      <c r="Z305" s="144"/>
      <c r="AA305" s="144"/>
      <c r="AB305" s="451">
        <v>2176</v>
      </c>
      <c r="AC305" s="465"/>
      <c r="AD305" s="22"/>
    </row>
    <row r="306" spans="1:34" ht="12.6" customHeight="1" x14ac:dyDescent="0.2">
      <c r="A306" s="98"/>
      <c r="B306" s="625" t="s">
        <v>735</v>
      </c>
      <c r="C306" s="626"/>
      <c r="D306" s="626"/>
      <c r="E306" s="626"/>
      <c r="F306" s="417">
        <f>0.614*X2</f>
        <v>596.19399999999996</v>
      </c>
      <c r="G306" s="271">
        <f t="shared" si="720"/>
        <v>596.19399999999996</v>
      </c>
      <c r="H306" s="613"/>
      <c r="I306" s="613"/>
      <c r="J306" s="126"/>
      <c r="K306" s="306"/>
      <c r="L306" s="613">
        <f t="shared" si="716"/>
        <v>696.19399999999996</v>
      </c>
      <c r="M306" s="306">
        <f t="shared" si="717"/>
        <v>696.19399999999996</v>
      </c>
      <c r="N306" s="613">
        <f t="shared" si="718"/>
        <v>648.19399999999996</v>
      </c>
      <c r="O306" s="306">
        <f t="shared" si="719"/>
        <v>648.19399999999996</v>
      </c>
      <c r="P306" s="613">
        <f t="shared" si="707"/>
        <v>640.19399999999996</v>
      </c>
      <c r="Q306" s="306">
        <f t="shared" si="708"/>
        <v>640.19399999999996</v>
      </c>
      <c r="R306" s="613">
        <f t="shared" si="709"/>
        <v>633.19399999999996</v>
      </c>
      <c r="S306" s="306">
        <f t="shared" si="710"/>
        <v>633.19399999999996</v>
      </c>
      <c r="T306" s="105">
        <f t="shared" si="711"/>
        <v>625.19399999999996</v>
      </c>
      <c r="U306" s="271">
        <f t="shared" si="712"/>
        <v>625.19399999999996</v>
      </c>
      <c r="V306" s="105">
        <f t="shared" si="713"/>
        <v>621.19399999999996</v>
      </c>
      <c r="W306" s="271">
        <f t="shared" si="714"/>
        <v>621.19399999999996</v>
      </c>
      <c r="X306" s="136"/>
      <c r="Y306" s="144"/>
      <c r="Z306" s="144"/>
      <c r="AA306" s="144"/>
      <c r="AB306" s="451">
        <v>2180</v>
      </c>
      <c r="AC306" s="22"/>
      <c r="AD306" s="22"/>
    </row>
    <row r="307" spans="1:34" ht="12" customHeight="1" x14ac:dyDescent="0.2">
      <c r="A307" s="193"/>
      <c r="B307" s="682" t="s">
        <v>229</v>
      </c>
      <c r="C307" s="894"/>
      <c r="D307" s="894"/>
      <c r="E307" s="895"/>
      <c r="F307" s="418">
        <f>0.8*X2</f>
        <v>776.80000000000007</v>
      </c>
      <c r="G307" s="328">
        <f t="shared" si="720"/>
        <v>776.80000000000007</v>
      </c>
      <c r="H307" s="548"/>
      <c r="I307" s="548"/>
      <c r="J307" s="125"/>
      <c r="K307" s="307"/>
      <c r="L307" s="548">
        <f t="shared" si="716"/>
        <v>876.80000000000007</v>
      </c>
      <c r="M307" s="307">
        <f t="shared" si="717"/>
        <v>876.80000000000007</v>
      </c>
      <c r="N307" s="548">
        <f t="shared" si="718"/>
        <v>828.80000000000007</v>
      </c>
      <c r="O307" s="307">
        <f t="shared" si="719"/>
        <v>828.80000000000007</v>
      </c>
      <c r="P307" s="548"/>
      <c r="Q307" s="307"/>
      <c r="R307" s="548"/>
      <c r="S307" s="307"/>
      <c r="T307" s="104"/>
      <c r="U307" s="328"/>
      <c r="V307" s="104"/>
      <c r="W307" s="328"/>
      <c r="X307" s="136"/>
      <c r="Y307" s="136"/>
      <c r="Z307" s="136"/>
      <c r="AA307" s="136"/>
      <c r="AB307" s="451">
        <v>2184</v>
      </c>
    </row>
    <row r="308" spans="1:34" ht="12" customHeight="1" x14ac:dyDescent="0.2">
      <c r="A308" s="193"/>
      <c r="B308" s="641" t="s">
        <v>230</v>
      </c>
      <c r="C308" s="644"/>
      <c r="D308" s="644"/>
      <c r="E308" s="645"/>
      <c r="F308" s="417">
        <f>0.763*X2</f>
        <v>740.87300000000005</v>
      </c>
      <c r="G308" s="271">
        <f t="shared" si="720"/>
        <v>740.87300000000005</v>
      </c>
      <c r="H308" s="613"/>
      <c r="I308" s="613"/>
      <c r="J308" s="126"/>
      <c r="K308" s="306"/>
      <c r="L308" s="613">
        <f t="shared" si="716"/>
        <v>840.87300000000005</v>
      </c>
      <c r="M308" s="306">
        <f t="shared" si="717"/>
        <v>840.87300000000005</v>
      </c>
      <c r="N308" s="613">
        <f t="shared" si="718"/>
        <v>792.87300000000005</v>
      </c>
      <c r="O308" s="306">
        <f t="shared" si="719"/>
        <v>792.87300000000005</v>
      </c>
      <c r="P308" s="613">
        <f t="shared" ref="P308:P313" si="721">F308+44</f>
        <v>784.87300000000005</v>
      </c>
      <c r="Q308" s="306">
        <f t="shared" ref="Q308:Q313" si="722">+P308*$X$1</f>
        <v>784.87300000000005</v>
      </c>
      <c r="R308" s="613">
        <f t="shared" ref="R308:R313" si="723">F308+37</f>
        <v>777.87300000000005</v>
      </c>
      <c r="S308" s="306">
        <f t="shared" ref="S308:S313" si="724">+R308*$X$1</f>
        <v>777.87300000000005</v>
      </c>
      <c r="T308" s="105">
        <f t="shared" ref="T308:T313" si="725">F308+29</f>
        <v>769.87300000000005</v>
      </c>
      <c r="U308" s="271">
        <f t="shared" ref="U308:U313" si="726">+T308*$X$1</f>
        <v>769.87300000000005</v>
      </c>
      <c r="V308" s="105">
        <f t="shared" ref="V308:V313" si="727">F308+25</f>
        <v>765.87300000000005</v>
      </c>
      <c r="W308" s="271">
        <f t="shared" ref="W308:W313" si="728">+V308*$X$1</f>
        <v>765.87300000000005</v>
      </c>
      <c r="X308" s="136"/>
      <c r="Y308" s="136"/>
      <c r="Z308" s="136"/>
      <c r="AA308" s="136"/>
      <c r="AB308" s="451" t="s">
        <v>231</v>
      </c>
    </row>
    <row r="309" spans="1:34" ht="12" customHeight="1" x14ac:dyDescent="0.2">
      <c r="A309" s="98"/>
      <c r="B309" s="682" t="s">
        <v>232</v>
      </c>
      <c r="C309" s="683"/>
      <c r="D309" s="683"/>
      <c r="E309" s="684"/>
      <c r="F309" s="418">
        <f>0.372*X2</f>
        <v>361.21199999999999</v>
      </c>
      <c r="G309" s="328">
        <f t="shared" ref="G309:G311" si="729">+F309*$X$1</f>
        <v>361.21199999999999</v>
      </c>
      <c r="H309" s="548"/>
      <c r="I309" s="548"/>
      <c r="J309" s="125"/>
      <c r="K309" s="307"/>
      <c r="L309" s="548">
        <f t="shared" ref="L309:L314" si="730">F309+100</f>
        <v>461.21199999999999</v>
      </c>
      <c r="M309" s="307">
        <f t="shared" ref="M309:M314" si="731">+L309*$X$1</f>
        <v>461.21199999999999</v>
      </c>
      <c r="N309" s="548">
        <f t="shared" ref="N309:N314" si="732">F309+52</f>
        <v>413.21199999999999</v>
      </c>
      <c r="O309" s="307">
        <f t="shared" ref="O309:O314" si="733">+N309*$X$1</f>
        <v>413.21199999999999</v>
      </c>
      <c r="P309" s="548">
        <f t="shared" si="721"/>
        <v>405.21199999999999</v>
      </c>
      <c r="Q309" s="307">
        <f t="shared" si="722"/>
        <v>405.21199999999999</v>
      </c>
      <c r="R309" s="548">
        <f t="shared" si="723"/>
        <v>398.21199999999999</v>
      </c>
      <c r="S309" s="307">
        <f t="shared" si="724"/>
        <v>398.21199999999999</v>
      </c>
      <c r="T309" s="104">
        <f t="shared" si="725"/>
        <v>390.21199999999999</v>
      </c>
      <c r="U309" s="328">
        <f t="shared" si="726"/>
        <v>390.21199999999999</v>
      </c>
      <c r="V309" s="104">
        <f t="shared" si="727"/>
        <v>386.21199999999999</v>
      </c>
      <c r="W309" s="328">
        <f t="shared" si="728"/>
        <v>386.21199999999999</v>
      </c>
      <c r="X309" s="136"/>
      <c r="Y309" s="136"/>
      <c r="Z309" s="136"/>
      <c r="AA309" s="136"/>
      <c r="AB309" s="451">
        <v>2189</v>
      </c>
    </row>
    <row r="310" spans="1:34" ht="12.6" customHeight="1" x14ac:dyDescent="0.2">
      <c r="A310" s="98"/>
      <c r="B310" s="641" t="s">
        <v>233</v>
      </c>
      <c r="C310" s="644"/>
      <c r="D310" s="644"/>
      <c r="E310" s="645"/>
      <c r="F310" s="417">
        <f>0.652*X2</f>
        <v>633.09199999999998</v>
      </c>
      <c r="G310" s="271">
        <f t="shared" si="729"/>
        <v>633.09199999999998</v>
      </c>
      <c r="H310" s="613"/>
      <c r="I310" s="613"/>
      <c r="J310" s="126"/>
      <c r="K310" s="306"/>
      <c r="L310" s="613">
        <f t="shared" si="730"/>
        <v>733.09199999999998</v>
      </c>
      <c r="M310" s="306">
        <f t="shared" si="731"/>
        <v>733.09199999999998</v>
      </c>
      <c r="N310" s="613">
        <f t="shared" si="732"/>
        <v>685.09199999999998</v>
      </c>
      <c r="O310" s="306">
        <f t="shared" si="733"/>
        <v>685.09199999999998</v>
      </c>
      <c r="P310" s="613">
        <f t="shared" si="721"/>
        <v>677.09199999999998</v>
      </c>
      <c r="Q310" s="306">
        <f t="shared" si="722"/>
        <v>677.09199999999998</v>
      </c>
      <c r="R310" s="613">
        <f t="shared" si="723"/>
        <v>670.09199999999998</v>
      </c>
      <c r="S310" s="306">
        <f t="shared" si="724"/>
        <v>670.09199999999998</v>
      </c>
      <c r="T310" s="105">
        <f t="shared" si="725"/>
        <v>662.09199999999998</v>
      </c>
      <c r="U310" s="271">
        <f t="shared" si="726"/>
        <v>662.09199999999998</v>
      </c>
      <c r="V310" s="105">
        <f t="shared" si="727"/>
        <v>658.09199999999998</v>
      </c>
      <c r="W310" s="271">
        <f t="shared" si="728"/>
        <v>658.09199999999998</v>
      </c>
      <c r="X310" s="136"/>
      <c r="Y310" s="136"/>
      <c r="Z310" s="136"/>
      <c r="AA310" s="136"/>
      <c r="AB310" s="451">
        <v>2190</v>
      </c>
    </row>
    <row r="311" spans="1:34" ht="12.6" customHeight="1" x14ac:dyDescent="0.2">
      <c r="A311" s="18"/>
      <c r="B311" s="1129" t="s">
        <v>234</v>
      </c>
      <c r="C311" s="683"/>
      <c r="D311" s="683"/>
      <c r="E311" s="684"/>
      <c r="F311" s="418">
        <f>0.521*X2</f>
        <v>505.89100000000002</v>
      </c>
      <c r="G311" s="328">
        <f t="shared" si="729"/>
        <v>505.89100000000002</v>
      </c>
      <c r="H311" s="548"/>
      <c r="I311" s="548"/>
      <c r="J311" s="125"/>
      <c r="K311" s="307"/>
      <c r="L311" s="548">
        <f t="shared" si="730"/>
        <v>605.89100000000008</v>
      </c>
      <c r="M311" s="307">
        <f t="shared" si="731"/>
        <v>605.89100000000008</v>
      </c>
      <c r="N311" s="548">
        <f t="shared" si="732"/>
        <v>557.89100000000008</v>
      </c>
      <c r="O311" s="307">
        <f t="shared" si="733"/>
        <v>557.89100000000008</v>
      </c>
      <c r="P311" s="548">
        <f t="shared" si="721"/>
        <v>549.89100000000008</v>
      </c>
      <c r="Q311" s="307">
        <f t="shared" si="722"/>
        <v>549.89100000000008</v>
      </c>
      <c r="R311" s="548">
        <f t="shared" si="723"/>
        <v>542.89100000000008</v>
      </c>
      <c r="S311" s="307">
        <f t="shared" si="724"/>
        <v>542.89100000000008</v>
      </c>
      <c r="T311" s="104">
        <f t="shared" si="725"/>
        <v>534.89100000000008</v>
      </c>
      <c r="U311" s="328">
        <f t="shared" si="726"/>
        <v>534.89100000000008</v>
      </c>
      <c r="V311" s="104">
        <f t="shared" si="727"/>
        <v>530.89100000000008</v>
      </c>
      <c r="W311" s="328">
        <f t="shared" si="728"/>
        <v>530.89100000000008</v>
      </c>
      <c r="X311" s="190"/>
      <c r="Y311" s="191"/>
      <c r="Z311" s="191"/>
      <c r="AA311" s="190"/>
      <c r="AB311" s="451">
        <v>2193</v>
      </c>
    </row>
    <row r="312" spans="1:34" ht="12.6" customHeight="1" x14ac:dyDescent="0.2">
      <c r="A312" s="18"/>
      <c r="B312" s="625" t="s">
        <v>235</v>
      </c>
      <c r="C312" s="626"/>
      <c r="D312" s="626"/>
      <c r="E312" s="626"/>
      <c r="F312" s="417">
        <f>0.614*X2</f>
        <v>596.19399999999996</v>
      </c>
      <c r="G312" s="271">
        <f>+F312*$X$1</f>
        <v>596.19399999999996</v>
      </c>
      <c r="H312" s="613"/>
      <c r="I312" s="613"/>
      <c r="J312" s="126"/>
      <c r="K312" s="306"/>
      <c r="L312" s="613">
        <f t="shared" si="730"/>
        <v>696.19399999999996</v>
      </c>
      <c r="M312" s="306">
        <f t="shared" si="731"/>
        <v>696.19399999999996</v>
      </c>
      <c r="N312" s="613">
        <f t="shared" si="732"/>
        <v>648.19399999999996</v>
      </c>
      <c r="O312" s="306">
        <f t="shared" si="733"/>
        <v>648.19399999999996</v>
      </c>
      <c r="P312" s="613">
        <f t="shared" si="721"/>
        <v>640.19399999999996</v>
      </c>
      <c r="Q312" s="306">
        <f t="shared" si="722"/>
        <v>640.19399999999996</v>
      </c>
      <c r="R312" s="613">
        <f t="shared" si="723"/>
        <v>633.19399999999996</v>
      </c>
      <c r="S312" s="306">
        <f t="shared" si="724"/>
        <v>633.19399999999996</v>
      </c>
      <c r="T312" s="105">
        <f t="shared" si="725"/>
        <v>625.19399999999996</v>
      </c>
      <c r="U312" s="271">
        <f t="shared" si="726"/>
        <v>625.19399999999996</v>
      </c>
      <c r="V312" s="105">
        <f t="shared" si="727"/>
        <v>621.19399999999996</v>
      </c>
      <c r="W312" s="271">
        <f t="shared" si="728"/>
        <v>621.19399999999996</v>
      </c>
      <c r="X312" s="136"/>
      <c r="Y312" s="136"/>
      <c r="Z312" s="136"/>
      <c r="AA312" s="136"/>
      <c r="AB312" s="451">
        <v>2194</v>
      </c>
    </row>
    <row r="313" spans="1:34" ht="12.6" customHeight="1" x14ac:dyDescent="0.2">
      <c r="A313" s="18"/>
      <c r="B313" s="1188" t="s">
        <v>236</v>
      </c>
      <c r="C313" s="1189"/>
      <c r="D313" s="1189"/>
      <c r="E313" s="1190"/>
      <c r="F313" s="418">
        <f>0.67*X2</f>
        <v>650.57000000000005</v>
      </c>
      <c r="G313" s="328">
        <f>+F313*$X$1</f>
        <v>650.57000000000005</v>
      </c>
      <c r="H313" s="548"/>
      <c r="I313" s="548"/>
      <c r="J313" s="125"/>
      <c r="K313" s="307"/>
      <c r="L313" s="548">
        <f t="shared" si="730"/>
        <v>750.57</v>
      </c>
      <c r="M313" s="307">
        <f t="shared" si="731"/>
        <v>750.57</v>
      </c>
      <c r="N313" s="548">
        <f t="shared" si="732"/>
        <v>702.57</v>
      </c>
      <c r="O313" s="307">
        <f t="shared" si="733"/>
        <v>702.57</v>
      </c>
      <c r="P313" s="548">
        <f t="shared" si="721"/>
        <v>694.57</v>
      </c>
      <c r="Q313" s="307">
        <f t="shared" si="722"/>
        <v>694.57</v>
      </c>
      <c r="R313" s="548">
        <f t="shared" si="723"/>
        <v>687.57</v>
      </c>
      <c r="S313" s="307">
        <f t="shared" si="724"/>
        <v>687.57</v>
      </c>
      <c r="T313" s="104">
        <f t="shared" si="725"/>
        <v>679.57</v>
      </c>
      <c r="U313" s="328">
        <f t="shared" si="726"/>
        <v>679.57</v>
      </c>
      <c r="V313" s="104">
        <f t="shared" si="727"/>
        <v>675.57</v>
      </c>
      <c r="W313" s="328">
        <f t="shared" si="728"/>
        <v>675.57</v>
      </c>
      <c r="X313" s="136"/>
      <c r="Y313" s="136"/>
      <c r="Z313" s="136"/>
      <c r="AA313" s="136"/>
      <c r="AB313" s="451">
        <v>2195</v>
      </c>
    </row>
    <row r="314" spans="1:34" ht="12.6" customHeight="1" x14ac:dyDescent="0.2">
      <c r="A314" s="18"/>
      <c r="B314" s="625" t="s">
        <v>237</v>
      </c>
      <c r="C314" s="626"/>
      <c r="D314" s="626"/>
      <c r="E314" s="626"/>
      <c r="F314" s="417">
        <f>0.652*X2</f>
        <v>633.09199999999998</v>
      </c>
      <c r="G314" s="271">
        <f>+F314*$X$1</f>
        <v>633.09199999999998</v>
      </c>
      <c r="H314" s="613"/>
      <c r="I314" s="613"/>
      <c r="J314" s="613"/>
      <c r="K314" s="306"/>
      <c r="L314" s="613">
        <f t="shared" si="730"/>
        <v>733.09199999999998</v>
      </c>
      <c r="M314" s="306">
        <f t="shared" si="731"/>
        <v>733.09199999999998</v>
      </c>
      <c r="N314" s="613">
        <f t="shared" si="732"/>
        <v>685.09199999999998</v>
      </c>
      <c r="O314" s="306">
        <f t="shared" si="733"/>
        <v>685.09199999999998</v>
      </c>
      <c r="P314" s="613">
        <f>F314+44</f>
        <v>677.09199999999998</v>
      </c>
      <c r="Q314" s="306">
        <f>+P314*$X$1</f>
        <v>677.09199999999998</v>
      </c>
      <c r="R314" s="613">
        <f>F314+37</f>
        <v>670.09199999999998</v>
      </c>
      <c r="S314" s="306">
        <f>+R314*$X$1</f>
        <v>670.09199999999998</v>
      </c>
      <c r="T314" s="105">
        <f>F314+29</f>
        <v>662.09199999999998</v>
      </c>
      <c r="U314" s="271">
        <f>+T314*$X$1</f>
        <v>662.09199999999998</v>
      </c>
      <c r="V314" s="105">
        <f>F314+25</f>
        <v>658.09199999999998</v>
      </c>
      <c r="W314" s="271">
        <f>+V314*$X$1</f>
        <v>658.09199999999998</v>
      </c>
      <c r="X314" s="136"/>
      <c r="Y314" s="136"/>
      <c r="Z314" s="136"/>
      <c r="AA314" s="136"/>
      <c r="AB314" s="451">
        <v>2198</v>
      </c>
    </row>
    <row r="315" spans="1:34" ht="12.75" customHeight="1" x14ac:dyDescent="0.2">
      <c r="A315" s="18"/>
      <c r="B315" s="3"/>
      <c r="C315" s="3"/>
      <c r="D315" s="3"/>
      <c r="E315" s="3"/>
      <c r="F315" s="4"/>
      <c r="G315" s="4"/>
      <c r="H315" s="24"/>
      <c r="I315" s="2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4.25" customHeight="1" x14ac:dyDescent="0.2">
      <c r="A318" s="18"/>
      <c r="B318" s="653" t="s">
        <v>11</v>
      </c>
      <c r="C318" s="738" t="s">
        <v>12</v>
      </c>
      <c r="D318" s="739"/>
      <c r="E318" s="739"/>
      <c r="F318" s="813" t="s">
        <v>13</v>
      </c>
      <c r="G318" s="813" t="s">
        <v>13</v>
      </c>
      <c r="H318" s="660" t="s">
        <v>870</v>
      </c>
      <c r="I318" s="660"/>
      <c r="J318" s="661"/>
      <c r="K318" s="661"/>
      <c r="L318" s="661"/>
      <c r="M318" s="661"/>
      <c r="N318" s="661"/>
      <c r="O318" s="661"/>
      <c r="P318" s="661"/>
      <c r="Q318" s="661"/>
      <c r="R318" s="661"/>
      <c r="S318" s="661"/>
      <c r="T318" s="661"/>
      <c r="U318" s="661"/>
      <c r="V318" s="661"/>
      <c r="W318" s="661"/>
      <c r="X318" s="632" t="s">
        <v>14</v>
      </c>
      <c r="Y318" s="633"/>
      <c r="Z318" s="633"/>
      <c r="AA318" s="634"/>
      <c r="AB318" s="630" t="s">
        <v>15</v>
      </c>
      <c r="AF318" s="628" t="s">
        <v>3</v>
      </c>
      <c r="AG318" s="629"/>
      <c r="AH318" s="629"/>
    </row>
    <row r="319" spans="1:34" ht="11.25" customHeight="1" x14ac:dyDescent="0.2">
      <c r="A319" s="18"/>
      <c r="B319" s="653"/>
      <c r="C319" s="739"/>
      <c r="D319" s="739"/>
      <c r="E319" s="739"/>
      <c r="F319" s="814"/>
      <c r="G319" s="814"/>
      <c r="H319" s="591"/>
      <c r="I319" s="583" t="s">
        <v>301</v>
      </c>
      <c r="J319" s="585"/>
      <c r="K319" s="583" t="s">
        <v>17</v>
      </c>
      <c r="L319" s="586"/>
      <c r="M319" s="586" t="s">
        <v>18</v>
      </c>
      <c r="N319" s="586"/>
      <c r="O319" s="583" t="s">
        <v>19</v>
      </c>
      <c r="P319" s="586"/>
      <c r="Q319" s="586" t="s">
        <v>303</v>
      </c>
      <c r="R319" s="586"/>
      <c r="S319" s="586" t="s">
        <v>20</v>
      </c>
      <c r="T319" s="586"/>
      <c r="U319" s="586" t="s">
        <v>21</v>
      </c>
      <c r="V319" s="586"/>
      <c r="W319" s="586" t="s">
        <v>22</v>
      </c>
      <c r="X319" s="635"/>
      <c r="Y319" s="636"/>
      <c r="Z319" s="636"/>
      <c r="AA319" s="637"/>
      <c r="AB319" s="631"/>
    </row>
    <row r="320" spans="1:34" ht="12.6" customHeight="1" x14ac:dyDescent="0.2">
      <c r="A320" s="108"/>
      <c r="B320" s="669" t="s">
        <v>349</v>
      </c>
      <c r="C320" s="741"/>
      <c r="D320" s="741"/>
      <c r="E320" s="741"/>
      <c r="F320" s="418">
        <f>0.56*X2</f>
        <v>543.7600000000001</v>
      </c>
      <c r="G320" s="328">
        <f t="shared" ref="G320:G324" si="734">+F320*$X$1</f>
        <v>543.7600000000001</v>
      </c>
      <c r="H320" s="548"/>
      <c r="I320" s="548"/>
      <c r="J320" s="548"/>
      <c r="K320" s="307"/>
      <c r="L320" s="548">
        <f t="shared" ref="L320:L328" si="735">F320+100</f>
        <v>643.7600000000001</v>
      </c>
      <c r="M320" s="307">
        <f t="shared" ref="M320:M329" si="736">+L320*$X$1</f>
        <v>643.7600000000001</v>
      </c>
      <c r="N320" s="548">
        <f t="shared" ref="N320:N328" si="737">F320+52</f>
        <v>595.7600000000001</v>
      </c>
      <c r="O320" s="307">
        <f t="shared" ref="O320:O329" si="738">+N320*$X$1</f>
        <v>595.7600000000001</v>
      </c>
      <c r="P320" s="548">
        <f t="shared" ref="P320:P328" si="739">F320+44</f>
        <v>587.7600000000001</v>
      </c>
      <c r="Q320" s="307">
        <f t="shared" ref="Q320:Q329" si="740">+P320*$X$1</f>
        <v>587.7600000000001</v>
      </c>
      <c r="R320" s="548">
        <f t="shared" ref="R320:R328" si="741">F320+37</f>
        <v>580.7600000000001</v>
      </c>
      <c r="S320" s="307">
        <f t="shared" ref="S320:S329" si="742">+R320*$X$1</f>
        <v>580.7600000000001</v>
      </c>
      <c r="T320" s="104">
        <f t="shared" ref="T320:T328" si="743">F320+29</f>
        <v>572.7600000000001</v>
      </c>
      <c r="U320" s="328">
        <f t="shared" ref="U320:U329" si="744">+T320*$X$1</f>
        <v>572.7600000000001</v>
      </c>
      <c r="V320" s="104">
        <f t="shared" ref="V320:V328" si="745">F320+25</f>
        <v>568.7600000000001</v>
      </c>
      <c r="W320" s="328">
        <f t="shared" ref="W320:W329" si="746">+V320*$X$1</f>
        <v>568.7600000000001</v>
      </c>
      <c r="X320" s="161"/>
      <c r="Y320" s="136"/>
      <c r="Z320" s="136"/>
      <c r="AA320" s="136"/>
      <c r="AB320" s="451">
        <v>2202</v>
      </c>
    </row>
    <row r="321" spans="1:31" ht="12.6" customHeight="1" x14ac:dyDescent="0.2">
      <c r="A321" s="108"/>
      <c r="B321" s="625" t="s">
        <v>350</v>
      </c>
      <c r="C321" s="649"/>
      <c r="D321" s="649"/>
      <c r="E321" s="649"/>
      <c r="F321" s="417">
        <f>0.56*X2</f>
        <v>543.7600000000001</v>
      </c>
      <c r="G321" s="271">
        <f t="shared" si="734"/>
        <v>543.7600000000001</v>
      </c>
      <c r="H321" s="613"/>
      <c r="I321" s="613"/>
      <c r="J321" s="613"/>
      <c r="K321" s="306"/>
      <c r="L321" s="613">
        <f t="shared" si="735"/>
        <v>643.7600000000001</v>
      </c>
      <c r="M321" s="306">
        <f t="shared" si="736"/>
        <v>643.7600000000001</v>
      </c>
      <c r="N321" s="613">
        <f t="shared" si="737"/>
        <v>595.7600000000001</v>
      </c>
      <c r="O321" s="306">
        <f t="shared" si="738"/>
        <v>595.7600000000001</v>
      </c>
      <c r="P321" s="613">
        <f t="shared" si="739"/>
        <v>587.7600000000001</v>
      </c>
      <c r="Q321" s="306">
        <f t="shared" si="740"/>
        <v>587.7600000000001</v>
      </c>
      <c r="R321" s="613">
        <f t="shared" si="741"/>
        <v>580.7600000000001</v>
      </c>
      <c r="S321" s="306">
        <f t="shared" si="742"/>
        <v>580.7600000000001</v>
      </c>
      <c r="T321" s="105">
        <f t="shared" si="743"/>
        <v>572.7600000000001</v>
      </c>
      <c r="U321" s="271">
        <f t="shared" si="744"/>
        <v>572.7600000000001</v>
      </c>
      <c r="V321" s="105">
        <f t="shared" si="745"/>
        <v>568.7600000000001</v>
      </c>
      <c r="W321" s="271">
        <f t="shared" si="746"/>
        <v>568.7600000000001</v>
      </c>
      <c r="X321" s="136"/>
      <c r="Y321" s="136"/>
      <c r="Z321" s="136"/>
      <c r="AA321" s="136"/>
      <c r="AB321" s="451" t="s">
        <v>238</v>
      </c>
    </row>
    <row r="322" spans="1:31" ht="12.6" customHeight="1" x14ac:dyDescent="0.2">
      <c r="A322" s="108"/>
      <c r="B322" s="669" t="s">
        <v>351</v>
      </c>
      <c r="C322" s="741"/>
      <c r="D322" s="741"/>
      <c r="E322" s="741"/>
      <c r="F322" s="418">
        <f>0.58*X2</f>
        <v>563.17999999999995</v>
      </c>
      <c r="G322" s="328">
        <f t="shared" ref="G322:G325" si="747">+F322*$X$1</f>
        <v>563.17999999999995</v>
      </c>
      <c r="H322" s="548"/>
      <c r="I322" s="548"/>
      <c r="J322" s="548"/>
      <c r="K322" s="343"/>
      <c r="L322" s="548">
        <f t="shared" si="735"/>
        <v>663.18</v>
      </c>
      <c r="M322" s="307">
        <f t="shared" si="736"/>
        <v>663.18</v>
      </c>
      <c r="N322" s="548">
        <f t="shared" si="737"/>
        <v>615.17999999999995</v>
      </c>
      <c r="O322" s="307">
        <f t="shared" si="738"/>
        <v>615.17999999999995</v>
      </c>
      <c r="P322" s="548">
        <f t="shared" si="739"/>
        <v>607.17999999999995</v>
      </c>
      <c r="Q322" s="307">
        <f t="shared" si="740"/>
        <v>607.17999999999995</v>
      </c>
      <c r="R322" s="548">
        <f t="shared" si="741"/>
        <v>600.17999999999995</v>
      </c>
      <c r="S322" s="307">
        <f t="shared" si="742"/>
        <v>600.17999999999995</v>
      </c>
      <c r="T322" s="104">
        <f t="shared" si="743"/>
        <v>592.17999999999995</v>
      </c>
      <c r="U322" s="328">
        <f t="shared" si="744"/>
        <v>592.17999999999995</v>
      </c>
      <c r="V322" s="104">
        <f t="shared" si="745"/>
        <v>588.17999999999995</v>
      </c>
      <c r="W322" s="328">
        <f t="shared" si="746"/>
        <v>588.17999999999995</v>
      </c>
      <c r="X322" s="136"/>
      <c r="Y322" s="136"/>
      <c r="Z322" s="136"/>
      <c r="AA322" s="136"/>
      <c r="AB322" s="451" t="s">
        <v>239</v>
      </c>
    </row>
    <row r="323" spans="1:31" ht="12.6" customHeight="1" x14ac:dyDescent="0.2">
      <c r="A323" s="108"/>
      <c r="B323" s="931" t="s">
        <v>680</v>
      </c>
      <c r="C323" s="1182"/>
      <c r="D323" s="1182"/>
      <c r="E323" s="1183"/>
      <c r="F323" s="417">
        <f>0.708*X2</f>
        <v>687.46799999999996</v>
      </c>
      <c r="G323" s="271">
        <f t="shared" si="747"/>
        <v>687.46799999999996</v>
      </c>
      <c r="H323" s="613"/>
      <c r="I323" s="613"/>
      <c r="J323" s="613"/>
      <c r="K323" s="306"/>
      <c r="L323" s="613">
        <f t="shared" si="735"/>
        <v>787.46799999999996</v>
      </c>
      <c r="M323" s="306">
        <f t="shared" si="736"/>
        <v>787.46799999999996</v>
      </c>
      <c r="N323" s="613">
        <f t="shared" si="737"/>
        <v>739.46799999999996</v>
      </c>
      <c r="O323" s="306">
        <f t="shared" si="738"/>
        <v>739.46799999999996</v>
      </c>
      <c r="P323" s="613">
        <f t="shared" si="739"/>
        <v>731.46799999999996</v>
      </c>
      <c r="Q323" s="306">
        <f t="shared" si="740"/>
        <v>731.46799999999996</v>
      </c>
      <c r="R323" s="613">
        <f t="shared" si="741"/>
        <v>724.46799999999996</v>
      </c>
      <c r="S323" s="306">
        <f t="shared" si="742"/>
        <v>724.46799999999996</v>
      </c>
      <c r="T323" s="105">
        <f t="shared" si="743"/>
        <v>716.46799999999996</v>
      </c>
      <c r="U323" s="271">
        <f t="shared" si="744"/>
        <v>716.46799999999996</v>
      </c>
      <c r="V323" s="105">
        <f t="shared" si="745"/>
        <v>712.46799999999996</v>
      </c>
      <c r="W323" s="271">
        <f t="shared" si="746"/>
        <v>712.46799999999996</v>
      </c>
      <c r="X323" s="623"/>
      <c r="Y323" s="623"/>
      <c r="Z323" s="623"/>
      <c r="AA323" s="624"/>
      <c r="AB323" s="451" t="s">
        <v>684</v>
      </c>
      <c r="AC323" s="66"/>
      <c r="AE323" s="88"/>
    </row>
    <row r="324" spans="1:31" ht="12.6" customHeight="1" x14ac:dyDescent="0.2">
      <c r="A324" s="108"/>
      <c r="B324" s="1126" t="s">
        <v>240</v>
      </c>
      <c r="C324" s="1186"/>
      <c r="D324" s="1186"/>
      <c r="E324" s="1187"/>
      <c r="F324" s="418">
        <f>0.75*X2</f>
        <v>728.25</v>
      </c>
      <c r="G324" s="328">
        <f t="shared" si="734"/>
        <v>728.25</v>
      </c>
      <c r="H324" s="548"/>
      <c r="I324" s="548"/>
      <c r="J324" s="548"/>
      <c r="K324" s="307"/>
      <c r="L324" s="548">
        <f t="shared" si="735"/>
        <v>828.25</v>
      </c>
      <c r="M324" s="307">
        <f t="shared" si="736"/>
        <v>828.25</v>
      </c>
      <c r="N324" s="548">
        <f t="shared" si="737"/>
        <v>780.25</v>
      </c>
      <c r="O324" s="307">
        <f t="shared" si="738"/>
        <v>780.25</v>
      </c>
      <c r="P324" s="548">
        <f t="shared" si="739"/>
        <v>772.25</v>
      </c>
      <c r="Q324" s="307">
        <f t="shared" si="740"/>
        <v>772.25</v>
      </c>
      <c r="R324" s="548">
        <f t="shared" si="741"/>
        <v>765.25</v>
      </c>
      <c r="S324" s="307">
        <f t="shared" si="742"/>
        <v>765.25</v>
      </c>
      <c r="T324" s="104">
        <f t="shared" si="743"/>
        <v>757.25</v>
      </c>
      <c r="U324" s="328">
        <f t="shared" si="744"/>
        <v>757.25</v>
      </c>
      <c r="V324" s="104">
        <f t="shared" si="745"/>
        <v>753.25</v>
      </c>
      <c r="W324" s="328">
        <f t="shared" si="746"/>
        <v>753.25</v>
      </c>
      <c r="X324" s="623"/>
      <c r="Y324" s="623"/>
      <c r="Z324" s="623"/>
      <c r="AA324" s="624"/>
      <c r="AB324" s="451" t="s">
        <v>241</v>
      </c>
      <c r="AC324" s="66"/>
      <c r="AE324" s="88"/>
    </row>
    <row r="325" spans="1:31" ht="12.6" customHeight="1" x14ac:dyDescent="0.2">
      <c r="A325" s="98"/>
      <c r="B325" s="931" t="s">
        <v>242</v>
      </c>
      <c r="C325" s="1194"/>
      <c r="D325" s="1194"/>
      <c r="E325" s="1195"/>
      <c r="F325" s="417">
        <f>0.782*X2</f>
        <v>759.322</v>
      </c>
      <c r="G325" s="271">
        <f t="shared" si="747"/>
        <v>759.322</v>
      </c>
      <c r="H325" s="613"/>
      <c r="I325" s="613"/>
      <c r="J325" s="613"/>
      <c r="K325" s="306"/>
      <c r="L325" s="613">
        <f t="shared" si="735"/>
        <v>859.322</v>
      </c>
      <c r="M325" s="306">
        <f t="shared" si="736"/>
        <v>859.322</v>
      </c>
      <c r="N325" s="613">
        <f t="shared" si="737"/>
        <v>811.322</v>
      </c>
      <c r="O325" s="306">
        <f t="shared" si="738"/>
        <v>811.322</v>
      </c>
      <c r="P325" s="613">
        <f t="shared" si="739"/>
        <v>803.322</v>
      </c>
      <c r="Q325" s="306">
        <f t="shared" si="740"/>
        <v>803.322</v>
      </c>
      <c r="R325" s="613">
        <f t="shared" si="741"/>
        <v>796.322</v>
      </c>
      <c r="S325" s="306">
        <f t="shared" si="742"/>
        <v>796.322</v>
      </c>
      <c r="T325" s="105">
        <f t="shared" si="743"/>
        <v>788.322</v>
      </c>
      <c r="U325" s="271">
        <f t="shared" si="744"/>
        <v>788.322</v>
      </c>
      <c r="V325" s="105">
        <f t="shared" si="745"/>
        <v>784.322</v>
      </c>
      <c r="W325" s="271">
        <f t="shared" si="746"/>
        <v>784.322</v>
      </c>
      <c r="X325" s="177"/>
      <c r="Y325" s="136"/>
      <c r="Z325" s="136"/>
      <c r="AA325" s="136"/>
      <c r="AB325" s="451">
        <v>2203</v>
      </c>
      <c r="AC325" s="236"/>
    </row>
    <row r="326" spans="1:31" ht="12.6" customHeight="1" x14ac:dyDescent="0.2">
      <c r="A326" s="98"/>
      <c r="B326" s="1018" t="s">
        <v>243</v>
      </c>
      <c r="C326" s="1145"/>
      <c r="D326" s="1145"/>
      <c r="E326" s="1145"/>
      <c r="F326" s="418">
        <f>0.838*X2</f>
        <v>813.69799999999998</v>
      </c>
      <c r="G326" s="328">
        <f>+F326*$X$1</f>
        <v>813.69799999999998</v>
      </c>
      <c r="H326" s="548"/>
      <c r="I326" s="548"/>
      <c r="J326" s="548"/>
      <c r="K326" s="307"/>
      <c r="L326" s="548">
        <f t="shared" si="735"/>
        <v>913.69799999999998</v>
      </c>
      <c r="M326" s="307">
        <f t="shared" si="736"/>
        <v>913.69799999999998</v>
      </c>
      <c r="N326" s="548">
        <f t="shared" si="737"/>
        <v>865.69799999999998</v>
      </c>
      <c r="O326" s="307">
        <f t="shared" si="738"/>
        <v>865.69799999999998</v>
      </c>
      <c r="P326" s="548">
        <f t="shared" si="739"/>
        <v>857.69799999999998</v>
      </c>
      <c r="Q326" s="307">
        <f t="shared" si="740"/>
        <v>857.69799999999998</v>
      </c>
      <c r="R326" s="548">
        <f t="shared" si="741"/>
        <v>850.69799999999998</v>
      </c>
      <c r="S326" s="307">
        <f t="shared" si="742"/>
        <v>850.69799999999998</v>
      </c>
      <c r="T326" s="104">
        <f t="shared" si="743"/>
        <v>842.69799999999998</v>
      </c>
      <c r="U326" s="328">
        <f t="shared" si="744"/>
        <v>842.69799999999998</v>
      </c>
      <c r="V326" s="104">
        <f t="shared" si="745"/>
        <v>838.69799999999998</v>
      </c>
      <c r="W326" s="328">
        <f t="shared" si="746"/>
        <v>838.69799999999998</v>
      </c>
      <c r="X326" s="178"/>
      <c r="Y326" s="140"/>
      <c r="Z326" s="140"/>
      <c r="AA326" s="143"/>
      <c r="AB326" s="451">
        <v>2205</v>
      </c>
      <c r="AC326" s="66"/>
    </row>
    <row r="327" spans="1:31" ht="12.6" customHeight="1" x14ac:dyDescent="0.2">
      <c r="A327" s="98"/>
      <c r="B327" s="625" t="s">
        <v>244</v>
      </c>
      <c r="C327" s="649"/>
      <c r="D327" s="649"/>
      <c r="E327" s="649"/>
      <c r="F327" s="417">
        <f>0.521*X2</f>
        <v>505.89100000000002</v>
      </c>
      <c r="G327" s="271">
        <f>+F327*$X$1</f>
        <v>505.89100000000002</v>
      </c>
      <c r="H327" s="613"/>
      <c r="I327" s="613"/>
      <c r="J327" s="613"/>
      <c r="K327" s="306"/>
      <c r="L327" s="613">
        <f t="shared" si="735"/>
        <v>605.89100000000008</v>
      </c>
      <c r="M327" s="306">
        <f t="shared" si="736"/>
        <v>605.89100000000008</v>
      </c>
      <c r="N327" s="613">
        <f t="shared" si="737"/>
        <v>557.89100000000008</v>
      </c>
      <c r="O327" s="306">
        <f t="shared" si="738"/>
        <v>557.89100000000008</v>
      </c>
      <c r="P327" s="613">
        <f t="shared" si="739"/>
        <v>549.89100000000008</v>
      </c>
      <c r="Q327" s="306">
        <f t="shared" si="740"/>
        <v>549.89100000000008</v>
      </c>
      <c r="R327" s="613">
        <f t="shared" si="741"/>
        <v>542.89100000000008</v>
      </c>
      <c r="S327" s="306">
        <f t="shared" si="742"/>
        <v>542.89100000000008</v>
      </c>
      <c r="T327" s="105">
        <f t="shared" si="743"/>
        <v>534.89100000000008</v>
      </c>
      <c r="U327" s="271">
        <f t="shared" si="744"/>
        <v>534.89100000000008</v>
      </c>
      <c r="V327" s="105">
        <f t="shared" si="745"/>
        <v>530.89100000000008</v>
      </c>
      <c r="W327" s="271">
        <f t="shared" si="746"/>
        <v>530.89100000000008</v>
      </c>
      <c r="X327" s="140"/>
      <c r="Y327" s="140"/>
      <c r="Z327" s="140"/>
      <c r="AA327" s="143"/>
      <c r="AB327" s="451">
        <v>2207</v>
      </c>
    </row>
    <row r="328" spans="1:31" ht="12.6" customHeight="1" x14ac:dyDescent="0.2">
      <c r="A328" s="98"/>
      <c r="B328" s="669" t="s">
        <v>245</v>
      </c>
      <c r="C328" s="741"/>
      <c r="D328" s="741"/>
      <c r="E328" s="741"/>
      <c r="F328" s="418">
        <f>0.42*X2</f>
        <v>407.82</v>
      </c>
      <c r="G328" s="378">
        <f>+F328*$X$1</f>
        <v>407.82</v>
      </c>
      <c r="H328" s="96"/>
      <c r="I328" s="96"/>
      <c r="J328" s="96"/>
      <c r="K328" s="309"/>
      <c r="L328" s="548">
        <f t="shared" si="735"/>
        <v>507.82</v>
      </c>
      <c r="M328" s="307">
        <f t="shared" si="736"/>
        <v>507.82</v>
      </c>
      <c r="N328" s="548">
        <f t="shared" si="737"/>
        <v>459.82</v>
      </c>
      <c r="O328" s="307">
        <f t="shared" si="738"/>
        <v>459.82</v>
      </c>
      <c r="P328" s="548">
        <f t="shared" si="739"/>
        <v>451.82</v>
      </c>
      <c r="Q328" s="307">
        <f t="shared" si="740"/>
        <v>451.82</v>
      </c>
      <c r="R328" s="548">
        <f t="shared" si="741"/>
        <v>444.82</v>
      </c>
      <c r="S328" s="307">
        <f t="shared" si="742"/>
        <v>444.82</v>
      </c>
      <c r="T328" s="104">
        <f t="shared" si="743"/>
        <v>436.82</v>
      </c>
      <c r="U328" s="328">
        <f t="shared" si="744"/>
        <v>436.82</v>
      </c>
      <c r="V328" s="104">
        <f t="shared" si="745"/>
        <v>432.82</v>
      </c>
      <c r="W328" s="328">
        <f t="shared" si="746"/>
        <v>432.82</v>
      </c>
      <c r="X328" s="140"/>
      <c r="Y328" s="140"/>
      <c r="Z328" s="140"/>
      <c r="AA328" s="143"/>
      <c r="AB328" s="451">
        <v>2209</v>
      </c>
    </row>
    <row r="329" spans="1:31" ht="12.6" customHeight="1" x14ac:dyDescent="0.2">
      <c r="A329" s="98"/>
      <c r="B329" s="1177" t="s">
        <v>246</v>
      </c>
      <c r="C329" s="1178"/>
      <c r="D329" s="1178"/>
      <c r="E329" s="1178"/>
      <c r="F329" s="417">
        <f>4.636*X2</f>
        <v>4501.5560000000005</v>
      </c>
      <c r="G329" s="306">
        <f t="shared" ref="G329" si="748">+F329*$X$1</f>
        <v>4501.5560000000005</v>
      </c>
      <c r="H329" s="613">
        <f>F329+310</f>
        <v>4811.5560000000005</v>
      </c>
      <c r="I329" s="306">
        <f>+H329*$X$1</f>
        <v>4811.5560000000005</v>
      </c>
      <c r="J329" s="613">
        <f>F329+120</f>
        <v>4621.5560000000005</v>
      </c>
      <c r="K329" s="306">
        <f t="shared" ref="K329" si="749">+J329*$X$1</f>
        <v>4621.5560000000005</v>
      </c>
      <c r="L329" s="613">
        <f>F329+90</f>
        <v>4591.5560000000005</v>
      </c>
      <c r="M329" s="306">
        <f t="shared" si="736"/>
        <v>4591.5560000000005</v>
      </c>
      <c r="N329" s="613">
        <f>F329+55</f>
        <v>4556.5560000000005</v>
      </c>
      <c r="O329" s="306">
        <f t="shared" si="738"/>
        <v>4556.5560000000005</v>
      </c>
      <c r="P329" s="613">
        <f>F329+49</f>
        <v>4550.5560000000005</v>
      </c>
      <c r="Q329" s="306">
        <f t="shared" si="740"/>
        <v>4550.5560000000005</v>
      </c>
      <c r="R329" s="613">
        <f>F329+42</f>
        <v>4543.5560000000005</v>
      </c>
      <c r="S329" s="306">
        <f t="shared" si="742"/>
        <v>4543.5560000000005</v>
      </c>
      <c r="T329" s="613">
        <f>F329+34</f>
        <v>4535.5560000000005</v>
      </c>
      <c r="U329" s="306">
        <f t="shared" si="744"/>
        <v>4535.5560000000005</v>
      </c>
      <c r="V329" s="613">
        <f>F329+30</f>
        <v>4531.5560000000005</v>
      </c>
      <c r="W329" s="306">
        <f t="shared" si="746"/>
        <v>4531.5560000000005</v>
      </c>
      <c r="X329" s="622"/>
      <c r="Y329" s="623"/>
      <c r="Z329" s="623"/>
      <c r="AA329" s="624"/>
      <c r="AB329" s="451">
        <v>2216</v>
      </c>
      <c r="AC329" s="66"/>
    </row>
    <row r="330" spans="1:31" ht="12.6" customHeight="1" x14ac:dyDescent="0.2">
      <c r="A330" s="108"/>
      <c r="B330" s="715" t="s">
        <v>385</v>
      </c>
      <c r="C330" s="716"/>
      <c r="D330" s="716"/>
      <c r="E330" s="716"/>
      <c r="F330" s="421">
        <v>1350</v>
      </c>
      <c r="G330" s="364">
        <f>+F330*$X$1</f>
        <v>1350</v>
      </c>
      <c r="H330" s="614">
        <f>F330+310</f>
        <v>1660</v>
      </c>
      <c r="I330" s="364">
        <f>+H330*$X$1</f>
        <v>1660</v>
      </c>
      <c r="J330" s="614">
        <f>F330+120</f>
        <v>1470</v>
      </c>
      <c r="K330" s="364">
        <f t="shared" ref="K330" si="750">+J330*$X$1</f>
        <v>1470</v>
      </c>
      <c r="L330" s="614">
        <f>F330+90</f>
        <v>1440</v>
      </c>
      <c r="M330" s="364">
        <f t="shared" ref="M330" si="751">+L330*$X$1</f>
        <v>1440</v>
      </c>
      <c r="N330" s="614">
        <f>F330+55</f>
        <v>1405</v>
      </c>
      <c r="O330" s="364">
        <f t="shared" ref="O330" si="752">+N330*$X$1</f>
        <v>1405</v>
      </c>
      <c r="P330" s="106"/>
      <c r="Q330" s="1191" t="s">
        <v>152</v>
      </c>
      <c r="R330" s="1192"/>
      <c r="S330" s="1192"/>
      <c r="T330" s="1192"/>
      <c r="U330" s="1192"/>
      <c r="V330" s="1192"/>
      <c r="W330" s="1193"/>
      <c r="X330" s="622"/>
      <c r="Y330" s="623"/>
      <c r="Z330" s="623"/>
      <c r="AA330" s="624"/>
      <c r="AB330" s="451">
        <v>2222</v>
      </c>
    </row>
    <row r="331" spans="1:31" ht="12.6" customHeight="1" x14ac:dyDescent="0.2">
      <c r="A331" s="18"/>
      <c r="B331" s="657" t="s">
        <v>741</v>
      </c>
      <c r="C331" s="658"/>
      <c r="D331" s="658"/>
      <c r="E331" s="659"/>
      <c r="F331" s="423">
        <f>0.585*X2</f>
        <v>568.03499999999997</v>
      </c>
      <c r="G331" s="306">
        <f t="shared" ref="G331" si="753">+F331*$X$1</f>
        <v>568.03499999999997</v>
      </c>
      <c r="H331" s="298"/>
      <c r="I331" s="298"/>
      <c r="J331" s="613"/>
      <c r="K331" s="613"/>
      <c r="L331" s="613">
        <f t="shared" ref="L331:L333" si="754">F331+100</f>
        <v>668.03499999999997</v>
      </c>
      <c r="M331" s="306">
        <f t="shared" ref="M331:M334" si="755">+L331*$X$1</f>
        <v>668.03499999999997</v>
      </c>
      <c r="N331" s="613">
        <f t="shared" ref="N331:N333" si="756">F331+52</f>
        <v>620.03499999999997</v>
      </c>
      <c r="O331" s="306">
        <f t="shared" ref="O331:O334" si="757">+N331*$X$1</f>
        <v>620.03499999999997</v>
      </c>
      <c r="P331" s="613">
        <f t="shared" ref="P331:P333" si="758">F331+44</f>
        <v>612.03499999999997</v>
      </c>
      <c r="Q331" s="306">
        <f t="shared" ref="Q331:Q333" si="759">+P331*$X$1</f>
        <v>612.03499999999997</v>
      </c>
      <c r="R331" s="613">
        <f t="shared" ref="R331:R333" si="760">F331+37</f>
        <v>605.03499999999997</v>
      </c>
      <c r="S331" s="306">
        <f t="shared" ref="S331:S333" si="761">+R331*$X$1</f>
        <v>605.03499999999997</v>
      </c>
      <c r="T331" s="105">
        <f t="shared" ref="T331:T333" si="762">F331+29</f>
        <v>597.03499999999997</v>
      </c>
      <c r="U331" s="271">
        <f t="shared" ref="U331:U333" si="763">+T331*$X$1</f>
        <v>597.03499999999997</v>
      </c>
      <c r="V331" s="105">
        <f t="shared" ref="V331:V333" si="764">F331+25</f>
        <v>593.03499999999997</v>
      </c>
      <c r="W331" s="271">
        <f t="shared" ref="W331:W333" si="765">+V331*$X$1</f>
        <v>593.03499999999997</v>
      </c>
      <c r="X331" s="503"/>
      <c r="Y331" s="502"/>
      <c r="Z331" s="502"/>
      <c r="AA331" s="503"/>
      <c r="AB331" s="451">
        <v>2231</v>
      </c>
      <c r="AC331" s="66"/>
    </row>
    <row r="332" spans="1:31" ht="12.6" customHeight="1" x14ac:dyDescent="0.2">
      <c r="A332" s="18"/>
      <c r="B332" s="657" t="s">
        <v>753</v>
      </c>
      <c r="C332" s="658"/>
      <c r="D332" s="658"/>
      <c r="E332" s="659"/>
      <c r="F332" s="422">
        <f>0.568*X2</f>
        <v>551.52799999999991</v>
      </c>
      <c r="G332" s="307">
        <f t="shared" ref="G332" si="766">+F332*$X$1</f>
        <v>551.52799999999991</v>
      </c>
      <c r="H332" s="297"/>
      <c r="I332" s="297"/>
      <c r="J332" s="548"/>
      <c r="K332" s="548"/>
      <c r="L332" s="548">
        <f t="shared" si="754"/>
        <v>651.52799999999991</v>
      </c>
      <c r="M332" s="307">
        <f t="shared" si="755"/>
        <v>651.52799999999991</v>
      </c>
      <c r="N332" s="548">
        <f t="shared" si="756"/>
        <v>603.52799999999991</v>
      </c>
      <c r="O332" s="307">
        <f t="shared" si="757"/>
        <v>603.52799999999991</v>
      </c>
      <c r="P332" s="548">
        <f t="shared" si="758"/>
        <v>595.52799999999991</v>
      </c>
      <c r="Q332" s="307">
        <f t="shared" si="759"/>
        <v>595.52799999999991</v>
      </c>
      <c r="R332" s="548">
        <f t="shared" si="760"/>
        <v>588.52799999999991</v>
      </c>
      <c r="S332" s="307">
        <f t="shared" si="761"/>
        <v>588.52799999999991</v>
      </c>
      <c r="T332" s="104">
        <f t="shared" si="762"/>
        <v>580.52799999999991</v>
      </c>
      <c r="U332" s="328">
        <f t="shared" si="763"/>
        <v>580.52799999999991</v>
      </c>
      <c r="V332" s="104">
        <f t="shared" si="764"/>
        <v>576.52799999999991</v>
      </c>
      <c r="W332" s="328">
        <f t="shared" si="765"/>
        <v>576.52799999999991</v>
      </c>
      <c r="X332" s="508"/>
      <c r="Y332" s="507"/>
      <c r="Z332" s="507"/>
      <c r="AA332" s="508"/>
      <c r="AB332" s="451">
        <v>2232</v>
      </c>
      <c r="AC332" s="66"/>
    </row>
    <row r="333" spans="1:31" ht="12.6" customHeight="1" x14ac:dyDescent="0.2">
      <c r="A333" s="18"/>
      <c r="B333" s="657" t="s">
        <v>832</v>
      </c>
      <c r="C333" s="658"/>
      <c r="D333" s="658"/>
      <c r="E333" s="659"/>
      <c r="F333" s="423">
        <f>1*X2</f>
        <v>971</v>
      </c>
      <c r="G333" s="306">
        <f t="shared" ref="G333" si="767">+F333*$X$1</f>
        <v>971</v>
      </c>
      <c r="H333" s="298"/>
      <c r="I333" s="298"/>
      <c r="J333" s="613"/>
      <c r="K333" s="613"/>
      <c r="L333" s="613">
        <f t="shared" si="754"/>
        <v>1071</v>
      </c>
      <c r="M333" s="306">
        <f t="shared" si="755"/>
        <v>1071</v>
      </c>
      <c r="N333" s="613">
        <f t="shared" si="756"/>
        <v>1023</v>
      </c>
      <c r="O333" s="306">
        <f t="shared" si="757"/>
        <v>1023</v>
      </c>
      <c r="P333" s="613">
        <f t="shared" si="758"/>
        <v>1015</v>
      </c>
      <c r="Q333" s="306">
        <f t="shared" si="759"/>
        <v>1015</v>
      </c>
      <c r="R333" s="613">
        <f t="shared" si="760"/>
        <v>1008</v>
      </c>
      <c r="S333" s="306">
        <f t="shared" si="761"/>
        <v>1008</v>
      </c>
      <c r="T333" s="105">
        <f t="shared" si="762"/>
        <v>1000</v>
      </c>
      <c r="U333" s="271">
        <f t="shared" si="763"/>
        <v>1000</v>
      </c>
      <c r="V333" s="105">
        <f t="shared" si="764"/>
        <v>996</v>
      </c>
      <c r="W333" s="271">
        <f t="shared" si="765"/>
        <v>996</v>
      </c>
      <c r="X333" s="508"/>
      <c r="Y333" s="507"/>
      <c r="Z333" s="507"/>
      <c r="AA333" s="508"/>
      <c r="AB333" s="451">
        <v>2233</v>
      </c>
      <c r="AC333" s="66"/>
    </row>
    <row r="334" spans="1:31" ht="12.6" customHeight="1" x14ac:dyDescent="0.2">
      <c r="A334" s="98"/>
      <c r="B334" s="715" t="s">
        <v>833</v>
      </c>
      <c r="C334" s="1176"/>
      <c r="D334" s="1176"/>
      <c r="E334" s="1176"/>
      <c r="F334" s="421">
        <f>0.4*X2</f>
        <v>388.40000000000003</v>
      </c>
      <c r="G334" s="364">
        <f t="shared" ref="G334:G342" si="768">+F334*$X$1</f>
        <v>388.40000000000003</v>
      </c>
      <c r="H334" s="614"/>
      <c r="I334" s="364"/>
      <c r="J334" s="614"/>
      <c r="K334" s="364"/>
      <c r="L334" s="614">
        <f>F334+150</f>
        <v>538.40000000000009</v>
      </c>
      <c r="M334" s="364">
        <f t="shared" si="755"/>
        <v>538.40000000000009</v>
      </c>
      <c r="N334" s="614">
        <f>F334+78</f>
        <v>466.40000000000003</v>
      </c>
      <c r="O334" s="364">
        <f t="shared" si="757"/>
        <v>466.40000000000003</v>
      </c>
      <c r="P334" s="614">
        <f>F334+66</f>
        <v>454.40000000000003</v>
      </c>
      <c r="Q334" s="364">
        <f t="shared" ref="Q334" si="769">+P334*$X$1</f>
        <v>454.40000000000003</v>
      </c>
      <c r="R334" s="614">
        <f>F334+56</f>
        <v>444.40000000000003</v>
      </c>
      <c r="S334" s="364">
        <f t="shared" ref="S334" si="770">+R334*$X$1</f>
        <v>444.40000000000003</v>
      </c>
      <c r="T334" s="614">
        <f>F334+44</f>
        <v>432.40000000000003</v>
      </c>
      <c r="U334" s="364">
        <f t="shared" ref="U334" si="771">+T334*$X$1</f>
        <v>432.40000000000003</v>
      </c>
      <c r="V334" s="615"/>
      <c r="W334" s="377"/>
      <c r="X334" s="144"/>
      <c r="Y334" s="140"/>
      <c r="Z334" s="140"/>
      <c r="AA334" s="143"/>
      <c r="AB334" s="451">
        <v>2234</v>
      </c>
    </row>
    <row r="335" spans="1:31" ht="12.6" customHeight="1" x14ac:dyDescent="0.2">
      <c r="A335" s="98"/>
      <c r="B335" s="625" t="s">
        <v>834</v>
      </c>
      <c r="C335" s="707"/>
      <c r="D335" s="707"/>
      <c r="E335" s="707"/>
      <c r="F335" s="417">
        <f>0.614*X2</f>
        <v>596.19399999999996</v>
      </c>
      <c r="G335" s="306">
        <f t="shared" si="768"/>
        <v>596.19399999999996</v>
      </c>
      <c r="H335" s="298"/>
      <c r="I335" s="372"/>
      <c r="J335" s="613"/>
      <c r="K335" s="306"/>
      <c r="L335" s="613">
        <f>F335+150</f>
        <v>746.19399999999996</v>
      </c>
      <c r="M335" s="306">
        <f t="shared" ref="M335:M336" si="772">+L335*$X$1</f>
        <v>746.19399999999996</v>
      </c>
      <c r="N335" s="613">
        <f>F335+78</f>
        <v>674.19399999999996</v>
      </c>
      <c r="O335" s="306">
        <f t="shared" ref="O335:O336" si="773">+N335*$X$1</f>
        <v>674.19399999999996</v>
      </c>
      <c r="P335" s="613">
        <f>F335+66</f>
        <v>662.19399999999996</v>
      </c>
      <c r="Q335" s="306">
        <f t="shared" ref="Q335:Q336" si="774">+P335*$X$1</f>
        <v>662.19399999999996</v>
      </c>
      <c r="R335" s="613">
        <f>F335+56</f>
        <v>652.19399999999996</v>
      </c>
      <c r="S335" s="306">
        <f t="shared" ref="S335:S336" si="775">+R335*$X$1</f>
        <v>652.19399999999996</v>
      </c>
      <c r="T335" s="613">
        <f>F335+44</f>
        <v>640.19399999999996</v>
      </c>
      <c r="U335" s="306">
        <f t="shared" ref="U335:U336" si="776">+T335*$X$1</f>
        <v>640.19399999999996</v>
      </c>
      <c r="V335" s="613">
        <f>F335+38</f>
        <v>634.19399999999996</v>
      </c>
      <c r="W335" s="306">
        <f t="shared" ref="W335:W338" si="777">+V335*$X$1</f>
        <v>634.19399999999996</v>
      </c>
      <c r="X335" s="144"/>
      <c r="Y335" s="140"/>
      <c r="Z335" s="140"/>
      <c r="AA335" s="143"/>
      <c r="AB335" s="451" t="s">
        <v>247</v>
      </c>
    </row>
    <row r="336" spans="1:31" ht="12.6" customHeight="1" x14ac:dyDescent="0.2">
      <c r="A336" s="18"/>
      <c r="B336" s="657" t="s">
        <v>880</v>
      </c>
      <c r="C336" s="658"/>
      <c r="D336" s="658"/>
      <c r="E336" s="659"/>
      <c r="F336" s="422">
        <f>0.372*X2</f>
        <v>361.21199999999999</v>
      </c>
      <c r="G336" s="307">
        <f t="shared" si="768"/>
        <v>361.21199999999999</v>
      </c>
      <c r="H336" s="297"/>
      <c r="I336" s="297"/>
      <c r="J336" s="548"/>
      <c r="K336" s="548"/>
      <c r="L336" s="548">
        <f t="shared" ref="L336" si="778">F336+100</f>
        <v>461.21199999999999</v>
      </c>
      <c r="M336" s="307">
        <f t="shared" si="772"/>
        <v>461.21199999999999</v>
      </c>
      <c r="N336" s="548">
        <f t="shared" ref="N336" si="779">F336+52</f>
        <v>413.21199999999999</v>
      </c>
      <c r="O336" s="307">
        <f t="shared" si="773"/>
        <v>413.21199999999999</v>
      </c>
      <c r="P336" s="548">
        <f t="shared" ref="P336" si="780">F336+44</f>
        <v>405.21199999999999</v>
      </c>
      <c r="Q336" s="307">
        <f t="shared" si="774"/>
        <v>405.21199999999999</v>
      </c>
      <c r="R336" s="548">
        <f t="shared" ref="R336" si="781">F336+37</f>
        <v>398.21199999999999</v>
      </c>
      <c r="S336" s="307">
        <f t="shared" si="775"/>
        <v>398.21199999999999</v>
      </c>
      <c r="T336" s="104">
        <f t="shared" ref="T336" si="782">F336+29</f>
        <v>390.21199999999999</v>
      </c>
      <c r="U336" s="328">
        <f t="shared" si="776"/>
        <v>390.21199999999999</v>
      </c>
      <c r="V336" s="104">
        <f t="shared" ref="V336" si="783">F336+25</f>
        <v>386.21199999999999</v>
      </c>
      <c r="W336" s="328">
        <f t="shared" ref="W336" si="784">+V336*$X$1</f>
        <v>386.21199999999999</v>
      </c>
      <c r="X336" s="566"/>
      <c r="Y336" s="567"/>
      <c r="Z336" s="567"/>
      <c r="AA336" s="566"/>
      <c r="AB336" s="451">
        <v>2235</v>
      </c>
      <c r="AC336" s="66"/>
    </row>
    <row r="337" spans="1:29" ht="12.6" customHeight="1" x14ac:dyDescent="0.2">
      <c r="A337" s="98"/>
      <c r="B337" s="625" t="s">
        <v>248</v>
      </c>
      <c r="C337" s="626"/>
      <c r="D337" s="626"/>
      <c r="E337" s="626"/>
      <c r="F337" s="417">
        <f>0.447*X2</f>
        <v>434.03700000000003</v>
      </c>
      <c r="G337" s="306">
        <f t="shared" si="768"/>
        <v>434.03700000000003</v>
      </c>
      <c r="H337" s="298"/>
      <c r="I337" s="372"/>
      <c r="J337" s="613"/>
      <c r="K337" s="306"/>
      <c r="L337" s="613">
        <f t="shared" ref="L337:L338" si="785">F337+100</f>
        <v>534.03700000000003</v>
      </c>
      <c r="M337" s="306">
        <f t="shared" ref="M337:M338" si="786">+L337*$X$1</f>
        <v>534.03700000000003</v>
      </c>
      <c r="N337" s="613">
        <f t="shared" ref="N337:N338" si="787">F337+52</f>
        <v>486.03700000000003</v>
      </c>
      <c r="O337" s="306">
        <f t="shared" ref="O337:O338" si="788">+N337*$X$1</f>
        <v>486.03700000000003</v>
      </c>
      <c r="P337" s="613">
        <f t="shared" ref="P337:P338" si="789">F337+44</f>
        <v>478.03700000000003</v>
      </c>
      <c r="Q337" s="306">
        <f t="shared" ref="Q337:Q338" si="790">+P337*$X$1</f>
        <v>478.03700000000003</v>
      </c>
      <c r="R337" s="613">
        <f t="shared" ref="R337:R338" si="791">F337+37</f>
        <v>471.03700000000003</v>
      </c>
      <c r="S337" s="306">
        <f t="shared" ref="S337:S338" si="792">+R337*$X$1</f>
        <v>471.03700000000003</v>
      </c>
      <c r="T337" s="105">
        <f t="shared" ref="T337:T338" si="793">F337+29</f>
        <v>463.03700000000003</v>
      </c>
      <c r="U337" s="271">
        <f t="shared" ref="U337:U338" si="794">+T337*$X$1</f>
        <v>463.03700000000003</v>
      </c>
      <c r="V337" s="105">
        <f t="shared" ref="V337:V338" si="795">F337+25</f>
        <v>459.03700000000003</v>
      </c>
      <c r="W337" s="271">
        <f t="shared" si="777"/>
        <v>459.03700000000003</v>
      </c>
      <c r="X337" s="144"/>
      <c r="Y337" s="140"/>
      <c r="Z337" s="140"/>
      <c r="AA337" s="143"/>
      <c r="AB337" s="451">
        <v>2238</v>
      </c>
    </row>
    <row r="338" spans="1:29" ht="12.6" customHeight="1" x14ac:dyDescent="0.2">
      <c r="A338" s="108"/>
      <c r="B338" s="682" t="s">
        <v>249</v>
      </c>
      <c r="C338" s="683"/>
      <c r="D338" s="683"/>
      <c r="E338" s="684"/>
      <c r="F338" s="418">
        <f>0.428*X2</f>
        <v>415.58799999999997</v>
      </c>
      <c r="G338" s="307">
        <f t="shared" si="768"/>
        <v>415.58799999999997</v>
      </c>
      <c r="H338" s="297"/>
      <c r="I338" s="373"/>
      <c r="J338" s="548"/>
      <c r="K338" s="307"/>
      <c r="L338" s="548">
        <f t="shared" si="785"/>
        <v>515.58799999999997</v>
      </c>
      <c r="M338" s="307">
        <f t="shared" si="786"/>
        <v>515.58799999999997</v>
      </c>
      <c r="N338" s="548">
        <f t="shared" si="787"/>
        <v>467.58799999999997</v>
      </c>
      <c r="O338" s="307">
        <f t="shared" si="788"/>
        <v>467.58799999999997</v>
      </c>
      <c r="P338" s="548">
        <f t="shared" si="789"/>
        <v>459.58799999999997</v>
      </c>
      <c r="Q338" s="307">
        <f t="shared" si="790"/>
        <v>459.58799999999997</v>
      </c>
      <c r="R338" s="548">
        <f t="shared" si="791"/>
        <v>452.58799999999997</v>
      </c>
      <c r="S338" s="307">
        <f t="shared" si="792"/>
        <v>452.58799999999997</v>
      </c>
      <c r="T338" s="104">
        <f t="shared" si="793"/>
        <v>444.58799999999997</v>
      </c>
      <c r="U338" s="328">
        <f t="shared" si="794"/>
        <v>444.58799999999997</v>
      </c>
      <c r="V338" s="104">
        <f t="shared" si="795"/>
        <v>440.58799999999997</v>
      </c>
      <c r="W338" s="328">
        <f t="shared" si="777"/>
        <v>440.58799999999997</v>
      </c>
      <c r="X338" s="144"/>
      <c r="Y338" s="140"/>
      <c r="Z338" s="140"/>
      <c r="AA338" s="143"/>
      <c r="AB338" s="451">
        <v>2239</v>
      </c>
    </row>
    <row r="339" spans="1:29" ht="12.6" customHeight="1" x14ac:dyDescent="0.2">
      <c r="A339" s="18"/>
      <c r="B339" s="693" t="s">
        <v>900</v>
      </c>
      <c r="C339" s="837"/>
      <c r="D339" s="837"/>
      <c r="E339" s="837"/>
      <c r="F339" s="601">
        <f>0.53*X2</f>
        <v>514.63</v>
      </c>
      <c r="G339" s="306">
        <f t="shared" si="768"/>
        <v>514.63</v>
      </c>
      <c r="H339" s="298"/>
      <c r="I339" s="372"/>
      <c r="J339" s="613"/>
      <c r="K339" s="306"/>
      <c r="L339" s="613">
        <f t="shared" ref="L339:L341" si="796">F339+100</f>
        <v>614.63</v>
      </c>
      <c r="M339" s="306">
        <f t="shared" ref="M339:M341" si="797">+L339*$X$1</f>
        <v>614.63</v>
      </c>
      <c r="N339" s="613">
        <f t="shared" ref="N339:N341" si="798">F339+52</f>
        <v>566.63</v>
      </c>
      <c r="O339" s="306">
        <f t="shared" ref="O339:O341" si="799">+N339*$X$1</f>
        <v>566.63</v>
      </c>
      <c r="P339" s="613">
        <f t="shared" ref="P339:P341" si="800">F339+44</f>
        <v>558.63</v>
      </c>
      <c r="Q339" s="306">
        <f t="shared" ref="Q339:Q341" si="801">+P339*$X$1</f>
        <v>558.63</v>
      </c>
      <c r="R339" s="613">
        <f t="shared" ref="R339:R341" si="802">F339+37</f>
        <v>551.63</v>
      </c>
      <c r="S339" s="306">
        <f t="shared" ref="S339:S341" si="803">+R339*$X$1</f>
        <v>551.63</v>
      </c>
      <c r="T339" s="105">
        <f t="shared" ref="T339:T341" si="804">F339+29</f>
        <v>543.63</v>
      </c>
      <c r="U339" s="271">
        <f t="shared" ref="U339:U341" si="805">+T339*$X$1</f>
        <v>543.63</v>
      </c>
      <c r="V339" s="105">
        <f t="shared" ref="V339:V341" si="806">F339+25</f>
        <v>539.63</v>
      </c>
      <c r="W339" s="271">
        <f t="shared" ref="W339:W341" si="807">+V339*$X$1</f>
        <v>539.63</v>
      </c>
      <c r="X339" s="144"/>
      <c r="Y339" s="140"/>
      <c r="Z339" s="140"/>
      <c r="AA339" s="143"/>
      <c r="AB339" s="451">
        <v>2240</v>
      </c>
    </row>
    <row r="340" spans="1:29" ht="12.6" customHeight="1" x14ac:dyDescent="0.2">
      <c r="A340" s="18"/>
      <c r="B340" s="693" t="s">
        <v>887</v>
      </c>
      <c r="C340" s="837"/>
      <c r="D340" s="837"/>
      <c r="E340" s="837"/>
      <c r="F340" s="429">
        <f>0.24*X2</f>
        <v>233.04</v>
      </c>
      <c r="G340" s="307">
        <f t="shared" ref="G340:G341" si="808">+F340*$X$1</f>
        <v>233.04</v>
      </c>
      <c r="H340" s="297"/>
      <c r="I340" s="373"/>
      <c r="J340" s="548"/>
      <c r="K340" s="307"/>
      <c r="L340" s="548"/>
      <c r="M340" s="307"/>
      <c r="N340" s="548">
        <f t="shared" si="798"/>
        <v>285.03999999999996</v>
      </c>
      <c r="O340" s="307">
        <f t="shared" si="799"/>
        <v>285.03999999999996</v>
      </c>
      <c r="P340" s="548">
        <f t="shared" si="800"/>
        <v>277.03999999999996</v>
      </c>
      <c r="Q340" s="307">
        <f t="shared" si="801"/>
        <v>277.03999999999996</v>
      </c>
      <c r="R340" s="548">
        <f t="shared" si="802"/>
        <v>270.03999999999996</v>
      </c>
      <c r="S340" s="307">
        <f t="shared" si="803"/>
        <v>270.03999999999996</v>
      </c>
      <c r="T340" s="104">
        <f t="shared" si="804"/>
        <v>262.03999999999996</v>
      </c>
      <c r="U340" s="328">
        <f t="shared" si="805"/>
        <v>262.03999999999996</v>
      </c>
      <c r="V340" s="104">
        <f t="shared" si="806"/>
        <v>258.03999999999996</v>
      </c>
      <c r="W340" s="328">
        <f t="shared" si="807"/>
        <v>258.03999999999996</v>
      </c>
      <c r="X340" s="144"/>
      <c r="Y340" s="140"/>
      <c r="Z340" s="140"/>
      <c r="AA340" s="143"/>
      <c r="AB340" s="451">
        <v>2241</v>
      </c>
    </row>
    <row r="341" spans="1:29" ht="12.6" customHeight="1" x14ac:dyDescent="0.2">
      <c r="A341" s="18"/>
      <c r="B341" s="693" t="s">
        <v>888</v>
      </c>
      <c r="C341" s="837"/>
      <c r="D341" s="837"/>
      <c r="E341" s="837"/>
      <c r="F341" s="601">
        <f>0.38*X2</f>
        <v>368.98</v>
      </c>
      <c r="G341" s="306">
        <f t="shared" si="808"/>
        <v>368.98</v>
      </c>
      <c r="H341" s="298"/>
      <c r="I341" s="372"/>
      <c r="J341" s="613"/>
      <c r="K341" s="306"/>
      <c r="L341" s="613">
        <f t="shared" si="796"/>
        <v>468.98</v>
      </c>
      <c r="M341" s="306">
        <f t="shared" si="797"/>
        <v>468.98</v>
      </c>
      <c r="N341" s="613">
        <f t="shared" si="798"/>
        <v>420.98</v>
      </c>
      <c r="O341" s="306">
        <f t="shared" si="799"/>
        <v>420.98</v>
      </c>
      <c r="P341" s="613">
        <f t="shared" si="800"/>
        <v>412.98</v>
      </c>
      <c r="Q341" s="306">
        <f t="shared" si="801"/>
        <v>412.98</v>
      </c>
      <c r="R341" s="613">
        <f t="shared" si="802"/>
        <v>405.98</v>
      </c>
      <c r="S341" s="306">
        <f t="shared" si="803"/>
        <v>405.98</v>
      </c>
      <c r="T341" s="105">
        <f t="shared" si="804"/>
        <v>397.98</v>
      </c>
      <c r="U341" s="271">
        <f t="shared" si="805"/>
        <v>397.98</v>
      </c>
      <c r="V341" s="105">
        <f t="shared" si="806"/>
        <v>393.98</v>
      </c>
      <c r="W341" s="271">
        <f t="shared" si="807"/>
        <v>393.98</v>
      </c>
      <c r="X341" s="144"/>
      <c r="Y341" s="140"/>
      <c r="Z341" s="140"/>
      <c r="AA341" s="143"/>
      <c r="AB341" s="451">
        <v>2242</v>
      </c>
    </row>
    <row r="342" spans="1:29" ht="12.6" customHeight="1" x14ac:dyDescent="0.2">
      <c r="A342" s="98"/>
      <c r="B342" s="669" t="s">
        <v>250</v>
      </c>
      <c r="C342" s="670"/>
      <c r="D342" s="670"/>
      <c r="E342" s="670"/>
      <c r="F342" s="429">
        <f>0.35*X2</f>
        <v>339.84999999999997</v>
      </c>
      <c r="G342" s="307">
        <f t="shared" si="768"/>
        <v>339.84999999999997</v>
      </c>
      <c r="H342" s="297"/>
      <c r="I342" s="373"/>
      <c r="J342" s="548"/>
      <c r="K342" s="307"/>
      <c r="L342" s="548">
        <f t="shared" ref="L342:L357" si="809">F342+100</f>
        <v>439.84999999999997</v>
      </c>
      <c r="M342" s="307">
        <f t="shared" ref="M342:M357" si="810">+L342*$X$1</f>
        <v>439.84999999999997</v>
      </c>
      <c r="N342" s="548">
        <f t="shared" ref="N342:N357" si="811">F342+52</f>
        <v>391.84999999999997</v>
      </c>
      <c r="O342" s="307">
        <f t="shared" ref="O342:O357" si="812">+N342*$X$1</f>
        <v>391.84999999999997</v>
      </c>
      <c r="P342" s="548">
        <f t="shared" ref="P342:P357" si="813">F342+44</f>
        <v>383.84999999999997</v>
      </c>
      <c r="Q342" s="307">
        <f t="shared" ref="Q342:Q357" si="814">+P342*$X$1</f>
        <v>383.84999999999997</v>
      </c>
      <c r="R342" s="548">
        <f t="shared" ref="R342:R357" si="815">F342+37</f>
        <v>376.84999999999997</v>
      </c>
      <c r="S342" s="307">
        <f t="shared" ref="S342:S357" si="816">+R342*$X$1</f>
        <v>376.84999999999997</v>
      </c>
      <c r="T342" s="104">
        <f t="shared" ref="T342:T357" si="817">F342+29</f>
        <v>368.84999999999997</v>
      </c>
      <c r="U342" s="328">
        <f t="shared" ref="U342:U357" si="818">+T342*$X$1</f>
        <v>368.84999999999997</v>
      </c>
      <c r="V342" s="104">
        <f t="shared" ref="V342:V357" si="819">F342+25</f>
        <v>364.84999999999997</v>
      </c>
      <c r="W342" s="328">
        <f t="shared" ref="W342:W357" si="820">+V342*$X$1</f>
        <v>364.84999999999997</v>
      </c>
      <c r="X342" s="144"/>
      <c r="Y342" s="140"/>
      <c r="Z342" s="140"/>
      <c r="AA342" s="143"/>
      <c r="AB342" s="451">
        <v>2244</v>
      </c>
    </row>
    <row r="343" spans="1:29" ht="12.6" customHeight="1" x14ac:dyDescent="0.2">
      <c r="A343" s="18"/>
      <c r="B343" s="625" t="s">
        <v>891</v>
      </c>
      <c r="C343" s="626"/>
      <c r="D343" s="626"/>
      <c r="E343" s="626"/>
      <c r="F343" s="601">
        <f>0.29*X2</f>
        <v>281.58999999999997</v>
      </c>
      <c r="G343" s="306">
        <f t="shared" ref="G343:G344" si="821">+F343*$X$1</f>
        <v>281.58999999999997</v>
      </c>
      <c r="H343" s="298"/>
      <c r="I343" s="372"/>
      <c r="J343" s="613"/>
      <c r="K343" s="306"/>
      <c r="L343" s="613">
        <f t="shared" si="809"/>
        <v>381.59</v>
      </c>
      <c r="M343" s="306">
        <f t="shared" si="810"/>
        <v>381.59</v>
      </c>
      <c r="N343" s="613">
        <f t="shared" si="811"/>
        <v>333.59</v>
      </c>
      <c r="O343" s="306">
        <f t="shared" si="812"/>
        <v>333.59</v>
      </c>
      <c r="P343" s="613">
        <f t="shared" si="813"/>
        <v>325.58999999999997</v>
      </c>
      <c r="Q343" s="306">
        <f t="shared" si="814"/>
        <v>325.58999999999997</v>
      </c>
      <c r="R343" s="613">
        <f t="shared" si="815"/>
        <v>318.58999999999997</v>
      </c>
      <c r="S343" s="306">
        <f t="shared" si="816"/>
        <v>318.58999999999997</v>
      </c>
      <c r="T343" s="105">
        <f t="shared" si="817"/>
        <v>310.58999999999997</v>
      </c>
      <c r="U343" s="271">
        <f t="shared" si="818"/>
        <v>310.58999999999997</v>
      </c>
      <c r="V343" s="105">
        <f t="shared" si="819"/>
        <v>306.58999999999997</v>
      </c>
      <c r="W343" s="271">
        <f t="shared" si="820"/>
        <v>306.58999999999997</v>
      </c>
      <c r="X343" s="144"/>
      <c r="Y343" s="140"/>
      <c r="Z343" s="140"/>
      <c r="AA343" s="143"/>
      <c r="AB343" s="451">
        <v>2245</v>
      </c>
    </row>
    <row r="344" spans="1:29" ht="12.6" customHeight="1" x14ac:dyDescent="0.2">
      <c r="A344" s="18"/>
      <c r="B344" s="693" t="s">
        <v>890</v>
      </c>
      <c r="C344" s="837"/>
      <c r="D344" s="837"/>
      <c r="E344" s="837"/>
      <c r="F344" s="429">
        <f>0.31*X2</f>
        <v>301.01</v>
      </c>
      <c r="G344" s="307">
        <f t="shared" si="821"/>
        <v>301.01</v>
      </c>
      <c r="H344" s="297"/>
      <c r="I344" s="373"/>
      <c r="J344" s="548"/>
      <c r="K344" s="307"/>
      <c r="L344" s="548">
        <f t="shared" si="809"/>
        <v>401.01</v>
      </c>
      <c r="M344" s="307">
        <f t="shared" si="810"/>
        <v>401.01</v>
      </c>
      <c r="N344" s="548">
        <f t="shared" si="811"/>
        <v>353.01</v>
      </c>
      <c r="O344" s="307">
        <f t="shared" si="812"/>
        <v>353.01</v>
      </c>
      <c r="P344" s="548">
        <f t="shared" si="813"/>
        <v>345.01</v>
      </c>
      <c r="Q344" s="307">
        <f t="shared" si="814"/>
        <v>345.01</v>
      </c>
      <c r="R344" s="548">
        <f t="shared" si="815"/>
        <v>338.01</v>
      </c>
      <c r="S344" s="307">
        <f t="shared" si="816"/>
        <v>338.01</v>
      </c>
      <c r="T344" s="104">
        <f t="shared" si="817"/>
        <v>330.01</v>
      </c>
      <c r="U344" s="328">
        <f t="shared" si="818"/>
        <v>330.01</v>
      </c>
      <c r="V344" s="104">
        <f t="shared" si="819"/>
        <v>326.01</v>
      </c>
      <c r="W344" s="328">
        <f t="shared" si="820"/>
        <v>326.01</v>
      </c>
      <c r="X344" s="144"/>
      <c r="Y344" s="140"/>
      <c r="Z344" s="140"/>
      <c r="AA344" s="143"/>
      <c r="AB344" s="451" t="s">
        <v>889</v>
      </c>
    </row>
    <row r="345" spans="1:29" ht="12.6" customHeight="1" x14ac:dyDescent="0.2">
      <c r="A345" s="98"/>
      <c r="B345" s="625" t="s">
        <v>555</v>
      </c>
      <c r="C345" s="626"/>
      <c r="D345" s="626"/>
      <c r="E345" s="626"/>
      <c r="F345" s="306">
        <v>1260</v>
      </c>
      <c r="G345" s="306">
        <f>+F345*$X$1</f>
        <v>1260</v>
      </c>
      <c r="H345" s="298"/>
      <c r="I345" s="372"/>
      <c r="J345" s="613"/>
      <c r="K345" s="306"/>
      <c r="L345" s="613">
        <f t="shared" si="809"/>
        <v>1360</v>
      </c>
      <c r="M345" s="306">
        <f t="shared" si="810"/>
        <v>1360</v>
      </c>
      <c r="N345" s="613">
        <f t="shared" si="811"/>
        <v>1312</v>
      </c>
      <c r="O345" s="306">
        <f t="shared" si="812"/>
        <v>1312</v>
      </c>
      <c r="P345" s="613">
        <f t="shared" si="813"/>
        <v>1304</v>
      </c>
      <c r="Q345" s="306">
        <f t="shared" si="814"/>
        <v>1304</v>
      </c>
      <c r="R345" s="613">
        <f t="shared" si="815"/>
        <v>1297</v>
      </c>
      <c r="S345" s="306">
        <f t="shared" si="816"/>
        <v>1297</v>
      </c>
      <c r="T345" s="105">
        <f t="shared" si="817"/>
        <v>1289</v>
      </c>
      <c r="U345" s="271">
        <f t="shared" si="818"/>
        <v>1289</v>
      </c>
      <c r="V345" s="105">
        <f t="shared" si="819"/>
        <v>1285</v>
      </c>
      <c r="W345" s="271">
        <f t="shared" si="820"/>
        <v>1285</v>
      </c>
      <c r="X345" s="144"/>
      <c r="Y345" s="140"/>
      <c r="Z345" s="140"/>
      <c r="AA345" s="143"/>
      <c r="AB345" s="451">
        <v>2246</v>
      </c>
    </row>
    <row r="346" spans="1:29" ht="12.6" customHeight="1" x14ac:dyDescent="0.2">
      <c r="A346" s="18"/>
      <c r="B346" s="693" t="s">
        <v>902</v>
      </c>
      <c r="C346" s="837"/>
      <c r="D346" s="837"/>
      <c r="E346" s="837"/>
      <c r="F346" s="429">
        <f>3.64*X2</f>
        <v>3534.44</v>
      </c>
      <c r="G346" s="307">
        <f t="shared" ref="G346" si="822">+F346*$X$1</f>
        <v>3534.44</v>
      </c>
      <c r="H346" s="297"/>
      <c r="I346" s="373"/>
      <c r="J346" s="548">
        <f>F346+160</f>
        <v>3694.44</v>
      </c>
      <c r="K346" s="307">
        <f t="shared" ref="K346" si="823">+J346*$X$1</f>
        <v>3694.44</v>
      </c>
      <c r="L346" s="548">
        <f t="shared" si="809"/>
        <v>3634.44</v>
      </c>
      <c r="M346" s="307">
        <f t="shared" si="810"/>
        <v>3634.44</v>
      </c>
      <c r="N346" s="548">
        <f t="shared" si="811"/>
        <v>3586.44</v>
      </c>
      <c r="O346" s="307">
        <f t="shared" si="812"/>
        <v>3586.44</v>
      </c>
      <c r="P346" s="548">
        <f t="shared" si="813"/>
        <v>3578.44</v>
      </c>
      <c r="Q346" s="307">
        <f t="shared" si="814"/>
        <v>3578.44</v>
      </c>
      <c r="R346" s="548">
        <f t="shared" si="815"/>
        <v>3571.44</v>
      </c>
      <c r="S346" s="307">
        <f t="shared" si="816"/>
        <v>3571.44</v>
      </c>
      <c r="T346" s="104">
        <f t="shared" si="817"/>
        <v>3563.44</v>
      </c>
      <c r="U346" s="328">
        <f t="shared" si="818"/>
        <v>3563.44</v>
      </c>
      <c r="V346" s="104">
        <f t="shared" si="819"/>
        <v>3559.44</v>
      </c>
      <c r="W346" s="328">
        <f t="shared" si="820"/>
        <v>3559.44</v>
      </c>
      <c r="X346" s="144"/>
      <c r="Y346" s="140"/>
      <c r="Z346" s="140"/>
      <c r="AA346" s="143"/>
      <c r="AB346" s="451">
        <v>2247</v>
      </c>
    </row>
    <row r="347" spans="1:29" ht="12.6" customHeight="1" x14ac:dyDescent="0.2">
      <c r="A347" s="18"/>
      <c r="B347" s="641" t="s">
        <v>505</v>
      </c>
      <c r="C347" s="651"/>
      <c r="D347" s="651"/>
      <c r="E347" s="652"/>
      <c r="F347" s="423">
        <f>0.47*X2</f>
        <v>456.36999999999995</v>
      </c>
      <c r="G347" s="306">
        <f t="shared" ref="G347:G352" si="824">+F347*$X$1</f>
        <v>456.36999999999995</v>
      </c>
      <c r="H347" s="298"/>
      <c r="I347" s="372"/>
      <c r="J347" s="613"/>
      <c r="K347" s="306"/>
      <c r="L347" s="613">
        <f t="shared" si="809"/>
        <v>556.36999999999989</v>
      </c>
      <c r="M347" s="306">
        <f t="shared" si="810"/>
        <v>556.36999999999989</v>
      </c>
      <c r="N347" s="613">
        <f t="shared" si="811"/>
        <v>508.36999999999995</v>
      </c>
      <c r="O347" s="306">
        <f t="shared" si="812"/>
        <v>508.36999999999995</v>
      </c>
      <c r="P347" s="613">
        <f t="shared" si="813"/>
        <v>500.36999999999995</v>
      </c>
      <c r="Q347" s="306">
        <f t="shared" si="814"/>
        <v>500.36999999999995</v>
      </c>
      <c r="R347" s="613">
        <f t="shared" si="815"/>
        <v>493.36999999999995</v>
      </c>
      <c r="S347" s="306">
        <f t="shared" si="816"/>
        <v>493.36999999999995</v>
      </c>
      <c r="T347" s="105">
        <f t="shared" si="817"/>
        <v>485.36999999999995</v>
      </c>
      <c r="U347" s="271">
        <f t="shared" si="818"/>
        <v>485.36999999999995</v>
      </c>
      <c r="V347" s="105">
        <f t="shared" si="819"/>
        <v>481.36999999999995</v>
      </c>
      <c r="W347" s="271">
        <f t="shared" si="820"/>
        <v>481.36999999999995</v>
      </c>
      <c r="X347" s="136"/>
      <c r="Y347" s="136"/>
      <c r="Z347" s="136"/>
      <c r="AA347" s="136"/>
      <c r="AB347" s="466">
        <v>2251</v>
      </c>
    </row>
    <row r="348" spans="1:29" ht="12.6" customHeight="1" x14ac:dyDescent="0.2">
      <c r="A348" s="18"/>
      <c r="B348" s="682" t="s">
        <v>734</v>
      </c>
      <c r="C348" s="1049"/>
      <c r="D348" s="1049"/>
      <c r="E348" s="1050"/>
      <c r="F348" s="422">
        <f>0.47*X2</f>
        <v>456.36999999999995</v>
      </c>
      <c r="G348" s="307">
        <f t="shared" si="824"/>
        <v>456.36999999999995</v>
      </c>
      <c r="H348" s="297"/>
      <c r="I348" s="373"/>
      <c r="J348" s="548"/>
      <c r="K348" s="307"/>
      <c r="L348" s="548">
        <f t="shared" si="809"/>
        <v>556.36999999999989</v>
      </c>
      <c r="M348" s="307">
        <f t="shared" si="810"/>
        <v>556.36999999999989</v>
      </c>
      <c r="N348" s="548">
        <f t="shared" si="811"/>
        <v>508.36999999999995</v>
      </c>
      <c r="O348" s="307">
        <f t="shared" si="812"/>
        <v>508.36999999999995</v>
      </c>
      <c r="P348" s="548">
        <f t="shared" si="813"/>
        <v>500.36999999999995</v>
      </c>
      <c r="Q348" s="307">
        <f t="shared" si="814"/>
        <v>500.36999999999995</v>
      </c>
      <c r="R348" s="548">
        <f t="shared" si="815"/>
        <v>493.36999999999995</v>
      </c>
      <c r="S348" s="307">
        <f t="shared" si="816"/>
        <v>493.36999999999995</v>
      </c>
      <c r="T348" s="104">
        <f t="shared" si="817"/>
        <v>485.36999999999995</v>
      </c>
      <c r="U348" s="328">
        <f t="shared" si="818"/>
        <v>485.36999999999995</v>
      </c>
      <c r="V348" s="104">
        <f t="shared" si="819"/>
        <v>481.36999999999995</v>
      </c>
      <c r="W348" s="328">
        <f t="shared" si="820"/>
        <v>481.36999999999995</v>
      </c>
      <c r="X348" s="136"/>
      <c r="Y348" s="136"/>
      <c r="Z348" s="136"/>
      <c r="AA348" s="136"/>
      <c r="AB348" s="451">
        <v>2252</v>
      </c>
    </row>
    <row r="349" spans="1:29" ht="12.6" customHeight="1" x14ac:dyDescent="0.2">
      <c r="A349" s="108"/>
      <c r="B349" s="641" t="s">
        <v>251</v>
      </c>
      <c r="C349" s="642"/>
      <c r="D349" s="642"/>
      <c r="E349" s="643"/>
      <c r="F349" s="417">
        <f>0.372*X2</f>
        <v>361.21199999999999</v>
      </c>
      <c r="G349" s="306">
        <f t="shared" si="824"/>
        <v>361.21199999999999</v>
      </c>
      <c r="H349" s="298"/>
      <c r="I349" s="372"/>
      <c r="J349" s="613"/>
      <c r="K349" s="306"/>
      <c r="L349" s="613">
        <f t="shared" si="809"/>
        <v>461.21199999999999</v>
      </c>
      <c r="M349" s="306">
        <f t="shared" si="810"/>
        <v>461.21199999999999</v>
      </c>
      <c r="N349" s="613">
        <f t="shared" si="811"/>
        <v>413.21199999999999</v>
      </c>
      <c r="O349" s="306">
        <f t="shared" si="812"/>
        <v>413.21199999999999</v>
      </c>
      <c r="P349" s="613">
        <f t="shared" si="813"/>
        <v>405.21199999999999</v>
      </c>
      <c r="Q349" s="306">
        <f t="shared" si="814"/>
        <v>405.21199999999999</v>
      </c>
      <c r="R349" s="613">
        <f t="shared" si="815"/>
        <v>398.21199999999999</v>
      </c>
      <c r="S349" s="306">
        <f t="shared" si="816"/>
        <v>398.21199999999999</v>
      </c>
      <c r="T349" s="105">
        <f t="shared" si="817"/>
        <v>390.21199999999999</v>
      </c>
      <c r="U349" s="271">
        <f t="shared" si="818"/>
        <v>390.21199999999999</v>
      </c>
      <c r="V349" s="105">
        <f t="shared" si="819"/>
        <v>386.21199999999999</v>
      </c>
      <c r="W349" s="271">
        <f t="shared" si="820"/>
        <v>386.21199999999999</v>
      </c>
      <c r="X349" s="177"/>
      <c r="Y349" s="136"/>
      <c r="Z349" s="136"/>
      <c r="AA349" s="156"/>
      <c r="AB349" s="451">
        <v>2254</v>
      </c>
      <c r="AC349" s="66"/>
    </row>
    <row r="350" spans="1:29" ht="12.6" customHeight="1" x14ac:dyDescent="0.2">
      <c r="A350" s="108"/>
      <c r="B350" s="682" t="s">
        <v>518</v>
      </c>
      <c r="C350" s="894"/>
      <c r="D350" s="894"/>
      <c r="E350" s="895"/>
      <c r="F350" s="418">
        <f>0.429*X2</f>
        <v>416.55899999999997</v>
      </c>
      <c r="G350" s="307">
        <f t="shared" si="824"/>
        <v>416.55899999999997</v>
      </c>
      <c r="H350" s="297"/>
      <c r="I350" s="373"/>
      <c r="J350" s="548"/>
      <c r="K350" s="307"/>
      <c r="L350" s="548">
        <f t="shared" si="809"/>
        <v>516.55899999999997</v>
      </c>
      <c r="M350" s="307">
        <f t="shared" si="810"/>
        <v>516.55899999999997</v>
      </c>
      <c r="N350" s="548">
        <f t="shared" si="811"/>
        <v>468.55899999999997</v>
      </c>
      <c r="O350" s="307">
        <f t="shared" si="812"/>
        <v>468.55899999999997</v>
      </c>
      <c r="P350" s="548">
        <f t="shared" si="813"/>
        <v>460.55899999999997</v>
      </c>
      <c r="Q350" s="307">
        <f t="shared" si="814"/>
        <v>460.55899999999997</v>
      </c>
      <c r="R350" s="548">
        <f t="shared" si="815"/>
        <v>453.55899999999997</v>
      </c>
      <c r="S350" s="307">
        <f t="shared" si="816"/>
        <v>453.55899999999997</v>
      </c>
      <c r="T350" s="104">
        <f t="shared" si="817"/>
        <v>445.55899999999997</v>
      </c>
      <c r="U350" s="328">
        <f t="shared" si="818"/>
        <v>445.55899999999997</v>
      </c>
      <c r="V350" s="104">
        <f t="shared" si="819"/>
        <v>441.55899999999997</v>
      </c>
      <c r="W350" s="328">
        <f t="shared" si="820"/>
        <v>441.55899999999997</v>
      </c>
      <c r="X350" s="177"/>
      <c r="Y350" s="136"/>
      <c r="Z350" s="136"/>
      <c r="AA350" s="156"/>
      <c r="AB350" s="451" t="s">
        <v>545</v>
      </c>
      <c r="AC350" s="66"/>
    </row>
    <row r="351" spans="1:29" ht="12.6" customHeight="1" x14ac:dyDescent="0.2">
      <c r="A351" s="108"/>
      <c r="B351" s="641" t="s">
        <v>521</v>
      </c>
      <c r="C351" s="642"/>
      <c r="D351" s="642"/>
      <c r="E351" s="643"/>
      <c r="F351" s="417">
        <f>0.372*X2</f>
        <v>361.21199999999999</v>
      </c>
      <c r="G351" s="306">
        <f t="shared" si="824"/>
        <v>361.21199999999999</v>
      </c>
      <c r="H351" s="298"/>
      <c r="I351" s="372"/>
      <c r="J351" s="613"/>
      <c r="K351" s="306"/>
      <c r="L351" s="613">
        <f t="shared" si="809"/>
        <v>461.21199999999999</v>
      </c>
      <c r="M351" s="306">
        <f t="shared" si="810"/>
        <v>461.21199999999999</v>
      </c>
      <c r="N351" s="613">
        <f t="shared" si="811"/>
        <v>413.21199999999999</v>
      </c>
      <c r="O351" s="306">
        <f t="shared" si="812"/>
        <v>413.21199999999999</v>
      </c>
      <c r="P351" s="613">
        <f t="shared" si="813"/>
        <v>405.21199999999999</v>
      </c>
      <c r="Q351" s="306">
        <f t="shared" si="814"/>
        <v>405.21199999999999</v>
      </c>
      <c r="R351" s="613">
        <f t="shared" si="815"/>
        <v>398.21199999999999</v>
      </c>
      <c r="S351" s="306">
        <f t="shared" si="816"/>
        <v>398.21199999999999</v>
      </c>
      <c r="T351" s="105">
        <f t="shared" si="817"/>
        <v>390.21199999999999</v>
      </c>
      <c r="U351" s="271">
        <f t="shared" si="818"/>
        <v>390.21199999999999</v>
      </c>
      <c r="V351" s="105">
        <f t="shared" si="819"/>
        <v>386.21199999999999</v>
      </c>
      <c r="W351" s="271">
        <f t="shared" si="820"/>
        <v>386.21199999999999</v>
      </c>
      <c r="X351" s="177"/>
      <c r="Y351" s="136"/>
      <c r="Z351" s="136"/>
      <c r="AA351" s="156"/>
      <c r="AB351" s="451" t="s">
        <v>544</v>
      </c>
      <c r="AC351" s="66"/>
    </row>
    <row r="352" spans="1:29" ht="12.6" customHeight="1" x14ac:dyDescent="0.2">
      <c r="A352" s="108"/>
      <c r="B352" s="682" t="s">
        <v>252</v>
      </c>
      <c r="C352" s="683"/>
      <c r="D352" s="683"/>
      <c r="E352" s="684"/>
      <c r="F352" s="307">
        <v>577</v>
      </c>
      <c r="G352" s="307">
        <f t="shared" si="824"/>
        <v>577</v>
      </c>
      <c r="H352" s="297"/>
      <c r="I352" s="373"/>
      <c r="J352" s="548"/>
      <c r="K352" s="307"/>
      <c r="L352" s="548">
        <f t="shared" si="809"/>
        <v>677</v>
      </c>
      <c r="M352" s="307">
        <f t="shared" si="810"/>
        <v>677</v>
      </c>
      <c r="N352" s="548">
        <f t="shared" si="811"/>
        <v>629</v>
      </c>
      <c r="O352" s="307">
        <f t="shared" si="812"/>
        <v>629</v>
      </c>
      <c r="P352" s="548">
        <f t="shared" si="813"/>
        <v>621</v>
      </c>
      <c r="Q352" s="307">
        <f t="shared" si="814"/>
        <v>621</v>
      </c>
      <c r="R352" s="548">
        <f t="shared" si="815"/>
        <v>614</v>
      </c>
      <c r="S352" s="307">
        <f t="shared" si="816"/>
        <v>614</v>
      </c>
      <c r="T352" s="104">
        <f t="shared" si="817"/>
        <v>606</v>
      </c>
      <c r="U352" s="328">
        <f t="shared" si="818"/>
        <v>606</v>
      </c>
      <c r="V352" s="104">
        <f t="shared" si="819"/>
        <v>602</v>
      </c>
      <c r="W352" s="328">
        <f t="shared" si="820"/>
        <v>602</v>
      </c>
      <c r="X352" s="177"/>
      <c r="Y352" s="136"/>
      <c r="Z352" s="136"/>
      <c r="AA352" s="136"/>
      <c r="AB352" s="451">
        <v>2255</v>
      </c>
      <c r="AC352" s="66"/>
    </row>
    <row r="353" spans="1:29" ht="12.6" customHeight="1" x14ac:dyDescent="0.2">
      <c r="A353" s="18"/>
      <c r="B353" s="951" t="s">
        <v>714</v>
      </c>
      <c r="C353" s="1150"/>
      <c r="D353" s="1150"/>
      <c r="E353" s="1150"/>
      <c r="F353" s="417">
        <f>0.702*X2</f>
        <v>681.64199999999994</v>
      </c>
      <c r="G353" s="306">
        <f t="shared" ref="G353" si="825">+F353*$X$1</f>
        <v>681.64199999999994</v>
      </c>
      <c r="H353" s="613"/>
      <c r="I353" s="306"/>
      <c r="J353" s="613"/>
      <c r="K353" s="306"/>
      <c r="L353" s="613">
        <f t="shared" si="809"/>
        <v>781.64199999999994</v>
      </c>
      <c r="M353" s="306">
        <f t="shared" si="810"/>
        <v>781.64199999999994</v>
      </c>
      <c r="N353" s="613">
        <f t="shared" si="811"/>
        <v>733.64199999999994</v>
      </c>
      <c r="O353" s="306">
        <f t="shared" si="812"/>
        <v>733.64199999999994</v>
      </c>
      <c r="P353" s="613">
        <f t="shared" si="813"/>
        <v>725.64199999999994</v>
      </c>
      <c r="Q353" s="306">
        <f t="shared" si="814"/>
        <v>725.64199999999994</v>
      </c>
      <c r="R353" s="613">
        <f t="shared" si="815"/>
        <v>718.64199999999994</v>
      </c>
      <c r="S353" s="306">
        <f t="shared" si="816"/>
        <v>718.64199999999994</v>
      </c>
      <c r="T353" s="105">
        <f t="shared" si="817"/>
        <v>710.64199999999994</v>
      </c>
      <c r="U353" s="271">
        <f t="shared" si="818"/>
        <v>710.64199999999994</v>
      </c>
      <c r="V353" s="105">
        <f t="shared" si="819"/>
        <v>706.64199999999994</v>
      </c>
      <c r="W353" s="271">
        <f t="shared" si="820"/>
        <v>706.64199999999994</v>
      </c>
      <c r="X353" s="623"/>
      <c r="Y353" s="761"/>
      <c r="Z353" s="761"/>
      <c r="AA353" s="624"/>
      <c r="AB353" s="451">
        <v>2260</v>
      </c>
      <c r="AC353" s="66"/>
    </row>
    <row r="354" spans="1:29" ht="12.6" customHeight="1" x14ac:dyDescent="0.2">
      <c r="A354" s="18"/>
      <c r="B354" s="1018" t="s">
        <v>690</v>
      </c>
      <c r="C354" s="1164"/>
      <c r="D354" s="1164"/>
      <c r="E354" s="1164"/>
      <c r="F354" s="418">
        <f>0.611*X2</f>
        <v>593.28099999999995</v>
      </c>
      <c r="G354" s="307">
        <f t="shared" ref="G354:G355" si="826">+F354*$X$1</f>
        <v>593.28099999999995</v>
      </c>
      <c r="H354" s="548"/>
      <c r="I354" s="307"/>
      <c r="J354" s="548"/>
      <c r="K354" s="307"/>
      <c r="L354" s="548">
        <f t="shared" si="809"/>
        <v>693.28099999999995</v>
      </c>
      <c r="M354" s="307">
        <f t="shared" si="810"/>
        <v>693.28099999999995</v>
      </c>
      <c r="N354" s="548">
        <f t="shared" si="811"/>
        <v>645.28099999999995</v>
      </c>
      <c r="O354" s="307">
        <f t="shared" si="812"/>
        <v>645.28099999999995</v>
      </c>
      <c r="P354" s="548">
        <f t="shared" si="813"/>
        <v>637.28099999999995</v>
      </c>
      <c r="Q354" s="307">
        <f t="shared" si="814"/>
        <v>637.28099999999995</v>
      </c>
      <c r="R354" s="548">
        <f t="shared" si="815"/>
        <v>630.28099999999995</v>
      </c>
      <c r="S354" s="307">
        <f t="shared" si="816"/>
        <v>630.28099999999995</v>
      </c>
      <c r="T354" s="104">
        <f t="shared" si="817"/>
        <v>622.28099999999995</v>
      </c>
      <c r="U354" s="328">
        <f t="shared" si="818"/>
        <v>622.28099999999995</v>
      </c>
      <c r="V354" s="104">
        <f t="shared" si="819"/>
        <v>618.28099999999995</v>
      </c>
      <c r="W354" s="328">
        <f t="shared" si="820"/>
        <v>618.28099999999995</v>
      </c>
      <c r="X354" s="623"/>
      <c r="Y354" s="761"/>
      <c r="Z354" s="761"/>
      <c r="AA354" s="624"/>
      <c r="AB354" s="451">
        <v>2261</v>
      </c>
      <c r="AC354" s="66"/>
    </row>
    <row r="355" spans="1:29" ht="12.6" customHeight="1" x14ac:dyDescent="0.2">
      <c r="A355" s="18"/>
      <c r="B355" s="662" t="s">
        <v>716</v>
      </c>
      <c r="C355" s="663"/>
      <c r="D355" s="663"/>
      <c r="E355" s="663"/>
      <c r="F355" s="417">
        <f>0.652*X2</f>
        <v>633.09199999999998</v>
      </c>
      <c r="G355" s="306">
        <f t="shared" si="826"/>
        <v>633.09199999999998</v>
      </c>
      <c r="H355" s="613"/>
      <c r="I355" s="306"/>
      <c r="J355" s="613"/>
      <c r="K355" s="306"/>
      <c r="L355" s="613">
        <f t="shared" si="809"/>
        <v>733.09199999999998</v>
      </c>
      <c r="M355" s="306">
        <f t="shared" si="810"/>
        <v>733.09199999999998</v>
      </c>
      <c r="N355" s="613">
        <f t="shared" si="811"/>
        <v>685.09199999999998</v>
      </c>
      <c r="O355" s="306">
        <f t="shared" si="812"/>
        <v>685.09199999999998</v>
      </c>
      <c r="P355" s="613">
        <f t="shared" si="813"/>
        <v>677.09199999999998</v>
      </c>
      <c r="Q355" s="306">
        <f t="shared" si="814"/>
        <v>677.09199999999998</v>
      </c>
      <c r="R355" s="613">
        <f t="shared" si="815"/>
        <v>670.09199999999998</v>
      </c>
      <c r="S355" s="306">
        <f t="shared" si="816"/>
        <v>670.09199999999998</v>
      </c>
      <c r="T355" s="105">
        <f t="shared" si="817"/>
        <v>662.09199999999998</v>
      </c>
      <c r="U355" s="271">
        <f t="shared" si="818"/>
        <v>662.09199999999998</v>
      </c>
      <c r="V355" s="105">
        <f t="shared" si="819"/>
        <v>658.09199999999998</v>
      </c>
      <c r="W355" s="271">
        <f t="shared" si="820"/>
        <v>658.09199999999998</v>
      </c>
      <c r="X355" s="623"/>
      <c r="Y355" s="761"/>
      <c r="Z355" s="761"/>
      <c r="AA355" s="624"/>
      <c r="AB355" s="451">
        <v>2262</v>
      </c>
      <c r="AC355" s="66"/>
    </row>
    <row r="356" spans="1:29" ht="12.6" customHeight="1" x14ac:dyDescent="0.2">
      <c r="A356" s="18"/>
      <c r="B356" s="1018" t="s">
        <v>655</v>
      </c>
      <c r="C356" s="1164"/>
      <c r="D356" s="1164"/>
      <c r="E356" s="1164"/>
      <c r="F356" s="418">
        <f>1.53*X2</f>
        <v>1485.63</v>
      </c>
      <c r="G356" s="307">
        <f t="shared" ref="G356" si="827">+F356*$X$1</f>
        <v>1485.63</v>
      </c>
      <c r="H356" s="548"/>
      <c r="I356" s="307"/>
      <c r="J356" s="548"/>
      <c r="K356" s="307"/>
      <c r="L356" s="548">
        <f t="shared" si="809"/>
        <v>1585.63</v>
      </c>
      <c r="M356" s="307">
        <f t="shared" si="810"/>
        <v>1585.63</v>
      </c>
      <c r="N356" s="548">
        <f t="shared" si="811"/>
        <v>1537.63</v>
      </c>
      <c r="O356" s="307">
        <f t="shared" si="812"/>
        <v>1537.63</v>
      </c>
      <c r="P356" s="548">
        <f t="shared" si="813"/>
        <v>1529.63</v>
      </c>
      <c r="Q356" s="307">
        <f t="shared" si="814"/>
        <v>1529.63</v>
      </c>
      <c r="R356" s="548">
        <f t="shared" si="815"/>
        <v>1522.63</v>
      </c>
      <c r="S356" s="307">
        <f t="shared" si="816"/>
        <v>1522.63</v>
      </c>
      <c r="T356" s="104">
        <f t="shared" si="817"/>
        <v>1514.63</v>
      </c>
      <c r="U356" s="328">
        <f t="shared" si="818"/>
        <v>1514.63</v>
      </c>
      <c r="V356" s="104">
        <f t="shared" si="819"/>
        <v>1510.63</v>
      </c>
      <c r="W356" s="328">
        <f t="shared" si="820"/>
        <v>1510.63</v>
      </c>
      <c r="X356" s="623"/>
      <c r="Y356" s="761"/>
      <c r="Z356" s="761"/>
      <c r="AA356" s="624"/>
      <c r="AB356" s="451">
        <v>2264</v>
      </c>
      <c r="AC356" s="66"/>
    </row>
    <row r="357" spans="1:29" ht="12.6" customHeight="1" x14ac:dyDescent="0.2">
      <c r="A357" s="18"/>
      <c r="B357" s="951" t="s">
        <v>715</v>
      </c>
      <c r="C357" s="1150"/>
      <c r="D357" s="1150"/>
      <c r="E357" s="1150"/>
      <c r="F357" s="417">
        <f>0.838*X2</f>
        <v>813.69799999999998</v>
      </c>
      <c r="G357" s="306">
        <f t="shared" ref="G357" si="828">+F357*$X$1</f>
        <v>813.69799999999998</v>
      </c>
      <c r="H357" s="613"/>
      <c r="I357" s="306"/>
      <c r="J357" s="613"/>
      <c r="K357" s="306"/>
      <c r="L357" s="613">
        <f t="shared" si="809"/>
        <v>913.69799999999998</v>
      </c>
      <c r="M357" s="306">
        <f t="shared" si="810"/>
        <v>913.69799999999998</v>
      </c>
      <c r="N357" s="613">
        <f t="shared" si="811"/>
        <v>865.69799999999998</v>
      </c>
      <c r="O357" s="306">
        <f t="shared" si="812"/>
        <v>865.69799999999998</v>
      </c>
      <c r="P357" s="613">
        <f t="shared" si="813"/>
        <v>857.69799999999998</v>
      </c>
      <c r="Q357" s="306">
        <f t="shared" si="814"/>
        <v>857.69799999999998</v>
      </c>
      <c r="R357" s="613">
        <f t="shared" si="815"/>
        <v>850.69799999999998</v>
      </c>
      <c r="S357" s="306">
        <f t="shared" si="816"/>
        <v>850.69799999999998</v>
      </c>
      <c r="T357" s="105">
        <f t="shared" si="817"/>
        <v>842.69799999999998</v>
      </c>
      <c r="U357" s="271">
        <f t="shared" si="818"/>
        <v>842.69799999999998</v>
      </c>
      <c r="V357" s="105">
        <f t="shared" si="819"/>
        <v>838.69799999999998</v>
      </c>
      <c r="W357" s="271">
        <f t="shared" si="820"/>
        <v>838.69799999999998</v>
      </c>
      <c r="X357" s="623"/>
      <c r="Y357" s="761"/>
      <c r="Z357" s="761"/>
      <c r="AA357" s="624"/>
      <c r="AB357" s="451">
        <v>2266</v>
      </c>
      <c r="AC357" s="66"/>
    </row>
    <row r="358" spans="1:29" ht="12.6" customHeight="1" x14ac:dyDescent="0.2">
      <c r="A358" s="18"/>
      <c r="B358" s="1179" t="s">
        <v>253</v>
      </c>
      <c r="C358" s="1180"/>
      <c r="D358" s="1180"/>
      <c r="E358" s="1180"/>
      <c r="F358" s="424">
        <f>1.96*X2</f>
        <v>1903.1599999999999</v>
      </c>
      <c r="G358" s="307">
        <f t="shared" ref="G358:G359" si="829">+F358*$X$1</f>
        <v>1903.1599999999999</v>
      </c>
      <c r="H358" s="548">
        <f>F358+310</f>
        <v>2213.16</v>
      </c>
      <c r="I358" s="307">
        <f>+H358*$X$1</f>
        <v>2213.16</v>
      </c>
      <c r="J358" s="548">
        <f>F358+120</f>
        <v>2023.1599999999999</v>
      </c>
      <c r="K358" s="307">
        <f t="shared" ref="K358" si="830">+J358*$X$1</f>
        <v>2023.1599999999999</v>
      </c>
      <c r="L358" s="548">
        <f>F358+90</f>
        <v>1993.1599999999999</v>
      </c>
      <c r="M358" s="307">
        <f t="shared" ref="M358:M359" si="831">+L358*$X$1</f>
        <v>1993.1599999999999</v>
      </c>
      <c r="N358" s="548">
        <f>F358+55</f>
        <v>1958.1599999999999</v>
      </c>
      <c r="O358" s="307">
        <f t="shared" ref="O358:O359" si="832">+N358*$X$1</f>
        <v>1958.1599999999999</v>
      </c>
      <c r="P358" s="548">
        <f>F358+49</f>
        <v>1952.1599999999999</v>
      </c>
      <c r="Q358" s="307">
        <f t="shared" ref="Q358:Q359" si="833">+P358*$X$1</f>
        <v>1952.1599999999999</v>
      </c>
      <c r="R358" s="548">
        <f>F358+42</f>
        <v>1945.1599999999999</v>
      </c>
      <c r="S358" s="307">
        <f t="shared" ref="S358:S359" si="834">+R358*$X$1</f>
        <v>1945.1599999999999</v>
      </c>
      <c r="T358" s="548">
        <f>F358+34</f>
        <v>1937.1599999999999</v>
      </c>
      <c r="U358" s="307">
        <f t="shared" ref="U358:U359" si="835">+T358*$X$1</f>
        <v>1937.1599999999999</v>
      </c>
      <c r="V358" s="548">
        <f>F358+30</f>
        <v>1933.1599999999999</v>
      </c>
      <c r="W358" s="307">
        <f t="shared" ref="W358:W359" si="836">+V358*$X$1</f>
        <v>1933.1599999999999</v>
      </c>
      <c r="X358" s="623"/>
      <c r="Y358" s="761"/>
      <c r="Z358" s="761"/>
      <c r="AA358" s="624"/>
      <c r="AB358" s="451">
        <v>2268</v>
      </c>
      <c r="AC358" s="66"/>
    </row>
    <row r="359" spans="1:29" ht="12.6" customHeight="1" x14ac:dyDescent="0.2">
      <c r="A359" s="18"/>
      <c r="B359" s="951" t="s">
        <v>254</v>
      </c>
      <c r="C359" s="1181"/>
      <c r="D359" s="1181"/>
      <c r="E359" s="1181"/>
      <c r="F359" s="417">
        <f>0.393*X2</f>
        <v>381.60300000000001</v>
      </c>
      <c r="G359" s="306">
        <f t="shared" si="829"/>
        <v>381.60300000000001</v>
      </c>
      <c r="H359" s="298"/>
      <c r="I359" s="298"/>
      <c r="J359" s="613"/>
      <c r="K359" s="613"/>
      <c r="L359" s="613">
        <f t="shared" ref="L359" si="837">F359+100</f>
        <v>481.60300000000001</v>
      </c>
      <c r="M359" s="306">
        <f t="shared" si="831"/>
        <v>481.60300000000001</v>
      </c>
      <c r="N359" s="613">
        <f t="shared" ref="N359" si="838">F359+52</f>
        <v>433.60300000000001</v>
      </c>
      <c r="O359" s="306">
        <f t="shared" si="832"/>
        <v>433.60300000000001</v>
      </c>
      <c r="P359" s="613">
        <f t="shared" ref="P359" si="839">F359+44</f>
        <v>425.60300000000001</v>
      </c>
      <c r="Q359" s="306">
        <f t="shared" si="833"/>
        <v>425.60300000000001</v>
      </c>
      <c r="R359" s="613">
        <f t="shared" ref="R359" si="840">F359+37</f>
        <v>418.60300000000001</v>
      </c>
      <c r="S359" s="306">
        <f t="shared" si="834"/>
        <v>418.60300000000001</v>
      </c>
      <c r="T359" s="105">
        <f t="shared" ref="T359" si="841">F359+29</f>
        <v>410.60300000000001</v>
      </c>
      <c r="U359" s="271">
        <f t="shared" si="835"/>
        <v>410.60300000000001</v>
      </c>
      <c r="V359" s="105">
        <f t="shared" ref="V359" si="842">F359+25</f>
        <v>406.60300000000001</v>
      </c>
      <c r="W359" s="271">
        <f t="shared" si="836"/>
        <v>406.60300000000001</v>
      </c>
      <c r="X359" s="183"/>
      <c r="Y359" s="185"/>
      <c r="Z359" s="185"/>
      <c r="AA359" s="183"/>
      <c r="AB359" s="451">
        <v>2270</v>
      </c>
      <c r="AC359" s="66"/>
    </row>
    <row r="360" spans="1:29" ht="12.6" customHeight="1" x14ac:dyDescent="0.2">
      <c r="A360" s="18"/>
      <c r="B360" s="1018" t="s">
        <v>255</v>
      </c>
      <c r="C360" s="1145"/>
      <c r="D360" s="1145"/>
      <c r="E360" s="1145"/>
      <c r="F360" s="418"/>
      <c r="G360" s="307"/>
      <c r="H360" s="297"/>
      <c r="I360" s="297"/>
      <c r="J360" s="548"/>
      <c r="K360" s="548"/>
      <c r="L360" s="548"/>
      <c r="M360" s="307"/>
      <c r="N360" s="548"/>
      <c r="O360" s="307"/>
      <c r="P360" s="548"/>
      <c r="Q360" s="307"/>
      <c r="R360" s="548"/>
      <c r="S360" s="307"/>
      <c r="T360" s="548"/>
      <c r="U360" s="307"/>
      <c r="V360" s="548"/>
      <c r="W360" s="307"/>
      <c r="X360" s="183"/>
      <c r="Y360" s="185"/>
      <c r="Z360" s="185"/>
      <c r="AA360" s="183"/>
      <c r="AB360" s="451">
        <v>2271</v>
      </c>
      <c r="AC360" s="66"/>
    </row>
    <row r="361" spans="1:29" ht="12.6" customHeight="1" x14ac:dyDescent="0.2">
      <c r="A361" s="18"/>
      <c r="B361" s="951" t="s">
        <v>256</v>
      </c>
      <c r="C361" s="1181"/>
      <c r="D361" s="1181"/>
      <c r="E361" s="1181"/>
      <c r="F361" s="417"/>
      <c r="G361" s="306"/>
      <c r="H361" s="298"/>
      <c r="I361" s="298"/>
      <c r="J361" s="613"/>
      <c r="K361" s="613"/>
      <c r="L361" s="613"/>
      <c r="M361" s="306"/>
      <c r="N361" s="613"/>
      <c r="O361" s="306"/>
      <c r="P361" s="613"/>
      <c r="Q361" s="306"/>
      <c r="R361" s="613"/>
      <c r="S361" s="306"/>
      <c r="T361" s="105"/>
      <c r="U361" s="271"/>
      <c r="V361" s="105"/>
      <c r="W361" s="271"/>
      <c r="X361" s="183"/>
      <c r="Y361" s="185"/>
      <c r="Z361" s="185"/>
      <c r="AA361" s="183"/>
      <c r="AB361" s="451">
        <v>2272</v>
      </c>
      <c r="AC361" s="66"/>
    </row>
    <row r="362" spans="1:29" ht="12.6" customHeight="1" x14ac:dyDescent="0.2">
      <c r="A362" s="18"/>
      <c r="B362" s="1018" t="s">
        <v>257</v>
      </c>
      <c r="C362" s="1019"/>
      <c r="D362" s="1019"/>
      <c r="E362" s="1019"/>
      <c r="F362" s="418">
        <f>0.596*X2</f>
        <v>578.71600000000001</v>
      </c>
      <c r="G362" s="307">
        <f>+F362*$X$1</f>
        <v>578.71600000000001</v>
      </c>
      <c r="H362" s="297"/>
      <c r="I362" s="297"/>
      <c r="J362" s="548"/>
      <c r="K362" s="548"/>
      <c r="L362" s="548">
        <f t="shared" ref="L362:L364" si="843">F362+100</f>
        <v>678.71600000000001</v>
      </c>
      <c r="M362" s="307">
        <f t="shared" ref="M362:M364" si="844">+L362*$X$1</f>
        <v>678.71600000000001</v>
      </c>
      <c r="N362" s="548">
        <f t="shared" ref="N362:N364" si="845">F362+52</f>
        <v>630.71600000000001</v>
      </c>
      <c r="O362" s="307">
        <f t="shared" ref="O362:O364" si="846">+N362*$X$1</f>
        <v>630.71600000000001</v>
      </c>
      <c r="P362" s="548">
        <f t="shared" ref="P362:P364" si="847">F362+44</f>
        <v>622.71600000000001</v>
      </c>
      <c r="Q362" s="307">
        <f t="shared" ref="Q362:Q364" si="848">+P362*$X$1</f>
        <v>622.71600000000001</v>
      </c>
      <c r="R362" s="548">
        <f t="shared" ref="R362:R364" si="849">F362+37</f>
        <v>615.71600000000001</v>
      </c>
      <c r="S362" s="307">
        <f t="shared" ref="S362:S364" si="850">+R362*$X$1</f>
        <v>615.71600000000001</v>
      </c>
      <c r="T362" s="104">
        <f t="shared" ref="T362:T364" si="851">F362+29</f>
        <v>607.71600000000001</v>
      </c>
      <c r="U362" s="328">
        <f t="shared" ref="U362:U364" si="852">+T362*$X$1</f>
        <v>607.71600000000001</v>
      </c>
      <c r="V362" s="104">
        <f t="shared" ref="V362:V364" si="853">F362+25</f>
        <v>603.71600000000001</v>
      </c>
      <c r="W362" s="328">
        <f t="shared" ref="W362:W364" si="854">+V362*$X$1</f>
        <v>603.71600000000001</v>
      </c>
      <c r="X362" s="183"/>
      <c r="Y362" s="185"/>
      <c r="Z362" s="185"/>
      <c r="AA362" s="183"/>
      <c r="AB362" s="451">
        <v>2275</v>
      </c>
      <c r="AC362" s="66"/>
    </row>
    <row r="363" spans="1:29" ht="12.6" customHeight="1" x14ac:dyDescent="0.2">
      <c r="A363" s="18"/>
      <c r="B363" s="951" t="s">
        <v>653</v>
      </c>
      <c r="C363" s="952"/>
      <c r="D363" s="952"/>
      <c r="E363" s="952"/>
      <c r="F363" s="417">
        <f>0.82*X2</f>
        <v>796.21999999999991</v>
      </c>
      <c r="G363" s="306">
        <f t="shared" ref="G363:G364" si="855">+F363*$X$1</f>
        <v>796.21999999999991</v>
      </c>
      <c r="H363" s="298"/>
      <c r="I363" s="298"/>
      <c r="J363" s="613"/>
      <c r="K363" s="613"/>
      <c r="L363" s="613">
        <f t="shared" si="843"/>
        <v>896.21999999999991</v>
      </c>
      <c r="M363" s="306">
        <f t="shared" si="844"/>
        <v>896.21999999999991</v>
      </c>
      <c r="N363" s="613">
        <f t="shared" si="845"/>
        <v>848.21999999999991</v>
      </c>
      <c r="O363" s="306">
        <f t="shared" si="846"/>
        <v>848.21999999999991</v>
      </c>
      <c r="P363" s="613">
        <f t="shared" si="847"/>
        <v>840.21999999999991</v>
      </c>
      <c r="Q363" s="306">
        <f t="shared" si="848"/>
        <v>840.21999999999991</v>
      </c>
      <c r="R363" s="613">
        <f t="shared" si="849"/>
        <v>833.21999999999991</v>
      </c>
      <c r="S363" s="306">
        <f t="shared" si="850"/>
        <v>833.21999999999991</v>
      </c>
      <c r="T363" s="105">
        <f t="shared" si="851"/>
        <v>825.21999999999991</v>
      </c>
      <c r="U363" s="271">
        <f t="shared" si="852"/>
        <v>825.21999999999991</v>
      </c>
      <c r="V363" s="105">
        <f t="shared" si="853"/>
        <v>821.21999999999991</v>
      </c>
      <c r="W363" s="271">
        <f t="shared" si="854"/>
        <v>821.21999999999991</v>
      </c>
      <c r="X363" s="234"/>
      <c r="Y363" s="235"/>
      <c r="Z363" s="235"/>
      <c r="AA363" s="234"/>
      <c r="AB363" s="451">
        <v>2279</v>
      </c>
      <c r="AC363" s="66"/>
    </row>
    <row r="364" spans="1:29" ht="12.6" customHeight="1" x14ac:dyDescent="0.2">
      <c r="A364" s="18"/>
      <c r="B364" s="1018" t="s">
        <v>258</v>
      </c>
      <c r="C364" s="1019"/>
      <c r="D364" s="1019"/>
      <c r="E364" s="1019"/>
      <c r="F364" s="418">
        <f>0.484*X2</f>
        <v>469.964</v>
      </c>
      <c r="G364" s="307">
        <f t="shared" si="855"/>
        <v>469.964</v>
      </c>
      <c r="H364" s="297"/>
      <c r="I364" s="297"/>
      <c r="J364" s="548"/>
      <c r="K364" s="548"/>
      <c r="L364" s="548">
        <f t="shared" si="843"/>
        <v>569.96399999999994</v>
      </c>
      <c r="M364" s="307">
        <f t="shared" si="844"/>
        <v>569.96399999999994</v>
      </c>
      <c r="N364" s="548">
        <f t="shared" si="845"/>
        <v>521.96399999999994</v>
      </c>
      <c r="O364" s="307">
        <f t="shared" si="846"/>
        <v>521.96399999999994</v>
      </c>
      <c r="P364" s="548">
        <f t="shared" si="847"/>
        <v>513.96399999999994</v>
      </c>
      <c r="Q364" s="307">
        <f t="shared" si="848"/>
        <v>513.96399999999994</v>
      </c>
      <c r="R364" s="548">
        <f t="shared" si="849"/>
        <v>506.964</v>
      </c>
      <c r="S364" s="307">
        <f t="shared" si="850"/>
        <v>506.964</v>
      </c>
      <c r="T364" s="104">
        <f t="shared" si="851"/>
        <v>498.964</v>
      </c>
      <c r="U364" s="328">
        <f t="shared" si="852"/>
        <v>498.964</v>
      </c>
      <c r="V364" s="104">
        <f t="shared" si="853"/>
        <v>494.964</v>
      </c>
      <c r="W364" s="328">
        <f t="shared" si="854"/>
        <v>494.964</v>
      </c>
      <c r="X364" s="183"/>
      <c r="Y364" s="185"/>
      <c r="Z364" s="185"/>
      <c r="AA364" s="183"/>
      <c r="AB364" s="451">
        <v>2280</v>
      </c>
      <c r="AC364" s="66"/>
    </row>
    <row r="365" spans="1:29" ht="12.6" customHeight="1" x14ac:dyDescent="0.2">
      <c r="A365" s="18"/>
      <c r="B365" s="951" t="s">
        <v>512</v>
      </c>
      <c r="C365" s="952"/>
      <c r="D365" s="952"/>
      <c r="E365" s="952"/>
      <c r="F365" s="417">
        <f>0.55*X2</f>
        <v>534.05000000000007</v>
      </c>
      <c r="G365" s="306">
        <f t="shared" ref="G365:G367" si="856">+F365*$X$1</f>
        <v>534.05000000000007</v>
      </c>
      <c r="H365" s="298"/>
      <c r="I365" s="298"/>
      <c r="J365" s="613"/>
      <c r="K365" s="613"/>
      <c r="L365" s="613">
        <f t="shared" ref="L365:L376" si="857">F365+100</f>
        <v>634.05000000000007</v>
      </c>
      <c r="M365" s="306">
        <f t="shared" ref="M365:M376" si="858">+L365*$X$1</f>
        <v>634.05000000000007</v>
      </c>
      <c r="N365" s="613">
        <f t="shared" ref="N365:N376" si="859">F365+52</f>
        <v>586.05000000000007</v>
      </c>
      <c r="O365" s="306">
        <f t="shared" ref="O365:O376" si="860">+N365*$X$1</f>
        <v>586.05000000000007</v>
      </c>
      <c r="P365" s="613">
        <f t="shared" ref="P365:P376" si="861">F365+44</f>
        <v>578.05000000000007</v>
      </c>
      <c r="Q365" s="306">
        <f t="shared" ref="Q365:Q376" si="862">+P365*$X$1</f>
        <v>578.05000000000007</v>
      </c>
      <c r="R365" s="613">
        <f t="shared" ref="R365:R376" si="863">F365+37</f>
        <v>571.05000000000007</v>
      </c>
      <c r="S365" s="306">
        <f t="shared" ref="S365:S376" si="864">+R365*$X$1</f>
        <v>571.05000000000007</v>
      </c>
      <c r="T365" s="105">
        <f t="shared" ref="T365:T376" si="865">F365+29</f>
        <v>563.05000000000007</v>
      </c>
      <c r="U365" s="271">
        <f t="shared" ref="U365:U376" si="866">+T365*$X$1</f>
        <v>563.05000000000007</v>
      </c>
      <c r="V365" s="105">
        <f t="shared" ref="V365:V376" si="867">F365+25</f>
        <v>559.05000000000007</v>
      </c>
      <c r="W365" s="271">
        <f t="shared" ref="W365:W376" si="868">+V365*$X$1</f>
        <v>559.05000000000007</v>
      </c>
      <c r="X365" s="183"/>
      <c r="Y365" s="185"/>
      <c r="Z365" s="185"/>
      <c r="AA365" s="183"/>
      <c r="AB365" s="451">
        <v>2281</v>
      </c>
      <c r="AC365" s="66"/>
    </row>
    <row r="366" spans="1:29" ht="12.6" customHeight="1" x14ac:dyDescent="0.2">
      <c r="A366" s="18"/>
      <c r="B366" s="1018" t="s">
        <v>357</v>
      </c>
      <c r="C366" s="1019"/>
      <c r="D366" s="1019"/>
      <c r="E366" s="1019"/>
      <c r="F366" s="418">
        <f>0.745*X2</f>
        <v>723.39499999999998</v>
      </c>
      <c r="G366" s="307">
        <f t="shared" si="856"/>
        <v>723.39499999999998</v>
      </c>
      <c r="H366" s="297"/>
      <c r="I366" s="297"/>
      <c r="J366" s="548"/>
      <c r="K366" s="548"/>
      <c r="L366" s="548">
        <f t="shared" si="857"/>
        <v>823.39499999999998</v>
      </c>
      <c r="M366" s="307">
        <f t="shared" si="858"/>
        <v>823.39499999999998</v>
      </c>
      <c r="N366" s="548">
        <f t="shared" si="859"/>
        <v>775.39499999999998</v>
      </c>
      <c r="O366" s="307">
        <f t="shared" si="860"/>
        <v>775.39499999999998</v>
      </c>
      <c r="P366" s="548">
        <f t="shared" si="861"/>
        <v>767.39499999999998</v>
      </c>
      <c r="Q366" s="307">
        <f t="shared" si="862"/>
        <v>767.39499999999998</v>
      </c>
      <c r="R366" s="548">
        <f t="shared" si="863"/>
        <v>760.39499999999998</v>
      </c>
      <c r="S366" s="307">
        <f t="shared" si="864"/>
        <v>760.39499999999998</v>
      </c>
      <c r="T366" s="104">
        <f t="shared" si="865"/>
        <v>752.39499999999998</v>
      </c>
      <c r="U366" s="328">
        <f t="shared" si="866"/>
        <v>752.39499999999998</v>
      </c>
      <c r="V366" s="104">
        <f t="shared" si="867"/>
        <v>748.39499999999998</v>
      </c>
      <c r="W366" s="328">
        <f t="shared" si="868"/>
        <v>748.39499999999998</v>
      </c>
      <c r="X366" s="196"/>
      <c r="Y366" s="195"/>
      <c r="Z366" s="195"/>
      <c r="AA366" s="196"/>
      <c r="AB366" s="451">
        <v>2285</v>
      </c>
      <c r="AC366" s="66"/>
    </row>
    <row r="367" spans="1:29" ht="12.6" customHeight="1" x14ac:dyDescent="0.2">
      <c r="A367" s="18"/>
      <c r="B367" s="951" t="s">
        <v>358</v>
      </c>
      <c r="C367" s="952"/>
      <c r="D367" s="952"/>
      <c r="E367" s="952"/>
      <c r="F367" s="417">
        <f>0.373*X2</f>
        <v>362.18299999999999</v>
      </c>
      <c r="G367" s="306">
        <f t="shared" si="856"/>
        <v>362.18299999999999</v>
      </c>
      <c r="H367" s="298"/>
      <c r="I367" s="298"/>
      <c r="J367" s="613"/>
      <c r="K367" s="613"/>
      <c r="L367" s="613">
        <f t="shared" si="857"/>
        <v>462.18299999999999</v>
      </c>
      <c r="M367" s="306">
        <f t="shared" si="858"/>
        <v>462.18299999999999</v>
      </c>
      <c r="N367" s="613">
        <f t="shared" si="859"/>
        <v>414.18299999999999</v>
      </c>
      <c r="O367" s="306">
        <f t="shared" si="860"/>
        <v>414.18299999999999</v>
      </c>
      <c r="P367" s="613">
        <f t="shared" si="861"/>
        <v>406.18299999999999</v>
      </c>
      <c r="Q367" s="306">
        <f t="shared" si="862"/>
        <v>406.18299999999999</v>
      </c>
      <c r="R367" s="613">
        <f t="shared" si="863"/>
        <v>399.18299999999999</v>
      </c>
      <c r="S367" s="306">
        <f t="shared" si="864"/>
        <v>399.18299999999999</v>
      </c>
      <c r="T367" s="105">
        <f t="shared" si="865"/>
        <v>391.18299999999999</v>
      </c>
      <c r="U367" s="271">
        <f t="shared" si="866"/>
        <v>391.18299999999999</v>
      </c>
      <c r="V367" s="105">
        <f t="shared" si="867"/>
        <v>387.18299999999999</v>
      </c>
      <c r="W367" s="271">
        <f t="shared" si="868"/>
        <v>387.18299999999999</v>
      </c>
      <c r="X367" s="197"/>
      <c r="Y367" s="198"/>
      <c r="Z367" s="198"/>
      <c r="AA367" s="197"/>
      <c r="AB367" s="451">
        <v>2286</v>
      </c>
      <c r="AC367" s="66"/>
    </row>
    <row r="368" spans="1:29" ht="12.6" customHeight="1" x14ac:dyDescent="0.2">
      <c r="A368" s="18"/>
      <c r="B368" s="1184" t="s">
        <v>398</v>
      </c>
      <c r="C368" s="1185"/>
      <c r="D368" s="1185"/>
      <c r="E368" s="1185"/>
      <c r="F368" s="422">
        <f>0.521*X2</f>
        <v>505.89100000000002</v>
      </c>
      <c r="G368" s="343">
        <f t="shared" ref="G368:G370" si="869">+F368*$X$1</f>
        <v>505.89100000000002</v>
      </c>
      <c r="H368" s="321"/>
      <c r="I368" s="321"/>
      <c r="J368" s="104"/>
      <c r="K368" s="104"/>
      <c r="L368" s="548">
        <f t="shared" si="857"/>
        <v>605.89100000000008</v>
      </c>
      <c r="M368" s="307">
        <f t="shared" si="858"/>
        <v>605.89100000000008</v>
      </c>
      <c r="N368" s="548">
        <f t="shared" si="859"/>
        <v>557.89100000000008</v>
      </c>
      <c r="O368" s="307">
        <f t="shared" si="860"/>
        <v>557.89100000000008</v>
      </c>
      <c r="P368" s="548">
        <f t="shared" si="861"/>
        <v>549.89100000000008</v>
      </c>
      <c r="Q368" s="307">
        <f t="shared" si="862"/>
        <v>549.89100000000008</v>
      </c>
      <c r="R368" s="548">
        <f t="shared" si="863"/>
        <v>542.89100000000008</v>
      </c>
      <c r="S368" s="307">
        <f t="shared" si="864"/>
        <v>542.89100000000008</v>
      </c>
      <c r="T368" s="104">
        <f t="shared" si="865"/>
        <v>534.89100000000008</v>
      </c>
      <c r="U368" s="328">
        <f t="shared" si="866"/>
        <v>534.89100000000008</v>
      </c>
      <c r="V368" s="104">
        <f t="shared" si="867"/>
        <v>530.89100000000008</v>
      </c>
      <c r="W368" s="328">
        <f t="shared" si="868"/>
        <v>530.89100000000008</v>
      </c>
      <c r="X368" s="229"/>
      <c r="Y368" s="228"/>
      <c r="Z368" s="228"/>
      <c r="AA368" s="229"/>
      <c r="AB368" s="451">
        <v>2287</v>
      </c>
      <c r="AC368" s="66"/>
    </row>
    <row r="369" spans="1:29" ht="12.6" customHeight="1" x14ac:dyDescent="0.2">
      <c r="A369" s="18"/>
      <c r="B369" s="1196" t="s">
        <v>409</v>
      </c>
      <c r="C369" s="1197"/>
      <c r="D369" s="1197"/>
      <c r="E369" s="1198"/>
      <c r="F369" s="417">
        <f>1.19*X2</f>
        <v>1155.49</v>
      </c>
      <c r="G369" s="306">
        <f t="shared" si="869"/>
        <v>1155.49</v>
      </c>
      <c r="H369" s="298"/>
      <c r="I369" s="298"/>
      <c r="J369" s="613"/>
      <c r="K369" s="613"/>
      <c r="L369" s="613">
        <f t="shared" si="857"/>
        <v>1255.49</v>
      </c>
      <c r="M369" s="306">
        <f t="shared" si="858"/>
        <v>1255.49</v>
      </c>
      <c r="N369" s="613">
        <f t="shared" si="859"/>
        <v>1207.49</v>
      </c>
      <c r="O369" s="306">
        <f t="shared" si="860"/>
        <v>1207.49</v>
      </c>
      <c r="P369" s="613">
        <f t="shared" si="861"/>
        <v>1199.49</v>
      </c>
      <c r="Q369" s="306">
        <f t="shared" si="862"/>
        <v>1199.49</v>
      </c>
      <c r="R369" s="613">
        <f t="shared" si="863"/>
        <v>1192.49</v>
      </c>
      <c r="S369" s="306">
        <f t="shared" si="864"/>
        <v>1192.49</v>
      </c>
      <c r="T369" s="105">
        <f t="shared" si="865"/>
        <v>1184.49</v>
      </c>
      <c r="U369" s="271">
        <f t="shared" si="866"/>
        <v>1184.49</v>
      </c>
      <c r="V369" s="105">
        <f t="shared" si="867"/>
        <v>1180.49</v>
      </c>
      <c r="W369" s="271">
        <f t="shared" si="868"/>
        <v>1180.49</v>
      </c>
      <c r="X369" s="230"/>
      <c r="Y369" s="231"/>
      <c r="Z369" s="231"/>
      <c r="AA369" s="230"/>
      <c r="AB369" s="451">
        <v>2289</v>
      </c>
      <c r="AC369" s="66"/>
    </row>
    <row r="370" spans="1:29" ht="12.6" customHeight="1" x14ac:dyDescent="0.2">
      <c r="A370" s="18"/>
      <c r="B370" s="657" t="s">
        <v>740</v>
      </c>
      <c r="C370" s="658"/>
      <c r="D370" s="658"/>
      <c r="E370" s="659"/>
      <c r="F370" s="422">
        <f>0.785*X2</f>
        <v>762.23500000000001</v>
      </c>
      <c r="G370" s="307">
        <f t="shared" si="869"/>
        <v>762.23500000000001</v>
      </c>
      <c r="H370" s="297"/>
      <c r="I370" s="297"/>
      <c r="J370" s="548"/>
      <c r="K370" s="548"/>
      <c r="L370" s="548">
        <f t="shared" si="857"/>
        <v>862.23500000000001</v>
      </c>
      <c r="M370" s="307">
        <f t="shared" si="858"/>
        <v>862.23500000000001</v>
      </c>
      <c r="N370" s="548">
        <f t="shared" si="859"/>
        <v>814.23500000000001</v>
      </c>
      <c r="O370" s="307">
        <f t="shared" si="860"/>
        <v>814.23500000000001</v>
      </c>
      <c r="P370" s="548">
        <f t="shared" si="861"/>
        <v>806.23500000000001</v>
      </c>
      <c r="Q370" s="307">
        <f t="shared" si="862"/>
        <v>806.23500000000001</v>
      </c>
      <c r="R370" s="548">
        <f t="shared" si="863"/>
        <v>799.23500000000001</v>
      </c>
      <c r="S370" s="307">
        <f t="shared" si="864"/>
        <v>799.23500000000001</v>
      </c>
      <c r="T370" s="104">
        <f t="shared" si="865"/>
        <v>791.23500000000001</v>
      </c>
      <c r="U370" s="328">
        <f t="shared" si="866"/>
        <v>791.23500000000001</v>
      </c>
      <c r="V370" s="104">
        <f t="shared" si="867"/>
        <v>787.23500000000001</v>
      </c>
      <c r="W370" s="328">
        <f t="shared" si="868"/>
        <v>787.23500000000001</v>
      </c>
      <c r="X370" s="500"/>
      <c r="Y370" s="501"/>
      <c r="Z370" s="501"/>
      <c r="AA370" s="500"/>
      <c r="AB370" s="451">
        <v>2290</v>
      </c>
      <c r="AC370" s="66"/>
    </row>
    <row r="371" spans="1:29" ht="12.6" customHeight="1" x14ac:dyDescent="0.2">
      <c r="A371" s="18"/>
      <c r="B371" s="931" t="s">
        <v>510</v>
      </c>
      <c r="C371" s="932"/>
      <c r="D371" s="932"/>
      <c r="E371" s="933"/>
      <c r="F371" s="423">
        <f>0.546*X2</f>
        <v>530.16600000000005</v>
      </c>
      <c r="G371" s="306">
        <f t="shared" ref="G371" si="870">+F371*$X$1</f>
        <v>530.16600000000005</v>
      </c>
      <c r="H371" s="298"/>
      <c r="I371" s="298"/>
      <c r="J371" s="613"/>
      <c r="K371" s="613"/>
      <c r="L371" s="613">
        <f t="shared" si="857"/>
        <v>630.16600000000005</v>
      </c>
      <c r="M371" s="306">
        <f t="shared" si="858"/>
        <v>630.16600000000005</v>
      </c>
      <c r="N371" s="613">
        <f t="shared" si="859"/>
        <v>582.16600000000005</v>
      </c>
      <c r="O371" s="306">
        <f t="shared" si="860"/>
        <v>582.16600000000005</v>
      </c>
      <c r="P371" s="613">
        <f t="shared" si="861"/>
        <v>574.16600000000005</v>
      </c>
      <c r="Q371" s="306">
        <f t="shared" si="862"/>
        <v>574.16600000000005</v>
      </c>
      <c r="R371" s="613">
        <f t="shared" si="863"/>
        <v>567.16600000000005</v>
      </c>
      <c r="S371" s="306">
        <f t="shared" si="864"/>
        <v>567.16600000000005</v>
      </c>
      <c r="T371" s="105">
        <f t="shared" si="865"/>
        <v>559.16600000000005</v>
      </c>
      <c r="U371" s="271">
        <f t="shared" si="866"/>
        <v>559.16600000000005</v>
      </c>
      <c r="V371" s="105">
        <f t="shared" si="867"/>
        <v>555.16600000000005</v>
      </c>
      <c r="W371" s="271">
        <f t="shared" si="868"/>
        <v>555.16600000000005</v>
      </c>
      <c r="X371" s="263"/>
      <c r="Y371" s="267"/>
      <c r="Z371" s="267"/>
      <c r="AA371" s="263"/>
      <c r="AB371" s="451">
        <v>2291</v>
      </c>
      <c r="AC371" s="66"/>
    </row>
    <row r="372" spans="1:29" ht="12.6" customHeight="1" x14ac:dyDescent="0.2">
      <c r="A372" s="18"/>
      <c r="B372" s="1126" t="s">
        <v>654</v>
      </c>
      <c r="C372" s="1127"/>
      <c r="D372" s="1127"/>
      <c r="E372" s="1128"/>
      <c r="F372" s="422">
        <f>0.549*X2</f>
        <v>533.07900000000006</v>
      </c>
      <c r="G372" s="307">
        <f t="shared" ref="G372" si="871">+F372*$X$1</f>
        <v>533.07900000000006</v>
      </c>
      <c r="H372" s="297"/>
      <c r="I372" s="297"/>
      <c r="J372" s="548"/>
      <c r="K372" s="548"/>
      <c r="L372" s="548">
        <f t="shared" si="857"/>
        <v>633.07900000000006</v>
      </c>
      <c r="M372" s="307">
        <f t="shared" si="858"/>
        <v>633.07900000000006</v>
      </c>
      <c r="N372" s="548">
        <f t="shared" si="859"/>
        <v>585.07900000000006</v>
      </c>
      <c r="O372" s="307">
        <f t="shared" si="860"/>
        <v>585.07900000000006</v>
      </c>
      <c r="P372" s="548">
        <f t="shared" si="861"/>
        <v>577.07900000000006</v>
      </c>
      <c r="Q372" s="307">
        <f t="shared" si="862"/>
        <v>577.07900000000006</v>
      </c>
      <c r="R372" s="548">
        <f t="shared" si="863"/>
        <v>570.07900000000006</v>
      </c>
      <c r="S372" s="307">
        <f t="shared" si="864"/>
        <v>570.07900000000006</v>
      </c>
      <c r="T372" s="104">
        <f t="shared" si="865"/>
        <v>562.07900000000006</v>
      </c>
      <c r="U372" s="328">
        <f t="shared" si="866"/>
        <v>562.07900000000006</v>
      </c>
      <c r="V372" s="104">
        <f t="shared" si="867"/>
        <v>558.07900000000006</v>
      </c>
      <c r="W372" s="328">
        <f t="shared" si="868"/>
        <v>558.07900000000006</v>
      </c>
      <c r="X372" s="269"/>
      <c r="Y372" s="270"/>
      <c r="Z372" s="270"/>
      <c r="AA372" s="269"/>
      <c r="AB372" s="451">
        <v>2292</v>
      </c>
      <c r="AC372" s="66"/>
    </row>
    <row r="373" spans="1:29" ht="12.6" customHeight="1" x14ac:dyDescent="0.2">
      <c r="A373" s="18"/>
      <c r="B373" s="931" t="s">
        <v>530</v>
      </c>
      <c r="C373" s="932"/>
      <c r="D373" s="932"/>
      <c r="E373" s="933"/>
      <c r="F373" s="423">
        <f>1.287*X2</f>
        <v>1249.6769999999999</v>
      </c>
      <c r="G373" s="306">
        <f t="shared" ref="G373" si="872">+F373*$X$1</f>
        <v>1249.6769999999999</v>
      </c>
      <c r="H373" s="298"/>
      <c r="I373" s="298"/>
      <c r="J373" s="613"/>
      <c r="K373" s="613"/>
      <c r="L373" s="613">
        <f t="shared" si="857"/>
        <v>1349.6769999999999</v>
      </c>
      <c r="M373" s="306">
        <f t="shared" si="858"/>
        <v>1349.6769999999999</v>
      </c>
      <c r="N373" s="613">
        <f t="shared" si="859"/>
        <v>1301.6769999999999</v>
      </c>
      <c r="O373" s="306">
        <f t="shared" si="860"/>
        <v>1301.6769999999999</v>
      </c>
      <c r="P373" s="613">
        <f t="shared" si="861"/>
        <v>1293.6769999999999</v>
      </c>
      <c r="Q373" s="306">
        <f t="shared" si="862"/>
        <v>1293.6769999999999</v>
      </c>
      <c r="R373" s="613">
        <f t="shared" si="863"/>
        <v>1286.6769999999999</v>
      </c>
      <c r="S373" s="306">
        <f t="shared" si="864"/>
        <v>1286.6769999999999</v>
      </c>
      <c r="T373" s="105">
        <f t="shared" si="865"/>
        <v>1278.6769999999999</v>
      </c>
      <c r="U373" s="271">
        <f t="shared" si="866"/>
        <v>1278.6769999999999</v>
      </c>
      <c r="V373" s="105">
        <f t="shared" si="867"/>
        <v>1274.6769999999999</v>
      </c>
      <c r="W373" s="271">
        <f t="shared" si="868"/>
        <v>1274.6769999999999</v>
      </c>
      <c r="X373" s="272"/>
      <c r="Y373" s="273"/>
      <c r="Z373" s="273"/>
      <c r="AA373" s="272"/>
      <c r="AB373" s="451">
        <v>2293</v>
      </c>
      <c r="AC373" s="66"/>
    </row>
    <row r="374" spans="1:29" ht="12.6" customHeight="1" x14ac:dyDescent="0.2">
      <c r="A374" s="18"/>
      <c r="B374" s="1126" t="s">
        <v>591</v>
      </c>
      <c r="C374" s="1127"/>
      <c r="D374" s="1127"/>
      <c r="E374" s="1128"/>
      <c r="F374" s="343">
        <v>377</v>
      </c>
      <c r="G374" s="307">
        <f t="shared" ref="G374" si="873">+F374*$X$1</f>
        <v>377</v>
      </c>
      <c r="H374" s="297"/>
      <c r="I374" s="297"/>
      <c r="J374" s="548"/>
      <c r="K374" s="548"/>
      <c r="L374" s="548">
        <f t="shared" si="857"/>
        <v>477</v>
      </c>
      <c r="M374" s="307">
        <f t="shared" si="858"/>
        <v>477</v>
      </c>
      <c r="N374" s="548">
        <f t="shared" si="859"/>
        <v>429</v>
      </c>
      <c r="O374" s="307">
        <f t="shared" si="860"/>
        <v>429</v>
      </c>
      <c r="P374" s="548">
        <f t="shared" si="861"/>
        <v>421</v>
      </c>
      <c r="Q374" s="307">
        <f t="shared" si="862"/>
        <v>421</v>
      </c>
      <c r="R374" s="548">
        <f t="shared" si="863"/>
        <v>414</v>
      </c>
      <c r="S374" s="307">
        <f t="shared" si="864"/>
        <v>414</v>
      </c>
      <c r="T374" s="104">
        <f t="shared" si="865"/>
        <v>406</v>
      </c>
      <c r="U374" s="328">
        <f t="shared" si="866"/>
        <v>406</v>
      </c>
      <c r="V374" s="104">
        <f t="shared" si="867"/>
        <v>402</v>
      </c>
      <c r="W374" s="328">
        <f t="shared" si="868"/>
        <v>402</v>
      </c>
      <c r="X374" s="352"/>
      <c r="Y374" s="353"/>
      <c r="Z374" s="353"/>
      <c r="AA374" s="352"/>
      <c r="AB374" s="451">
        <v>2294</v>
      </c>
      <c r="AC374" s="66"/>
    </row>
    <row r="375" spans="1:29" ht="12.6" customHeight="1" x14ac:dyDescent="0.2">
      <c r="A375" s="18"/>
      <c r="B375" s="931" t="s">
        <v>467</v>
      </c>
      <c r="C375" s="932"/>
      <c r="D375" s="932"/>
      <c r="E375" s="933"/>
      <c r="F375" s="423">
        <f>0.783*X2</f>
        <v>760.29300000000001</v>
      </c>
      <c r="G375" s="306">
        <f t="shared" ref="G375" si="874">+F375*$X$1</f>
        <v>760.29300000000001</v>
      </c>
      <c r="H375" s="298"/>
      <c r="I375" s="298"/>
      <c r="J375" s="613"/>
      <c r="K375" s="613"/>
      <c r="L375" s="613">
        <f t="shared" si="857"/>
        <v>860.29300000000001</v>
      </c>
      <c r="M375" s="306">
        <f t="shared" si="858"/>
        <v>860.29300000000001</v>
      </c>
      <c r="N375" s="613">
        <f t="shared" si="859"/>
        <v>812.29300000000001</v>
      </c>
      <c r="O375" s="306">
        <f t="shared" si="860"/>
        <v>812.29300000000001</v>
      </c>
      <c r="P375" s="613">
        <f t="shared" si="861"/>
        <v>804.29300000000001</v>
      </c>
      <c r="Q375" s="306">
        <f t="shared" si="862"/>
        <v>804.29300000000001</v>
      </c>
      <c r="R375" s="613">
        <f t="shared" si="863"/>
        <v>797.29300000000001</v>
      </c>
      <c r="S375" s="306">
        <f t="shared" si="864"/>
        <v>797.29300000000001</v>
      </c>
      <c r="T375" s="105">
        <f t="shared" si="865"/>
        <v>789.29300000000001</v>
      </c>
      <c r="U375" s="271">
        <f t="shared" si="866"/>
        <v>789.29300000000001</v>
      </c>
      <c r="V375" s="105">
        <f t="shared" si="867"/>
        <v>785.29300000000001</v>
      </c>
      <c r="W375" s="271">
        <f t="shared" si="868"/>
        <v>785.29300000000001</v>
      </c>
      <c r="X375" s="232"/>
      <c r="Y375" s="233"/>
      <c r="Z375" s="233"/>
      <c r="AA375" s="232"/>
      <c r="AB375" s="451">
        <v>2295</v>
      </c>
      <c r="AC375" s="66"/>
    </row>
    <row r="376" spans="1:29" ht="12.6" customHeight="1" x14ac:dyDescent="0.2">
      <c r="A376" s="18"/>
      <c r="B376" s="1142" t="s">
        <v>412</v>
      </c>
      <c r="C376" s="1143"/>
      <c r="D376" s="1143"/>
      <c r="E376" s="1144"/>
      <c r="F376" s="494">
        <f>0.52*X2</f>
        <v>504.92</v>
      </c>
      <c r="G376" s="364">
        <f t="shared" ref="G376" si="875">+F376*$X$1</f>
        <v>504.92</v>
      </c>
      <c r="H376" s="304"/>
      <c r="I376" s="304"/>
      <c r="J376" s="614"/>
      <c r="K376" s="614"/>
      <c r="L376" s="614">
        <f t="shared" si="857"/>
        <v>604.92000000000007</v>
      </c>
      <c r="M376" s="364">
        <f t="shared" si="858"/>
        <v>604.92000000000007</v>
      </c>
      <c r="N376" s="614">
        <f t="shared" si="859"/>
        <v>556.92000000000007</v>
      </c>
      <c r="O376" s="364">
        <f t="shared" si="860"/>
        <v>556.92000000000007</v>
      </c>
      <c r="P376" s="614">
        <f t="shared" si="861"/>
        <v>548.92000000000007</v>
      </c>
      <c r="Q376" s="364">
        <f t="shared" si="862"/>
        <v>548.92000000000007</v>
      </c>
      <c r="R376" s="614">
        <f t="shared" si="863"/>
        <v>541.92000000000007</v>
      </c>
      <c r="S376" s="364">
        <f t="shared" si="864"/>
        <v>541.92000000000007</v>
      </c>
      <c r="T376" s="117">
        <f t="shared" si="865"/>
        <v>533.92000000000007</v>
      </c>
      <c r="U376" s="415">
        <f t="shared" si="866"/>
        <v>533.92000000000007</v>
      </c>
      <c r="V376" s="117">
        <f t="shared" si="867"/>
        <v>529.92000000000007</v>
      </c>
      <c r="W376" s="415">
        <f t="shared" si="868"/>
        <v>529.92000000000007</v>
      </c>
      <c r="X376" s="232"/>
      <c r="Y376" s="233"/>
      <c r="Z376" s="233"/>
      <c r="AA376" s="232"/>
      <c r="AB376" s="451">
        <v>2296</v>
      </c>
      <c r="AC376" s="66"/>
    </row>
    <row r="377" spans="1:29" ht="12.6" customHeight="1" x14ac:dyDescent="0.2">
      <c r="A377" s="18"/>
      <c r="B377" s="931" t="s">
        <v>443</v>
      </c>
      <c r="C377" s="932"/>
      <c r="D377" s="932"/>
      <c r="E377" s="933"/>
      <c r="F377" s="423">
        <f>0.627*X2</f>
        <v>608.81700000000001</v>
      </c>
      <c r="G377" s="306">
        <f t="shared" ref="G377" si="876">+F377*$X$1</f>
        <v>608.81700000000001</v>
      </c>
      <c r="H377" s="298"/>
      <c r="I377" s="298"/>
      <c r="J377" s="613"/>
      <c r="K377" s="613"/>
      <c r="L377" s="613">
        <f t="shared" ref="L377:L378" si="877">F377+100</f>
        <v>708.81700000000001</v>
      </c>
      <c r="M377" s="306">
        <f t="shared" ref="M377:M378" si="878">+L377*$X$1</f>
        <v>708.81700000000001</v>
      </c>
      <c r="N377" s="613">
        <f t="shared" ref="N377:N378" si="879">F377+52</f>
        <v>660.81700000000001</v>
      </c>
      <c r="O377" s="306">
        <f t="shared" ref="O377:O378" si="880">+N377*$X$1</f>
        <v>660.81700000000001</v>
      </c>
      <c r="P377" s="613"/>
      <c r="Q377" s="306"/>
      <c r="R377" s="613"/>
      <c r="S377" s="306"/>
      <c r="T377" s="105"/>
      <c r="U377" s="271"/>
      <c r="V377" s="105"/>
      <c r="W377" s="271"/>
      <c r="X377" s="242"/>
      <c r="Y377" s="241"/>
      <c r="Z377" s="241"/>
      <c r="AA377" s="242"/>
      <c r="AB377" s="451">
        <v>2298</v>
      </c>
      <c r="AC377" s="66"/>
    </row>
    <row r="378" spans="1:29" ht="12.6" customHeight="1" x14ac:dyDescent="0.2">
      <c r="A378" s="18"/>
      <c r="B378" s="1126" t="s">
        <v>573</v>
      </c>
      <c r="C378" s="1127"/>
      <c r="D378" s="1127"/>
      <c r="E378" s="1128"/>
      <c r="F378" s="422">
        <f>0.686*X2</f>
        <v>666.10600000000011</v>
      </c>
      <c r="G378" s="307">
        <f t="shared" ref="G378" si="881">+F378*$X$1</f>
        <v>666.10600000000011</v>
      </c>
      <c r="H378" s="297"/>
      <c r="I378" s="297"/>
      <c r="J378" s="548"/>
      <c r="K378" s="307"/>
      <c r="L378" s="548">
        <f t="shared" si="877"/>
        <v>766.10600000000011</v>
      </c>
      <c r="M378" s="307">
        <f t="shared" si="878"/>
        <v>766.10600000000011</v>
      </c>
      <c r="N378" s="548">
        <f t="shared" si="879"/>
        <v>718.10600000000011</v>
      </c>
      <c r="O378" s="307">
        <f t="shared" si="880"/>
        <v>718.10600000000011</v>
      </c>
      <c r="P378" s="548">
        <f t="shared" ref="P378" si="882">F378+44</f>
        <v>710.10600000000011</v>
      </c>
      <c r="Q378" s="307">
        <f t="shared" ref="Q378" si="883">+P378*$X$1</f>
        <v>710.10600000000011</v>
      </c>
      <c r="R378" s="548">
        <f t="shared" ref="R378" si="884">F378+37</f>
        <v>703.10600000000011</v>
      </c>
      <c r="S378" s="307">
        <f t="shared" ref="S378" si="885">+R378*$X$1</f>
        <v>703.10600000000011</v>
      </c>
      <c r="T378" s="104">
        <f t="shared" ref="T378" si="886">F378+29</f>
        <v>695.10600000000011</v>
      </c>
      <c r="U378" s="328">
        <f t="shared" ref="U378" si="887">+T378*$X$1</f>
        <v>695.10600000000011</v>
      </c>
      <c r="V378" s="104">
        <f t="shared" ref="V378" si="888">F378+25</f>
        <v>691.10600000000011</v>
      </c>
      <c r="W378" s="328">
        <f>+V378*$X$1</f>
        <v>691.10600000000011</v>
      </c>
      <c r="X378" s="337"/>
      <c r="Y378" s="338"/>
      <c r="Z378" s="338"/>
      <c r="AA378" s="337"/>
      <c r="AB378" s="451">
        <v>2299</v>
      </c>
      <c r="AC378" s="66"/>
    </row>
    <row r="379" spans="1:29" ht="12.6" customHeight="1" x14ac:dyDescent="0.2">
      <c r="A379" s="18"/>
      <c r="B379" s="951" t="s">
        <v>259</v>
      </c>
      <c r="C379" s="1150"/>
      <c r="D379" s="1150"/>
      <c r="E379" s="1150"/>
      <c r="F379" s="417">
        <f>2.719*X2</f>
        <v>2640.1489999999999</v>
      </c>
      <c r="G379" s="306">
        <f t="shared" ref="G379" si="889">+F379*$X$1</f>
        <v>2640.1489999999999</v>
      </c>
      <c r="H379" s="613">
        <f>F379+310</f>
        <v>2950.1489999999999</v>
      </c>
      <c r="I379" s="306">
        <f>+H379*$X$1</f>
        <v>2950.1489999999999</v>
      </c>
      <c r="J379" s="613">
        <f>F379+120</f>
        <v>2760.1489999999999</v>
      </c>
      <c r="K379" s="306">
        <f t="shared" ref="K379" si="890">+J379*$X$1</f>
        <v>2760.1489999999999</v>
      </c>
      <c r="L379" s="613"/>
      <c r="M379" s="306"/>
      <c r="N379" s="613"/>
      <c r="O379" s="306"/>
      <c r="P379" s="613"/>
      <c r="Q379" s="306"/>
      <c r="R379" s="613"/>
      <c r="S379" s="306"/>
      <c r="T379" s="613"/>
      <c r="U379" s="306"/>
      <c r="V379" s="613"/>
      <c r="W379" s="306"/>
      <c r="X379" s="622"/>
      <c r="Y379" s="761"/>
      <c r="Z379" s="761"/>
      <c r="AA379" s="624"/>
      <c r="AB379" s="451">
        <v>2321</v>
      </c>
      <c r="AC379" s="66"/>
    </row>
    <row r="380" spans="1:29" ht="12.6" customHeight="1" x14ac:dyDescent="0.2">
      <c r="A380" s="18"/>
      <c r="B380" s="1018" t="s">
        <v>457</v>
      </c>
      <c r="C380" s="1164"/>
      <c r="D380" s="1164"/>
      <c r="E380" s="1164"/>
      <c r="F380" s="418">
        <f>1.57*X2</f>
        <v>1524.47</v>
      </c>
      <c r="G380" s="307">
        <f>+F380*$X$1</f>
        <v>1524.47</v>
      </c>
      <c r="H380" s="548">
        <f t="shared" ref="H380:H387" si="891">F380+310</f>
        <v>1834.47</v>
      </c>
      <c r="I380" s="307">
        <f t="shared" ref="I380:I387" si="892">+H380*$X$1</f>
        <v>1834.47</v>
      </c>
      <c r="J380" s="548">
        <f t="shared" ref="J380:J387" si="893">F380+120</f>
        <v>1644.47</v>
      </c>
      <c r="K380" s="307">
        <f t="shared" ref="K380:K382" si="894">+J380*$X$1</f>
        <v>1644.47</v>
      </c>
      <c r="L380" s="548">
        <f t="shared" ref="L380:L387" si="895">F380+90</f>
        <v>1614.47</v>
      </c>
      <c r="M380" s="307">
        <f t="shared" ref="M380:M382" si="896">+L380*$X$1</f>
        <v>1614.47</v>
      </c>
      <c r="N380" s="548">
        <f t="shared" ref="N380:N387" si="897">F380+55</f>
        <v>1579.47</v>
      </c>
      <c r="O380" s="307">
        <f t="shared" ref="O380:O382" si="898">+N380*$X$1</f>
        <v>1579.47</v>
      </c>
      <c r="P380" s="548">
        <f t="shared" ref="P380:P387" si="899">F380+49</f>
        <v>1573.47</v>
      </c>
      <c r="Q380" s="307">
        <f t="shared" ref="Q380:Q382" si="900">+P380*$X$1</f>
        <v>1573.47</v>
      </c>
      <c r="R380" s="548">
        <f t="shared" ref="R380:R387" si="901">F380+42</f>
        <v>1566.47</v>
      </c>
      <c r="S380" s="307">
        <f t="shared" ref="S380:S382" si="902">+R380*$X$1</f>
        <v>1566.47</v>
      </c>
      <c r="T380" s="548">
        <f t="shared" ref="T380:T387" si="903">F380+34</f>
        <v>1558.47</v>
      </c>
      <c r="U380" s="307">
        <f t="shared" ref="U380:U382" si="904">+T380*$X$1</f>
        <v>1558.47</v>
      </c>
      <c r="V380" s="548">
        <f t="shared" ref="V380:V387" si="905">F380+30</f>
        <v>1554.47</v>
      </c>
      <c r="W380" s="307">
        <f t="shared" ref="W380:W382" si="906">+V380*$X$1</f>
        <v>1554.47</v>
      </c>
      <c r="X380" s="622"/>
      <c r="Y380" s="761"/>
      <c r="Z380" s="761"/>
      <c r="AA380" s="624"/>
      <c r="AB380" s="451">
        <v>2322</v>
      </c>
      <c r="AC380" s="66"/>
    </row>
    <row r="381" spans="1:29" ht="12.6" customHeight="1" x14ac:dyDescent="0.2">
      <c r="A381" s="18"/>
      <c r="B381" s="662" t="s">
        <v>906</v>
      </c>
      <c r="C381" s="663"/>
      <c r="D381" s="663"/>
      <c r="E381" s="663"/>
      <c r="F381" s="417">
        <f>1.7*X2</f>
        <v>1650.7</v>
      </c>
      <c r="G381" s="306">
        <f>+F381*$X$1</f>
        <v>1650.7</v>
      </c>
      <c r="H381" s="613">
        <f t="shared" si="891"/>
        <v>1960.7</v>
      </c>
      <c r="I381" s="306">
        <f t="shared" si="892"/>
        <v>1960.7</v>
      </c>
      <c r="J381" s="613">
        <f t="shared" si="893"/>
        <v>1770.7</v>
      </c>
      <c r="K381" s="306">
        <f t="shared" ref="K381" si="907">+J381*$X$1</f>
        <v>1770.7</v>
      </c>
      <c r="L381" s="613">
        <f t="shared" si="895"/>
        <v>1740.7</v>
      </c>
      <c r="M381" s="306">
        <f t="shared" ref="M381" si="908">+L381*$X$1</f>
        <v>1740.7</v>
      </c>
      <c r="N381" s="613">
        <f t="shared" si="897"/>
        <v>1705.7</v>
      </c>
      <c r="O381" s="306">
        <f t="shared" ref="O381" si="909">+N381*$X$1</f>
        <v>1705.7</v>
      </c>
      <c r="P381" s="613">
        <f t="shared" si="899"/>
        <v>1699.7</v>
      </c>
      <c r="Q381" s="306">
        <f t="shared" ref="Q381" si="910">+P381*$X$1</f>
        <v>1699.7</v>
      </c>
      <c r="R381" s="613">
        <f t="shared" si="901"/>
        <v>1692.7</v>
      </c>
      <c r="S381" s="306">
        <f t="shared" ref="S381" si="911">+R381*$X$1</f>
        <v>1692.7</v>
      </c>
      <c r="T381" s="613">
        <f t="shared" si="903"/>
        <v>1684.7</v>
      </c>
      <c r="U381" s="306">
        <f t="shared" ref="U381" si="912">+T381*$X$1</f>
        <v>1684.7</v>
      </c>
      <c r="V381" s="613">
        <f t="shared" si="905"/>
        <v>1680.7</v>
      </c>
      <c r="W381" s="306">
        <f t="shared" ref="W381" si="913">+V381*$X$1</f>
        <v>1680.7</v>
      </c>
      <c r="X381" s="622"/>
      <c r="Y381" s="761"/>
      <c r="Z381" s="761"/>
      <c r="AA381" s="624"/>
      <c r="AB381" s="451">
        <v>2327</v>
      </c>
      <c r="AC381" s="66"/>
    </row>
    <row r="382" spans="1:29" ht="12.6" customHeight="1" x14ac:dyDescent="0.2">
      <c r="A382" s="18"/>
      <c r="B382" s="682" t="s">
        <v>260</v>
      </c>
      <c r="C382" s="894"/>
      <c r="D382" s="894"/>
      <c r="E382" s="895"/>
      <c r="F382" s="418">
        <f>3.407*X2</f>
        <v>3308.1970000000001</v>
      </c>
      <c r="G382" s="307">
        <f>+F382*$X$1</f>
        <v>3308.1970000000001</v>
      </c>
      <c r="H382" s="548">
        <f t="shared" si="891"/>
        <v>3618.1970000000001</v>
      </c>
      <c r="I382" s="307">
        <f t="shared" si="892"/>
        <v>3618.1970000000001</v>
      </c>
      <c r="J382" s="548">
        <f t="shared" si="893"/>
        <v>3428.1970000000001</v>
      </c>
      <c r="K382" s="307">
        <f t="shared" si="894"/>
        <v>3428.1970000000001</v>
      </c>
      <c r="L382" s="548">
        <f t="shared" si="895"/>
        <v>3398.1970000000001</v>
      </c>
      <c r="M382" s="307">
        <f t="shared" si="896"/>
        <v>3398.1970000000001</v>
      </c>
      <c r="N382" s="548">
        <f t="shared" si="897"/>
        <v>3363.1970000000001</v>
      </c>
      <c r="O382" s="307">
        <f t="shared" si="898"/>
        <v>3363.1970000000001</v>
      </c>
      <c r="P382" s="548">
        <f t="shared" si="899"/>
        <v>3357.1970000000001</v>
      </c>
      <c r="Q382" s="307">
        <f t="shared" si="900"/>
        <v>3357.1970000000001</v>
      </c>
      <c r="R382" s="548">
        <f t="shared" si="901"/>
        <v>3350.1970000000001</v>
      </c>
      <c r="S382" s="307">
        <f t="shared" si="902"/>
        <v>3350.1970000000001</v>
      </c>
      <c r="T382" s="548">
        <f t="shared" si="903"/>
        <v>3342.1970000000001</v>
      </c>
      <c r="U382" s="307">
        <f t="shared" si="904"/>
        <v>3342.1970000000001</v>
      </c>
      <c r="V382" s="548">
        <f t="shared" si="905"/>
        <v>3338.1970000000001</v>
      </c>
      <c r="W382" s="307">
        <f t="shared" si="906"/>
        <v>3338.1970000000001</v>
      </c>
      <c r="X382" s="622"/>
      <c r="Y382" s="761"/>
      <c r="Z382" s="761"/>
      <c r="AA382" s="624"/>
      <c r="AB382" s="451">
        <v>2330</v>
      </c>
      <c r="AC382" s="66"/>
    </row>
    <row r="383" spans="1:29" ht="12.6" customHeight="1" x14ac:dyDescent="0.2">
      <c r="A383" s="108"/>
      <c r="B383" s="641" t="s">
        <v>413</v>
      </c>
      <c r="C383" s="644"/>
      <c r="D383" s="644"/>
      <c r="E383" s="645"/>
      <c r="F383" s="417">
        <f>1.98*X2</f>
        <v>1922.58</v>
      </c>
      <c r="G383" s="306">
        <f t="shared" ref="G383" si="914">+F383*$X$1</f>
        <v>1922.58</v>
      </c>
      <c r="H383" s="613">
        <f t="shared" si="891"/>
        <v>2232.58</v>
      </c>
      <c r="I383" s="306">
        <f t="shared" si="892"/>
        <v>2232.58</v>
      </c>
      <c r="J383" s="613">
        <f t="shared" si="893"/>
        <v>2042.58</v>
      </c>
      <c r="K383" s="306">
        <f t="shared" ref="K383:K387" si="915">+J383*$X$1</f>
        <v>2042.58</v>
      </c>
      <c r="L383" s="613">
        <f t="shared" si="895"/>
        <v>2012.58</v>
      </c>
      <c r="M383" s="306">
        <f t="shared" ref="M383:M387" si="916">+L383*$X$1</f>
        <v>2012.58</v>
      </c>
      <c r="N383" s="613">
        <f t="shared" si="897"/>
        <v>1977.58</v>
      </c>
      <c r="O383" s="306">
        <f t="shared" ref="O383:O387" si="917">+N383*$X$1</f>
        <v>1977.58</v>
      </c>
      <c r="P383" s="613">
        <f t="shared" si="899"/>
        <v>1971.58</v>
      </c>
      <c r="Q383" s="306">
        <f t="shared" ref="Q383:Q387" si="918">+P383*$X$1</f>
        <v>1971.58</v>
      </c>
      <c r="R383" s="613">
        <f t="shared" si="901"/>
        <v>1964.58</v>
      </c>
      <c r="S383" s="306">
        <f t="shared" ref="S383:S387" si="919">+R383*$X$1</f>
        <v>1964.58</v>
      </c>
      <c r="T383" s="613">
        <f t="shared" si="903"/>
        <v>1956.58</v>
      </c>
      <c r="U383" s="306">
        <f t="shared" ref="U383:U387" si="920">+T383*$X$1</f>
        <v>1956.58</v>
      </c>
      <c r="V383" s="613">
        <f t="shared" si="905"/>
        <v>1952.58</v>
      </c>
      <c r="W383" s="306">
        <f t="shared" ref="W383:W387" si="921">+V383*$X$1</f>
        <v>1952.58</v>
      </c>
      <c r="X383" s="622"/>
      <c r="Y383" s="761"/>
      <c r="Z383" s="761"/>
      <c r="AA383" s="624"/>
      <c r="AB383" s="451">
        <v>2334</v>
      </c>
      <c r="AC383" s="66"/>
    </row>
    <row r="384" spans="1:29" ht="12.6" customHeight="1" x14ac:dyDescent="0.2">
      <c r="A384" s="108"/>
      <c r="B384" s="711" t="s">
        <v>261</v>
      </c>
      <c r="C384" s="712"/>
      <c r="D384" s="712"/>
      <c r="E384" s="713"/>
      <c r="F384" s="422">
        <f>1.42*X2</f>
        <v>1378.82</v>
      </c>
      <c r="G384" s="343">
        <f t="shared" ref="G384" si="922">+F384*$X$1</f>
        <v>1378.82</v>
      </c>
      <c r="H384" s="548">
        <f t="shared" si="891"/>
        <v>1688.82</v>
      </c>
      <c r="I384" s="307">
        <f t="shared" si="892"/>
        <v>1688.82</v>
      </c>
      <c r="J384" s="548">
        <f t="shared" si="893"/>
        <v>1498.82</v>
      </c>
      <c r="K384" s="307">
        <f t="shared" si="915"/>
        <v>1498.82</v>
      </c>
      <c r="L384" s="548">
        <f t="shared" si="895"/>
        <v>1468.82</v>
      </c>
      <c r="M384" s="307">
        <f t="shared" si="916"/>
        <v>1468.82</v>
      </c>
      <c r="N384" s="548">
        <f t="shared" si="897"/>
        <v>1433.82</v>
      </c>
      <c r="O384" s="307">
        <f t="shared" si="917"/>
        <v>1433.82</v>
      </c>
      <c r="P384" s="548">
        <f t="shared" si="899"/>
        <v>1427.82</v>
      </c>
      <c r="Q384" s="307">
        <f t="shared" si="918"/>
        <v>1427.82</v>
      </c>
      <c r="R384" s="548">
        <f t="shared" si="901"/>
        <v>1420.82</v>
      </c>
      <c r="S384" s="307">
        <f t="shared" si="919"/>
        <v>1420.82</v>
      </c>
      <c r="T384" s="548">
        <f t="shared" si="903"/>
        <v>1412.82</v>
      </c>
      <c r="U384" s="307">
        <f t="shared" si="920"/>
        <v>1412.82</v>
      </c>
      <c r="V384" s="548">
        <f t="shared" si="905"/>
        <v>1408.82</v>
      </c>
      <c r="W384" s="307">
        <f t="shared" si="921"/>
        <v>1408.82</v>
      </c>
      <c r="X384" s="622"/>
      <c r="Y384" s="761"/>
      <c r="Z384" s="761"/>
      <c r="AA384" s="624"/>
      <c r="AB384" s="466">
        <v>2336</v>
      </c>
      <c r="AC384" s="66"/>
    </row>
    <row r="385" spans="1:34" ht="12.6" customHeight="1" x14ac:dyDescent="0.2">
      <c r="A385" s="18"/>
      <c r="B385" s="641" t="s">
        <v>262</v>
      </c>
      <c r="C385" s="644"/>
      <c r="D385" s="644"/>
      <c r="E385" s="645"/>
      <c r="F385" s="417">
        <f>1.48*X2</f>
        <v>1437.08</v>
      </c>
      <c r="G385" s="306">
        <f>+F385*$X$1</f>
        <v>1437.08</v>
      </c>
      <c r="H385" s="613">
        <f t="shared" si="891"/>
        <v>1747.08</v>
      </c>
      <c r="I385" s="306">
        <f t="shared" si="892"/>
        <v>1747.08</v>
      </c>
      <c r="J385" s="613">
        <f t="shared" si="893"/>
        <v>1557.08</v>
      </c>
      <c r="K385" s="306">
        <f t="shared" si="915"/>
        <v>1557.08</v>
      </c>
      <c r="L385" s="613">
        <f t="shared" si="895"/>
        <v>1527.08</v>
      </c>
      <c r="M385" s="306">
        <f t="shared" si="916"/>
        <v>1527.08</v>
      </c>
      <c r="N385" s="613">
        <f t="shared" si="897"/>
        <v>1492.08</v>
      </c>
      <c r="O385" s="306">
        <f t="shared" si="917"/>
        <v>1492.08</v>
      </c>
      <c r="P385" s="613">
        <f t="shared" si="899"/>
        <v>1486.08</v>
      </c>
      <c r="Q385" s="306">
        <f t="shared" si="918"/>
        <v>1486.08</v>
      </c>
      <c r="R385" s="613">
        <f t="shared" si="901"/>
        <v>1479.08</v>
      </c>
      <c r="S385" s="306">
        <f t="shared" si="919"/>
        <v>1479.08</v>
      </c>
      <c r="T385" s="613">
        <f t="shared" si="903"/>
        <v>1471.08</v>
      </c>
      <c r="U385" s="306">
        <f t="shared" si="920"/>
        <v>1471.08</v>
      </c>
      <c r="V385" s="613">
        <f t="shared" si="905"/>
        <v>1467.08</v>
      </c>
      <c r="W385" s="306">
        <f t="shared" si="921"/>
        <v>1467.08</v>
      </c>
      <c r="X385" s="622"/>
      <c r="Y385" s="761"/>
      <c r="Z385" s="761"/>
      <c r="AA385" s="624"/>
      <c r="AB385" s="451">
        <v>2337</v>
      </c>
      <c r="AC385" s="66"/>
    </row>
    <row r="386" spans="1:34" ht="12.6" customHeight="1" x14ac:dyDescent="0.2">
      <c r="A386" s="18"/>
      <c r="B386" s="682" t="s">
        <v>263</v>
      </c>
      <c r="C386" s="683"/>
      <c r="D386" s="683"/>
      <c r="E386" s="684"/>
      <c r="F386" s="418">
        <f>2.02*X2</f>
        <v>1961.42</v>
      </c>
      <c r="G386" s="307">
        <f t="shared" ref="G386" si="923">+F386*$X$1</f>
        <v>1961.42</v>
      </c>
      <c r="H386" s="548">
        <f t="shared" si="891"/>
        <v>2271.42</v>
      </c>
      <c r="I386" s="307">
        <f t="shared" si="892"/>
        <v>2271.42</v>
      </c>
      <c r="J386" s="548">
        <f t="shared" si="893"/>
        <v>2081.42</v>
      </c>
      <c r="K386" s="307">
        <f t="shared" si="915"/>
        <v>2081.42</v>
      </c>
      <c r="L386" s="548">
        <f t="shared" si="895"/>
        <v>2051.42</v>
      </c>
      <c r="M386" s="307">
        <f t="shared" si="916"/>
        <v>2051.42</v>
      </c>
      <c r="N386" s="548">
        <f t="shared" si="897"/>
        <v>2016.42</v>
      </c>
      <c r="O386" s="307">
        <f t="shared" si="917"/>
        <v>2016.42</v>
      </c>
      <c r="P386" s="548">
        <f t="shared" si="899"/>
        <v>2010.42</v>
      </c>
      <c r="Q386" s="307">
        <f t="shared" si="918"/>
        <v>2010.42</v>
      </c>
      <c r="R386" s="548">
        <f t="shared" si="901"/>
        <v>2003.42</v>
      </c>
      <c r="S386" s="307">
        <f t="shared" si="919"/>
        <v>2003.42</v>
      </c>
      <c r="T386" s="548">
        <f t="shared" si="903"/>
        <v>1995.42</v>
      </c>
      <c r="U386" s="307">
        <f t="shared" si="920"/>
        <v>1995.42</v>
      </c>
      <c r="V386" s="548">
        <f t="shared" si="905"/>
        <v>1991.42</v>
      </c>
      <c r="W386" s="307">
        <f t="shared" si="921"/>
        <v>1991.42</v>
      </c>
      <c r="X386" s="622"/>
      <c r="Y386" s="761"/>
      <c r="Z386" s="761"/>
      <c r="AA386" s="624"/>
      <c r="AB386" s="451">
        <v>2338</v>
      </c>
      <c r="AC386" s="66"/>
    </row>
    <row r="387" spans="1:34" ht="12.6" customHeight="1" x14ac:dyDescent="0.2">
      <c r="A387" s="18"/>
      <c r="B387" s="641" t="s">
        <v>346</v>
      </c>
      <c r="C387" s="644"/>
      <c r="D387" s="644"/>
      <c r="E387" s="645"/>
      <c r="F387" s="425">
        <f>1.6*X2</f>
        <v>1553.6000000000001</v>
      </c>
      <c r="G387" s="306">
        <f>+F387*$X$1</f>
        <v>1553.6000000000001</v>
      </c>
      <c r="H387" s="613">
        <f t="shared" si="891"/>
        <v>1863.6000000000001</v>
      </c>
      <c r="I387" s="306">
        <f t="shared" si="892"/>
        <v>1863.6000000000001</v>
      </c>
      <c r="J387" s="613">
        <f t="shared" si="893"/>
        <v>1673.6000000000001</v>
      </c>
      <c r="K387" s="306">
        <f t="shared" si="915"/>
        <v>1673.6000000000001</v>
      </c>
      <c r="L387" s="613">
        <f t="shared" si="895"/>
        <v>1643.6000000000001</v>
      </c>
      <c r="M387" s="306">
        <f t="shared" si="916"/>
        <v>1643.6000000000001</v>
      </c>
      <c r="N387" s="613">
        <f t="shared" si="897"/>
        <v>1608.6000000000001</v>
      </c>
      <c r="O387" s="306">
        <f t="shared" si="917"/>
        <v>1608.6000000000001</v>
      </c>
      <c r="P387" s="613">
        <f t="shared" si="899"/>
        <v>1602.6000000000001</v>
      </c>
      <c r="Q387" s="306">
        <f t="shared" si="918"/>
        <v>1602.6000000000001</v>
      </c>
      <c r="R387" s="613">
        <f t="shared" si="901"/>
        <v>1595.6000000000001</v>
      </c>
      <c r="S387" s="306">
        <f t="shared" si="919"/>
        <v>1595.6000000000001</v>
      </c>
      <c r="T387" s="613">
        <f t="shared" si="903"/>
        <v>1587.6000000000001</v>
      </c>
      <c r="U387" s="306">
        <f t="shared" si="920"/>
        <v>1587.6000000000001</v>
      </c>
      <c r="V387" s="613">
        <f t="shared" si="905"/>
        <v>1583.6000000000001</v>
      </c>
      <c r="W387" s="306">
        <f t="shared" si="921"/>
        <v>1583.6000000000001</v>
      </c>
      <c r="X387" s="182"/>
      <c r="Y387" s="185"/>
      <c r="Z387" s="185"/>
      <c r="AA387" s="184"/>
      <c r="AB387" s="451">
        <v>2340</v>
      </c>
      <c r="AC387" s="66"/>
    </row>
    <row r="388" spans="1:34" ht="12.6" customHeight="1" x14ac:dyDescent="0.2">
      <c r="A388" s="18"/>
      <c r="B388" s="682" t="s">
        <v>345</v>
      </c>
      <c r="C388" s="683"/>
      <c r="D388" s="683"/>
      <c r="E388" s="684"/>
      <c r="F388" s="418">
        <f>6.96*X2</f>
        <v>6758.16</v>
      </c>
      <c r="G388" s="307">
        <f>+F388*$X$1</f>
        <v>6758.16</v>
      </c>
      <c r="H388" s="548">
        <f>F388+470</f>
        <v>7228.16</v>
      </c>
      <c r="I388" s="307">
        <f t="shared" ref="I388" si="924">+H388*$X$1</f>
        <v>7228.16</v>
      </c>
      <c r="J388" s="548">
        <f>F388+180</f>
        <v>6938.16</v>
      </c>
      <c r="K388" s="307">
        <f t="shared" ref="K388:K393" si="925">+J388*$X$1</f>
        <v>6938.16</v>
      </c>
      <c r="L388" s="548">
        <f>F388+135</f>
        <v>6893.16</v>
      </c>
      <c r="M388" s="307">
        <f t="shared" ref="M388:M393" si="926">+L388*$X$1</f>
        <v>6893.16</v>
      </c>
      <c r="N388" s="548">
        <f>F388+83</f>
        <v>6841.16</v>
      </c>
      <c r="O388" s="307">
        <f t="shared" ref="O388:O393" si="927">+N388*$X$1</f>
        <v>6841.16</v>
      </c>
      <c r="P388" s="548">
        <f>F388+74</f>
        <v>6832.16</v>
      </c>
      <c r="Q388" s="307">
        <f t="shared" ref="Q388:Q393" si="928">+P388*$X$1</f>
        <v>6832.16</v>
      </c>
      <c r="R388" s="548">
        <f>F388+63</f>
        <v>6821.16</v>
      </c>
      <c r="S388" s="307">
        <f t="shared" ref="S388:S393" si="929">+R388*$X$1</f>
        <v>6821.16</v>
      </c>
      <c r="T388" s="548">
        <f>F388+51</f>
        <v>6809.16</v>
      </c>
      <c r="U388" s="307">
        <f t="shared" ref="U388:U393" si="930">+T388*$X$1</f>
        <v>6809.16</v>
      </c>
      <c r="V388" s="548">
        <f>F388+45</f>
        <v>6803.16</v>
      </c>
      <c r="W388" s="307">
        <f t="shared" ref="W388:W393" si="931">+V388*$X$1</f>
        <v>6803.16</v>
      </c>
      <c r="X388" s="182"/>
      <c r="Y388" s="185"/>
      <c r="Z388" s="185"/>
      <c r="AA388" s="184"/>
      <c r="AB388" s="451">
        <v>2341</v>
      </c>
      <c r="AC388" s="66"/>
    </row>
    <row r="389" spans="1:34" ht="12.6" customHeight="1" x14ac:dyDescent="0.2">
      <c r="A389" s="18"/>
      <c r="B389" s="641" t="s">
        <v>750</v>
      </c>
      <c r="C389" s="644"/>
      <c r="D389" s="644"/>
      <c r="E389" s="645"/>
      <c r="F389" s="417">
        <f>12.42*X2</f>
        <v>12059.82</v>
      </c>
      <c r="G389" s="306">
        <f t="shared" ref="G389" si="932">+F389*$X$1</f>
        <v>12059.82</v>
      </c>
      <c r="H389" s="613">
        <f t="shared" ref="H389:H394" si="933">F389+310</f>
        <v>12369.82</v>
      </c>
      <c r="I389" s="306">
        <f t="shared" ref="I389:I394" si="934">+H389*$X$1</f>
        <v>12369.82</v>
      </c>
      <c r="J389" s="613">
        <f t="shared" ref="J389:J394" si="935">F389+120</f>
        <v>12179.82</v>
      </c>
      <c r="K389" s="306">
        <f t="shared" si="925"/>
        <v>12179.82</v>
      </c>
      <c r="L389" s="613">
        <f t="shared" ref="L389:L394" si="936">F389+90</f>
        <v>12149.82</v>
      </c>
      <c r="M389" s="306">
        <f t="shared" si="926"/>
        <v>12149.82</v>
      </c>
      <c r="N389" s="613">
        <f t="shared" ref="N389:N394" si="937">F389+55</f>
        <v>12114.82</v>
      </c>
      <c r="O389" s="306">
        <f t="shared" si="927"/>
        <v>12114.82</v>
      </c>
      <c r="P389" s="613">
        <f t="shared" ref="P389:P394" si="938">F389+49</f>
        <v>12108.82</v>
      </c>
      <c r="Q389" s="306">
        <f t="shared" si="928"/>
        <v>12108.82</v>
      </c>
      <c r="R389" s="613">
        <f t="shared" ref="R389:R394" si="939">F389+42</f>
        <v>12101.82</v>
      </c>
      <c r="S389" s="306">
        <f t="shared" si="929"/>
        <v>12101.82</v>
      </c>
      <c r="T389" s="613">
        <f t="shared" ref="T389:T394" si="940">F389+34</f>
        <v>12093.82</v>
      </c>
      <c r="U389" s="306">
        <f t="shared" si="930"/>
        <v>12093.82</v>
      </c>
      <c r="V389" s="613">
        <f t="shared" ref="V389:V394" si="941">F389+30</f>
        <v>12089.82</v>
      </c>
      <c r="W389" s="306">
        <f t="shared" si="931"/>
        <v>12089.82</v>
      </c>
      <c r="X389" s="504"/>
      <c r="Y389" s="505"/>
      <c r="Z389" s="505"/>
      <c r="AA389" s="506"/>
      <c r="AB389" s="451">
        <v>2342</v>
      </c>
      <c r="AC389" s="66"/>
    </row>
    <row r="390" spans="1:34" ht="12.6" customHeight="1" x14ac:dyDescent="0.2">
      <c r="A390" s="18"/>
      <c r="B390" s="682" t="s">
        <v>749</v>
      </c>
      <c r="C390" s="683"/>
      <c r="D390" s="683"/>
      <c r="E390" s="684"/>
      <c r="F390" s="418">
        <f>14.9*X2</f>
        <v>14467.9</v>
      </c>
      <c r="G390" s="307">
        <f t="shared" ref="G390" si="942">+F390*$X$1</f>
        <v>14467.9</v>
      </c>
      <c r="H390" s="548">
        <f t="shared" si="933"/>
        <v>14777.9</v>
      </c>
      <c r="I390" s="307">
        <f t="shared" si="934"/>
        <v>14777.9</v>
      </c>
      <c r="J390" s="548">
        <f t="shared" si="935"/>
        <v>14587.9</v>
      </c>
      <c r="K390" s="307">
        <f t="shared" si="925"/>
        <v>14587.9</v>
      </c>
      <c r="L390" s="548">
        <f t="shared" si="936"/>
        <v>14557.9</v>
      </c>
      <c r="M390" s="307">
        <f t="shared" si="926"/>
        <v>14557.9</v>
      </c>
      <c r="N390" s="548">
        <f t="shared" si="937"/>
        <v>14522.9</v>
      </c>
      <c r="O390" s="307">
        <f t="shared" si="927"/>
        <v>14522.9</v>
      </c>
      <c r="P390" s="548">
        <f t="shared" si="938"/>
        <v>14516.9</v>
      </c>
      <c r="Q390" s="307">
        <f t="shared" si="928"/>
        <v>14516.9</v>
      </c>
      <c r="R390" s="548">
        <f t="shared" si="939"/>
        <v>14509.9</v>
      </c>
      <c r="S390" s="307">
        <f t="shared" si="929"/>
        <v>14509.9</v>
      </c>
      <c r="T390" s="548">
        <f t="shared" si="940"/>
        <v>14501.9</v>
      </c>
      <c r="U390" s="307">
        <f t="shared" si="930"/>
        <v>14501.9</v>
      </c>
      <c r="V390" s="548">
        <f t="shared" si="941"/>
        <v>14497.9</v>
      </c>
      <c r="W390" s="307">
        <f t="shared" si="931"/>
        <v>14497.9</v>
      </c>
      <c r="X390" s="504"/>
      <c r="Y390" s="505"/>
      <c r="Z390" s="505"/>
      <c r="AA390" s="506"/>
      <c r="AB390" s="451">
        <v>2343</v>
      </c>
      <c r="AC390" s="66"/>
    </row>
    <row r="391" spans="1:34" ht="12.6" customHeight="1" x14ac:dyDescent="0.2">
      <c r="A391" s="18"/>
      <c r="B391" s="641" t="s">
        <v>468</v>
      </c>
      <c r="C391" s="644"/>
      <c r="D391" s="644"/>
      <c r="E391" s="645"/>
      <c r="F391" s="417">
        <f>8.45*X2</f>
        <v>8204.9499999999989</v>
      </c>
      <c r="G391" s="306">
        <f t="shared" ref="G391" si="943">+F391*$X$1</f>
        <v>8204.9499999999989</v>
      </c>
      <c r="H391" s="613">
        <f t="shared" si="933"/>
        <v>8514.9499999999989</v>
      </c>
      <c r="I391" s="306">
        <f t="shared" si="934"/>
        <v>8514.9499999999989</v>
      </c>
      <c r="J391" s="613">
        <f t="shared" si="935"/>
        <v>8324.9499999999989</v>
      </c>
      <c r="K391" s="306">
        <f t="shared" si="925"/>
        <v>8324.9499999999989</v>
      </c>
      <c r="L391" s="613">
        <f t="shared" si="936"/>
        <v>8294.9499999999989</v>
      </c>
      <c r="M391" s="306">
        <f t="shared" si="926"/>
        <v>8294.9499999999989</v>
      </c>
      <c r="N391" s="613">
        <f t="shared" si="937"/>
        <v>8259.9499999999989</v>
      </c>
      <c r="O391" s="306">
        <f t="shared" si="927"/>
        <v>8259.9499999999989</v>
      </c>
      <c r="P391" s="613">
        <f t="shared" si="938"/>
        <v>8253.9499999999989</v>
      </c>
      <c r="Q391" s="306">
        <f t="shared" si="928"/>
        <v>8253.9499999999989</v>
      </c>
      <c r="R391" s="613">
        <f t="shared" si="939"/>
        <v>8246.9499999999989</v>
      </c>
      <c r="S391" s="306">
        <f t="shared" si="929"/>
        <v>8246.9499999999989</v>
      </c>
      <c r="T391" s="613">
        <f t="shared" si="940"/>
        <v>8238.9499999999989</v>
      </c>
      <c r="U391" s="306">
        <f t="shared" si="930"/>
        <v>8238.9499999999989</v>
      </c>
      <c r="V391" s="613">
        <f t="shared" si="941"/>
        <v>8234.9499999999989</v>
      </c>
      <c r="W391" s="306">
        <f t="shared" si="931"/>
        <v>8234.9499999999989</v>
      </c>
      <c r="X391" s="250"/>
      <c r="Y391" s="248"/>
      <c r="Z391" s="248"/>
      <c r="AA391" s="249"/>
      <c r="AB391" s="451">
        <v>2346</v>
      </c>
      <c r="AC391" s="66"/>
    </row>
    <row r="392" spans="1:34" ht="12.6" customHeight="1" x14ac:dyDescent="0.2">
      <c r="A392" s="18"/>
      <c r="B392" s="682" t="s">
        <v>751</v>
      </c>
      <c r="C392" s="683"/>
      <c r="D392" s="683"/>
      <c r="E392" s="684"/>
      <c r="F392" s="418">
        <f>11.84*X2</f>
        <v>11496.64</v>
      </c>
      <c r="G392" s="307">
        <f t="shared" ref="G392" si="944">+F392*$X$1</f>
        <v>11496.64</v>
      </c>
      <c r="H392" s="548">
        <f t="shared" si="933"/>
        <v>11806.64</v>
      </c>
      <c r="I392" s="307">
        <f t="shared" si="934"/>
        <v>11806.64</v>
      </c>
      <c r="J392" s="548">
        <f t="shared" si="935"/>
        <v>11616.64</v>
      </c>
      <c r="K392" s="307">
        <f t="shared" si="925"/>
        <v>11616.64</v>
      </c>
      <c r="L392" s="548">
        <f t="shared" si="936"/>
        <v>11586.64</v>
      </c>
      <c r="M392" s="307">
        <f t="shared" si="926"/>
        <v>11586.64</v>
      </c>
      <c r="N392" s="548">
        <f t="shared" si="937"/>
        <v>11551.64</v>
      </c>
      <c r="O392" s="307">
        <f t="shared" si="927"/>
        <v>11551.64</v>
      </c>
      <c r="P392" s="548">
        <f t="shared" si="938"/>
        <v>11545.64</v>
      </c>
      <c r="Q392" s="307">
        <f t="shared" si="928"/>
        <v>11545.64</v>
      </c>
      <c r="R392" s="548">
        <f t="shared" si="939"/>
        <v>11538.64</v>
      </c>
      <c r="S392" s="307">
        <f t="shared" si="929"/>
        <v>11538.64</v>
      </c>
      <c r="T392" s="548">
        <f t="shared" si="940"/>
        <v>11530.64</v>
      </c>
      <c r="U392" s="307">
        <f t="shared" si="930"/>
        <v>11530.64</v>
      </c>
      <c r="V392" s="548">
        <f t="shared" si="941"/>
        <v>11526.64</v>
      </c>
      <c r="W392" s="307">
        <f t="shared" si="931"/>
        <v>11526.64</v>
      </c>
      <c r="X392" s="504"/>
      <c r="Y392" s="505"/>
      <c r="Z392" s="505"/>
      <c r="AA392" s="506"/>
      <c r="AB392" s="451" t="s">
        <v>761</v>
      </c>
      <c r="AC392" s="66"/>
    </row>
    <row r="393" spans="1:34" ht="12.6" customHeight="1" x14ac:dyDescent="0.2">
      <c r="A393" s="18"/>
      <c r="B393" s="641" t="s">
        <v>752</v>
      </c>
      <c r="C393" s="644"/>
      <c r="D393" s="644"/>
      <c r="E393" s="645"/>
      <c r="F393" s="417">
        <f>12.63*X2</f>
        <v>12263.730000000001</v>
      </c>
      <c r="G393" s="306">
        <f t="shared" ref="G393" si="945">+F393*$X$1</f>
        <v>12263.730000000001</v>
      </c>
      <c r="H393" s="613">
        <f t="shared" si="933"/>
        <v>12573.730000000001</v>
      </c>
      <c r="I393" s="306">
        <f t="shared" si="934"/>
        <v>12573.730000000001</v>
      </c>
      <c r="J393" s="613">
        <f t="shared" si="935"/>
        <v>12383.730000000001</v>
      </c>
      <c r="K393" s="306">
        <f t="shared" si="925"/>
        <v>12383.730000000001</v>
      </c>
      <c r="L393" s="613">
        <f t="shared" si="936"/>
        <v>12353.730000000001</v>
      </c>
      <c r="M393" s="306">
        <f t="shared" si="926"/>
        <v>12353.730000000001</v>
      </c>
      <c r="N393" s="613">
        <f t="shared" si="937"/>
        <v>12318.730000000001</v>
      </c>
      <c r="O393" s="306">
        <f t="shared" si="927"/>
        <v>12318.730000000001</v>
      </c>
      <c r="P393" s="613">
        <f t="shared" si="938"/>
        <v>12312.730000000001</v>
      </c>
      <c r="Q393" s="306">
        <f t="shared" si="928"/>
        <v>12312.730000000001</v>
      </c>
      <c r="R393" s="613">
        <f t="shared" si="939"/>
        <v>12305.730000000001</v>
      </c>
      <c r="S393" s="306">
        <f t="shared" si="929"/>
        <v>12305.730000000001</v>
      </c>
      <c r="T393" s="613">
        <f t="shared" si="940"/>
        <v>12297.730000000001</v>
      </c>
      <c r="U393" s="306">
        <f t="shared" si="930"/>
        <v>12297.730000000001</v>
      </c>
      <c r="V393" s="613">
        <f t="shared" si="941"/>
        <v>12293.730000000001</v>
      </c>
      <c r="W393" s="306">
        <f t="shared" si="931"/>
        <v>12293.730000000001</v>
      </c>
      <c r="X393" s="504"/>
      <c r="Y393" s="505"/>
      <c r="Z393" s="505"/>
      <c r="AA393" s="506"/>
      <c r="AB393" s="451" t="s">
        <v>818</v>
      </c>
      <c r="AC393" s="66"/>
    </row>
    <row r="394" spans="1:34" ht="12.6" customHeight="1" x14ac:dyDescent="0.2">
      <c r="A394" s="18"/>
      <c r="B394" s="682" t="s">
        <v>626</v>
      </c>
      <c r="C394" s="683"/>
      <c r="D394" s="683"/>
      <c r="E394" s="684"/>
      <c r="F394" s="418">
        <f>2.985*X2</f>
        <v>2898.4349999999999</v>
      </c>
      <c r="G394" s="307">
        <f t="shared" ref="G394" si="946">+F394*$X$1</f>
        <v>2898.4349999999999</v>
      </c>
      <c r="H394" s="548">
        <f t="shared" si="933"/>
        <v>3208.4349999999999</v>
      </c>
      <c r="I394" s="307">
        <f t="shared" si="934"/>
        <v>3208.4349999999999</v>
      </c>
      <c r="J394" s="548">
        <f t="shared" si="935"/>
        <v>3018.4349999999999</v>
      </c>
      <c r="K394" s="307">
        <f>+J394*$X$1</f>
        <v>3018.4349999999999</v>
      </c>
      <c r="L394" s="548">
        <f t="shared" si="936"/>
        <v>2988.4349999999999</v>
      </c>
      <c r="M394" s="307">
        <f>+L394*$X$1</f>
        <v>2988.4349999999999</v>
      </c>
      <c r="N394" s="548">
        <f t="shared" si="937"/>
        <v>2953.4349999999999</v>
      </c>
      <c r="O394" s="307">
        <f>+N394*$X$1</f>
        <v>2953.4349999999999</v>
      </c>
      <c r="P394" s="548">
        <f t="shared" si="938"/>
        <v>2947.4349999999999</v>
      </c>
      <c r="Q394" s="307">
        <f>+P394*$X$1</f>
        <v>2947.4349999999999</v>
      </c>
      <c r="R394" s="548">
        <f t="shared" si="939"/>
        <v>2940.4349999999999</v>
      </c>
      <c r="S394" s="307">
        <f>+R394*$X$1</f>
        <v>2940.4349999999999</v>
      </c>
      <c r="T394" s="548">
        <f t="shared" si="940"/>
        <v>2932.4349999999999</v>
      </c>
      <c r="U394" s="307">
        <f>+T394*$X$1</f>
        <v>2932.4349999999999</v>
      </c>
      <c r="V394" s="548">
        <f t="shared" si="941"/>
        <v>2928.4349999999999</v>
      </c>
      <c r="W394" s="307">
        <f>+V394*$X$1</f>
        <v>2928.4349999999999</v>
      </c>
      <c r="X394" s="410"/>
      <c r="Y394" s="411"/>
      <c r="Z394" s="411"/>
      <c r="AA394" s="412"/>
      <c r="AB394" s="451">
        <v>2350</v>
      </c>
      <c r="AC394" s="66"/>
    </row>
    <row r="395" spans="1:34" s="4" customFormat="1" ht="12.6" customHeight="1" x14ac:dyDescent="0.2">
      <c r="A395" s="19"/>
      <c r="B395" s="16"/>
      <c r="C395" s="12"/>
      <c r="D395" s="12"/>
      <c r="E395" s="12"/>
      <c r="F395" s="59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9"/>
      <c r="B396" s="16"/>
      <c r="C396" s="12"/>
      <c r="D396" s="12"/>
      <c r="E396" s="12"/>
      <c r="F396" s="59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9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8"/>
      <c r="B398" s="653" t="s">
        <v>11</v>
      </c>
      <c r="C398" s="738" t="s">
        <v>12</v>
      </c>
      <c r="D398" s="739"/>
      <c r="E398" s="739"/>
      <c r="F398" s="813" t="s">
        <v>13</v>
      </c>
      <c r="G398" s="813" t="s">
        <v>13</v>
      </c>
      <c r="H398" s="660" t="s">
        <v>870</v>
      </c>
      <c r="I398" s="660"/>
      <c r="J398" s="661"/>
      <c r="K398" s="661"/>
      <c r="L398" s="661"/>
      <c r="M398" s="661"/>
      <c r="N398" s="661"/>
      <c r="O398" s="661"/>
      <c r="P398" s="661"/>
      <c r="Q398" s="661"/>
      <c r="R398" s="661"/>
      <c r="S398" s="661"/>
      <c r="T398" s="661"/>
      <c r="U398" s="661"/>
      <c r="V398" s="661"/>
      <c r="W398" s="661"/>
      <c r="X398" s="632" t="s">
        <v>14</v>
      </c>
      <c r="Y398" s="633"/>
      <c r="Z398" s="633"/>
      <c r="AA398" s="634"/>
      <c r="AB398" s="630" t="s">
        <v>15</v>
      </c>
      <c r="AE398" s="65"/>
      <c r="AF398" s="628" t="s">
        <v>3</v>
      </c>
      <c r="AG398" s="629"/>
      <c r="AH398" s="629"/>
    </row>
    <row r="399" spans="1:34" ht="12" customHeight="1" x14ac:dyDescent="0.2">
      <c r="A399" s="18"/>
      <c r="B399" s="653"/>
      <c r="C399" s="739"/>
      <c r="D399" s="739"/>
      <c r="E399" s="739"/>
      <c r="F399" s="814"/>
      <c r="G399" s="814"/>
      <c r="H399" s="591"/>
      <c r="I399" s="583" t="s">
        <v>301</v>
      </c>
      <c r="J399" s="585"/>
      <c r="K399" s="583" t="s">
        <v>17</v>
      </c>
      <c r="L399" s="586"/>
      <c r="M399" s="586" t="s">
        <v>18</v>
      </c>
      <c r="N399" s="586"/>
      <c r="O399" s="583" t="s">
        <v>19</v>
      </c>
      <c r="P399" s="586"/>
      <c r="Q399" s="586" t="s">
        <v>303</v>
      </c>
      <c r="R399" s="586"/>
      <c r="S399" s="586" t="s">
        <v>20</v>
      </c>
      <c r="T399" s="586"/>
      <c r="U399" s="586" t="s">
        <v>21</v>
      </c>
      <c r="V399" s="586"/>
      <c r="W399" s="586" t="s">
        <v>22</v>
      </c>
      <c r="X399" s="635"/>
      <c r="Y399" s="636"/>
      <c r="Z399" s="636"/>
      <c r="AA399" s="637"/>
      <c r="AB399" s="631"/>
    </row>
    <row r="400" spans="1:34" ht="12.6" customHeight="1" x14ac:dyDescent="0.2">
      <c r="A400" s="18"/>
      <c r="B400" s="1030" t="s">
        <v>720</v>
      </c>
      <c r="C400" s="954"/>
      <c r="D400" s="954"/>
      <c r="E400" s="955"/>
      <c r="F400" s="418">
        <f>3.299*X2</f>
        <v>3203.3289999999997</v>
      </c>
      <c r="G400" s="307">
        <f t="shared" ref="G400" si="947">+F400*$X$1</f>
        <v>3203.3289999999997</v>
      </c>
      <c r="H400" s="548">
        <f t="shared" ref="H400:H401" si="948">F400+310</f>
        <v>3513.3289999999997</v>
      </c>
      <c r="I400" s="307">
        <f t="shared" ref="I400:I401" si="949">+H400*$X$1</f>
        <v>3513.3289999999997</v>
      </c>
      <c r="J400" s="548">
        <f t="shared" ref="J400:J401" si="950">F400+120</f>
        <v>3323.3289999999997</v>
      </c>
      <c r="K400" s="307">
        <f t="shared" ref="K400:K402" si="951">+J400*$X$1</f>
        <v>3323.3289999999997</v>
      </c>
      <c r="L400" s="548">
        <f t="shared" ref="L400:L401" si="952">F400+90</f>
        <v>3293.3289999999997</v>
      </c>
      <c r="M400" s="307">
        <f t="shared" ref="M400:M402" si="953">+L400*$X$1</f>
        <v>3293.3289999999997</v>
      </c>
      <c r="N400" s="548">
        <f t="shared" ref="N400:N401" si="954">F400+55</f>
        <v>3258.3289999999997</v>
      </c>
      <c r="O400" s="307">
        <f t="shared" ref="O400:O402" si="955">+N400*$X$1</f>
        <v>3258.3289999999997</v>
      </c>
      <c r="P400" s="548">
        <f t="shared" ref="P400:P401" si="956">F400+49</f>
        <v>3252.3289999999997</v>
      </c>
      <c r="Q400" s="307">
        <f t="shared" ref="Q400:Q402" si="957">+P400*$X$1</f>
        <v>3252.3289999999997</v>
      </c>
      <c r="R400" s="548">
        <f t="shared" ref="R400:R401" si="958">F400+42</f>
        <v>3245.3289999999997</v>
      </c>
      <c r="S400" s="307">
        <f t="shared" ref="S400:S402" si="959">+R400*$X$1</f>
        <v>3245.3289999999997</v>
      </c>
      <c r="T400" s="548">
        <f t="shared" ref="T400:T401" si="960">F400+34</f>
        <v>3237.3289999999997</v>
      </c>
      <c r="U400" s="307">
        <f t="shared" ref="U400:U402" si="961">+T400*$X$1</f>
        <v>3237.3289999999997</v>
      </c>
      <c r="V400" s="548">
        <f t="shared" ref="V400:V401" si="962">F400+30</f>
        <v>3233.3289999999997</v>
      </c>
      <c r="W400" s="307">
        <f t="shared" ref="W400:W402" si="963">+V400*$X$1</f>
        <v>3233.3289999999997</v>
      </c>
      <c r="X400" s="485"/>
      <c r="Y400" s="486"/>
      <c r="Z400" s="486"/>
      <c r="AA400" s="487"/>
      <c r="AB400" s="451">
        <v>2351</v>
      </c>
      <c r="AC400" s="66"/>
    </row>
    <row r="401" spans="1:35" ht="12.6" customHeight="1" x14ac:dyDescent="0.2">
      <c r="A401" s="18"/>
      <c r="B401" s="1030" t="s">
        <v>733</v>
      </c>
      <c r="C401" s="954"/>
      <c r="D401" s="954"/>
      <c r="E401" s="955"/>
      <c r="F401" s="417">
        <f>1.59*X2</f>
        <v>1543.89</v>
      </c>
      <c r="G401" s="306">
        <f t="shared" ref="G401:G402" si="964">+F401*$X$1</f>
        <v>1543.89</v>
      </c>
      <c r="H401" s="613">
        <f t="shared" si="948"/>
        <v>1853.89</v>
      </c>
      <c r="I401" s="306">
        <f t="shared" si="949"/>
        <v>1853.89</v>
      </c>
      <c r="J401" s="613">
        <f t="shared" si="950"/>
        <v>1663.89</v>
      </c>
      <c r="K401" s="306">
        <f t="shared" si="951"/>
        <v>1663.89</v>
      </c>
      <c r="L401" s="613">
        <f t="shared" si="952"/>
        <v>1633.89</v>
      </c>
      <c r="M401" s="306">
        <f t="shared" si="953"/>
        <v>1633.89</v>
      </c>
      <c r="N401" s="613">
        <f t="shared" si="954"/>
        <v>1598.89</v>
      </c>
      <c r="O401" s="306">
        <f t="shared" si="955"/>
        <v>1598.89</v>
      </c>
      <c r="P401" s="613">
        <f t="shared" si="956"/>
        <v>1592.89</v>
      </c>
      <c r="Q401" s="306">
        <f t="shared" si="957"/>
        <v>1592.89</v>
      </c>
      <c r="R401" s="613">
        <f t="shared" si="958"/>
        <v>1585.89</v>
      </c>
      <c r="S401" s="306">
        <f t="shared" si="959"/>
        <v>1585.89</v>
      </c>
      <c r="T401" s="613">
        <f t="shared" si="960"/>
        <v>1577.89</v>
      </c>
      <c r="U401" s="306">
        <f t="shared" si="961"/>
        <v>1577.89</v>
      </c>
      <c r="V401" s="613">
        <f t="shared" si="962"/>
        <v>1573.89</v>
      </c>
      <c r="W401" s="306">
        <f t="shared" si="963"/>
        <v>1573.89</v>
      </c>
      <c r="X401" s="491"/>
      <c r="Y401" s="492"/>
      <c r="Z401" s="492"/>
      <c r="AA401" s="493"/>
      <c r="AB401" s="451">
        <v>2352</v>
      </c>
      <c r="AC401" s="66"/>
    </row>
    <row r="402" spans="1:35" ht="12.6" customHeight="1" x14ac:dyDescent="0.2">
      <c r="A402" s="18"/>
      <c r="B402" s="1030" t="s">
        <v>896</v>
      </c>
      <c r="C402" s="954"/>
      <c r="D402" s="954"/>
      <c r="E402" s="955"/>
      <c r="F402" s="418">
        <f>3.627*X2</f>
        <v>3521.817</v>
      </c>
      <c r="G402" s="307">
        <f t="shared" si="964"/>
        <v>3521.817</v>
      </c>
      <c r="H402" s="548">
        <f>F402+400</f>
        <v>3921.817</v>
      </c>
      <c r="I402" s="307">
        <f t="shared" ref="I402" si="965">+H402*$X$1</f>
        <v>3921.817</v>
      </c>
      <c r="J402" s="548">
        <f>F402+150</f>
        <v>3671.817</v>
      </c>
      <c r="K402" s="307">
        <f t="shared" si="951"/>
        <v>3671.817</v>
      </c>
      <c r="L402" s="548">
        <f>F402+90</f>
        <v>3611.817</v>
      </c>
      <c r="M402" s="307">
        <f t="shared" si="953"/>
        <v>3611.817</v>
      </c>
      <c r="N402" s="548">
        <f>F402+55</f>
        <v>3576.817</v>
      </c>
      <c r="O402" s="307">
        <f t="shared" si="955"/>
        <v>3576.817</v>
      </c>
      <c r="P402" s="548">
        <f>F402+50</f>
        <v>3571.817</v>
      </c>
      <c r="Q402" s="307">
        <f t="shared" si="957"/>
        <v>3571.817</v>
      </c>
      <c r="R402" s="548">
        <f>F402+42</f>
        <v>3563.817</v>
      </c>
      <c r="S402" s="307">
        <f t="shared" si="959"/>
        <v>3563.817</v>
      </c>
      <c r="T402" s="104">
        <f>F402+35</f>
        <v>3556.817</v>
      </c>
      <c r="U402" s="328">
        <f t="shared" si="961"/>
        <v>3556.817</v>
      </c>
      <c r="V402" s="104">
        <f>F402+30</f>
        <v>3551.817</v>
      </c>
      <c r="W402" s="328">
        <f t="shared" si="963"/>
        <v>3551.817</v>
      </c>
      <c r="X402" s="622"/>
      <c r="Y402" s="623"/>
      <c r="Z402" s="623"/>
      <c r="AA402" s="624"/>
      <c r="AB402" s="451">
        <v>2503</v>
      </c>
    </row>
    <row r="403" spans="1:35" ht="12.6" customHeight="1" x14ac:dyDescent="0.2">
      <c r="A403" s="18"/>
      <c r="B403" s="641" t="s">
        <v>897</v>
      </c>
      <c r="C403" s="644"/>
      <c r="D403" s="644"/>
      <c r="E403" s="645"/>
      <c r="F403" s="417">
        <f>1*X2</f>
        <v>971</v>
      </c>
      <c r="G403" s="306">
        <f t="shared" ref="G403" si="966">+F403*$X$1</f>
        <v>971</v>
      </c>
      <c r="H403" s="613">
        <f>F403+400</f>
        <v>1371</v>
      </c>
      <c r="I403" s="306">
        <f t="shared" ref="I403:I405" si="967">+H403*$X$1</f>
        <v>1371</v>
      </c>
      <c r="J403" s="613">
        <f>F403+150</f>
        <v>1121</v>
      </c>
      <c r="K403" s="306">
        <f t="shared" ref="K403:K404" si="968">+J403*$X$1</f>
        <v>1121</v>
      </c>
      <c r="L403" s="613">
        <f>F403+90</f>
        <v>1061</v>
      </c>
      <c r="M403" s="306">
        <f t="shared" ref="M403:M404" si="969">+L403*$X$1</f>
        <v>1061</v>
      </c>
      <c r="N403" s="613">
        <f>F403+55</f>
        <v>1026</v>
      </c>
      <c r="O403" s="306">
        <f t="shared" ref="O403" si="970">+N403*$X$1</f>
        <v>1026</v>
      </c>
      <c r="P403" s="613">
        <f>F403+50</f>
        <v>1021</v>
      </c>
      <c r="Q403" s="306">
        <f t="shared" ref="Q403" si="971">+P403*$X$1</f>
        <v>1021</v>
      </c>
      <c r="R403" s="613">
        <f>F403+42</f>
        <v>1013</v>
      </c>
      <c r="S403" s="306">
        <f t="shared" ref="S403" si="972">+R403*$X$1</f>
        <v>1013</v>
      </c>
      <c r="T403" s="105">
        <f>F403+35</f>
        <v>1006</v>
      </c>
      <c r="U403" s="271">
        <f t="shared" ref="U403" si="973">+T403*$X$1</f>
        <v>1006</v>
      </c>
      <c r="V403" s="105">
        <f>F403+30</f>
        <v>1001</v>
      </c>
      <c r="W403" s="271">
        <f t="shared" ref="W403" si="974">+V403*$X$1</f>
        <v>1001</v>
      </c>
      <c r="X403" s="622"/>
      <c r="Y403" s="623"/>
      <c r="Z403" s="623"/>
      <c r="AA403" s="624"/>
      <c r="AB403" s="451">
        <v>2504</v>
      </c>
    </row>
    <row r="404" spans="1:35" ht="12.6" customHeight="1" x14ac:dyDescent="0.2">
      <c r="A404" s="18"/>
      <c r="B404" s="682" t="s">
        <v>718</v>
      </c>
      <c r="C404" s="683"/>
      <c r="D404" s="683"/>
      <c r="E404" s="684"/>
      <c r="F404" s="418">
        <f>3.13*X2</f>
        <v>3039.23</v>
      </c>
      <c r="G404" s="307">
        <f t="shared" ref="G404" si="975">+F404*$X$1</f>
        <v>3039.23</v>
      </c>
      <c r="H404" s="548">
        <f>F404+400</f>
        <v>3439.23</v>
      </c>
      <c r="I404" s="307">
        <f t="shared" si="967"/>
        <v>3439.23</v>
      </c>
      <c r="J404" s="548">
        <f>F404+150</f>
        <v>3189.23</v>
      </c>
      <c r="K404" s="307">
        <f t="shared" si="968"/>
        <v>3189.23</v>
      </c>
      <c r="L404" s="548">
        <f>F404+90</f>
        <v>3129.23</v>
      </c>
      <c r="M404" s="307">
        <f t="shared" si="969"/>
        <v>3129.23</v>
      </c>
      <c r="N404" s="548">
        <f>F404+55</f>
        <v>3094.23</v>
      </c>
      <c r="O404" s="307"/>
      <c r="P404" s="548"/>
      <c r="Q404" s="307"/>
      <c r="R404" s="548"/>
      <c r="S404" s="307"/>
      <c r="T404" s="104"/>
      <c r="U404" s="328"/>
      <c r="V404" s="104"/>
      <c r="W404" s="328"/>
      <c r="X404" s="622"/>
      <c r="Y404" s="623"/>
      <c r="Z404" s="623"/>
      <c r="AA404" s="624"/>
      <c r="AB404" s="451">
        <v>2505</v>
      </c>
    </row>
    <row r="405" spans="1:35" ht="12.6" customHeight="1" x14ac:dyDescent="0.2">
      <c r="A405" s="18"/>
      <c r="B405" s="641" t="s">
        <v>847</v>
      </c>
      <c r="C405" s="644"/>
      <c r="D405" s="644"/>
      <c r="E405" s="645"/>
      <c r="F405" s="417">
        <f>1*X2</f>
        <v>971</v>
      </c>
      <c r="G405" s="306">
        <f t="shared" ref="G405" si="976">+F405*$X$1</f>
        <v>971</v>
      </c>
      <c r="H405" s="613">
        <f>F405+400</f>
        <v>1371</v>
      </c>
      <c r="I405" s="306">
        <f t="shared" si="967"/>
        <v>1371</v>
      </c>
      <c r="J405" s="613"/>
      <c r="K405" s="306"/>
      <c r="L405" s="613"/>
      <c r="M405" s="306"/>
      <c r="N405" s="613"/>
      <c r="O405" s="306"/>
      <c r="P405" s="613"/>
      <c r="Q405" s="306"/>
      <c r="R405" s="613"/>
      <c r="S405" s="306"/>
      <c r="T405" s="105"/>
      <c r="U405" s="271"/>
      <c r="V405" s="105"/>
      <c r="W405" s="271"/>
      <c r="X405" s="622"/>
      <c r="Y405" s="623"/>
      <c r="Z405" s="623"/>
      <c r="AA405" s="624"/>
      <c r="AB405" s="451">
        <v>2506</v>
      </c>
    </row>
    <row r="406" spans="1:35" ht="12.6" customHeight="1" x14ac:dyDescent="0.2">
      <c r="A406" s="18"/>
      <c r="B406" s="682" t="s">
        <v>519</v>
      </c>
      <c r="C406" s="894"/>
      <c r="D406" s="894"/>
      <c r="E406" s="895"/>
      <c r="F406" s="418">
        <f>3.88*X2</f>
        <v>3767.48</v>
      </c>
      <c r="G406" s="307">
        <f t="shared" ref="G406" si="977">+F406*$X$1</f>
        <v>3767.48</v>
      </c>
      <c r="H406" s="297"/>
      <c r="I406" s="373"/>
      <c r="J406" s="548">
        <f>F406+150</f>
        <v>3917.48</v>
      </c>
      <c r="K406" s="307">
        <f t="shared" ref="K406" si="978">+J406*$X$1</f>
        <v>3917.48</v>
      </c>
      <c r="L406" s="548">
        <f>F406+90</f>
        <v>3857.48</v>
      </c>
      <c r="M406" s="307">
        <f t="shared" ref="M406" si="979">+L406*$X$1</f>
        <v>3857.48</v>
      </c>
      <c r="N406" s="548">
        <f>F406+55</f>
        <v>3822.48</v>
      </c>
      <c r="O406" s="307">
        <f t="shared" ref="O406" si="980">+N406*$X$1</f>
        <v>3822.48</v>
      </c>
      <c r="P406" s="548">
        <f>F406+50</f>
        <v>3817.48</v>
      </c>
      <c r="Q406" s="307">
        <f t="shared" ref="Q406" si="981">+P406*$X$1</f>
        <v>3817.48</v>
      </c>
      <c r="R406" s="548">
        <f>F406+42</f>
        <v>3809.48</v>
      </c>
      <c r="S406" s="307">
        <f t="shared" ref="S406" si="982">+R406*$X$1</f>
        <v>3809.48</v>
      </c>
      <c r="T406" s="104">
        <f>F406+35</f>
        <v>3802.48</v>
      </c>
      <c r="U406" s="328">
        <f t="shared" ref="U406" si="983">+T406*$X$1</f>
        <v>3802.48</v>
      </c>
      <c r="V406" s="104">
        <f>F406+30</f>
        <v>3797.48</v>
      </c>
      <c r="W406" s="328">
        <f t="shared" ref="W406" si="984">+V406*$X$1</f>
        <v>3797.48</v>
      </c>
      <c r="X406" s="170"/>
      <c r="Y406" s="140"/>
      <c r="Z406" s="140"/>
      <c r="AA406" s="143"/>
      <c r="AB406" s="463">
        <v>3001</v>
      </c>
    </row>
    <row r="407" spans="1:35" ht="12.6" customHeight="1" x14ac:dyDescent="0.2">
      <c r="A407" s="108"/>
      <c r="B407" s="951" t="s">
        <v>850</v>
      </c>
      <c r="C407" s="952"/>
      <c r="D407" s="952"/>
      <c r="E407" s="952"/>
      <c r="F407" s="306">
        <v>3710</v>
      </c>
      <c r="G407" s="306">
        <f t="shared" ref="G407" si="985">+F407*$X$1</f>
        <v>3710</v>
      </c>
      <c r="H407" s="298"/>
      <c r="I407" s="372"/>
      <c r="J407" s="613"/>
      <c r="K407" s="306"/>
      <c r="L407" s="613">
        <f>F407+910</f>
        <v>4620</v>
      </c>
      <c r="M407" s="306">
        <f>+L407*$X$1</f>
        <v>4620</v>
      </c>
      <c r="N407" s="613">
        <f>F407+690</f>
        <v>4400</v>
      </c>
      <c r="O407" s="306">
        <f t="shared" ref="O407:O408" si="986">+N407*$X$1</f>
        <v>4400</v>
      </c>
      <c r="P407" s="613">
        <f>F407+650</f>
        <v>4360</v>
      </c>
      <c r="Q407" s="306">
        <f t="shared" ref="Q407:Q408" si="987">+P407*$X$1</f>
        <v>4360</v>
      </c>
      <c r="R407" s="613">
        <f>F407+620</f>
        <v>4330</v>
      </c>
      <c r="S407" s="306">
        <f>+R407*$X$1</f>
        <v>4330</v>
      </c>
      <c r="T407" s="613">
        <f>F407+600</f>
        <v>4310</v>
      </c>
      <c r="U407" s="306">
        <f>+T407*$X$1</f>
        <v>4310</v>
      </c>
      <c r="V407" s="613"/>
      <c r="W407" s="306"/>
      <c r="X407" s="222"/>
      <c r="Y407" s="224"/>
      <c r="Z407" s="224"/>
      <c r="AA407" s="223"/>
      <c r="AB407" s="451">
        <v>5003</v>
      </c>
      <c r="AC407" s="66"/>
    </row>
    <row r="408" spans="1:35" ht="12.6" customHeight="1" x14ac:dyDescent="0.2">
      <c r="A408" s="108"/>
      <c r="B408" s="662" t="s">
        <v>851</v>
      </c>
      <c r="C408" s="1038"/>
      <c r="D408" s="1038"/>
      <c r="E408" s="1038"/>
      <c r="F408" s="307">
        <v>3710</v>
      </c>
      <c r="G408" s="307">
        <f t="shared" ref="G408" si="988">+F408*$X$1</f>
        <v>3710</v>
      </c>
      <c r="H408" s="548">
        <f>F408+500</f>
        <v>4210</v>
      </c>
      <c r="I408" s="307">
        <f>+H408*$X$1</f>
        <v>4210</v>
      </c>
      <c r="J408" s="90">
        <f>F408+200</f>
        <v>3910</v>
      </c>
      <c r="K408" s="307">
        <f t="shared" ref="K408" si="989">+J408*$X$1</f>
        <v>3910</v>
      </c>
      <c r="L408" s="548">
        <f>F408+160</f>
        <v>3870</v>
      </c>
      <c r="M408" s="307">
        <f t="shared" ref="M408" si="990">+L408*$X$1</f>
        <v>3870</v>
      </c>
      <c r="N408" s="548">
        <f>F408+130</f>
        <v>3840</v>
      </c>
      <c r="O408" s="307">
        <f t="shared" si="986"/>
        <v>3840</v>
      </c>
      <c r="P408" s="548">
        <f>F408+100</f>
        <v>3810</v>
      </c>
      <c r="Q408" s="307">
        <f t="shared" si="987"/>
        <v>3810</v>
      </c>
      <c r="R408" s="548">
        <f>F408+85</f>
        <v>3795</v>
      </c>
      <c r="S408" s="307">
        <f t="shared" ref="S408" si="991">+R408*$X$1</f>
        <v>3795</v>
      </c>
      <c r="T408" s="548">
        <f>F408+70</f>
        <v>3780</v>
      </c>
      <c r="U408" s="307">
        <f t="shared" ref="U408" si="992">+T408*$X$1</f>
        <v>3780</v>
      </c>
      <c r="V408" s="548"/>
      <c r="W408" s="307"/>
      <c r="X408" s="490"/>
      <c r="Y408" s="488"/>
      <c r="Z408" s="488"/>
      <c r="AA408" s="489"/>
      <c r="AB408" s="451" t="s">
        <v>745</v>
      </c>
      <c r="AC408" s="66"/>
    </row>
    <row r="409" spans="1:35" ht="12.6" customHeight="1" x14ac:dyDescent="0.2">
      <c r="A409" s="18"/>
      <c r="B409" s="625" t="s">
        <v>564</v>
      </c>
      <c r="C409" s="626"/>
      <c r="D409" s="626"/>
      <c r="E409" s="626"/>
      <c r="F409" s="306">
        <v>4992</v>
      </c>
      <c r="G409" s="306">
        <f t="shared" ref="G409:G418" si="993">+F409*$X$1</f>
        <v>4992</v>
      </c>
      <c r="H409" s="298"/>
      <c r="I409" s="372"/>
      <c r="J409" s="613"/>
      <c r="K409" s="306"/>
      <c r="L409" s="613">
        <f>F409+1200</f>
        <v>6192</v>
      </c>
      <c r="M409" s="306">
        <f t="shared" ref="M409" si="994">+L409*$X$1</f>
        <v>6192</v>
      </c>
      <c r="N409" s="613">
        <f>F409+900</f>
        <v>5892</v>
      </c>
      <c r="O409" s="306">
        <f t="shared" ref="O409" si="995">+N409*$X$1</f>
        <v>5892</v>
      </c>
      <c r="P409" s="613">
        <f>F409+810</f>
        <v>5802</v>
      </c>
      <c r="Q409" s="306">
        <f t="shared" ref="Q409" si="996">+P409*$X$1</f>
        <v>5802</v>
      </c>
      <c r="R409" s="613">
        <f>F409+780</f>
        <v>5772</v>
      </c>
      <c r="S409" s="306">
        <f>+R409*$X$1</f>
        <v>5772</v>
      </c>
      <c r="T409" s="613">
        <f>F409+750</f>
        <v>5742</v>
      </c>
      <c r="U409" s="306">
        <f>+T409*$X$1</f>
        <v>5742</v>
      </c>
      <c r="V409" s="613"/>
      <c r="W409" s="306"/>
      <c r="X409" s="1146"/>
      <c r="Y409" s="1147"/>
      <c r="Z409" s="1147"/>
      <c r="AA409" s="1148"/>
      <c r="AB409" s="201">
        <v>5008</v>
      </c>
      <c r="AC409" s="39"/>
      <c r="AD409" s="39"/>
      <c r="AE409" s="39"/>
      <c r="AF409" s="39"/>
      <c r="AG409" s="39"/>
      <c r="AH409" s="39"/>
      <c r="AI409" s="39"/>
    </row>
    <row r="410" spans="1:35" ht="12.6" customHeight="1" x14ac:dyDescent="0.2">
      <c r="A410" s="18"/>
      <c r="B410" s="682" t="s">
        <v>565</v>
      </c>
      <c r="C410" s="683"/>
      <c r="D410" s="683"/>
      <c r="E410" s="684"/>
      <c r="F410" s="307">
        <v>6786</v>
      </c>
      <c r="G410" s="307">
        <f t="shared" si="993"/>
        <v>6786</v>
      </c>
      <c r="H410" s="297"/>
      <c r="I410" s="373"/>
      <c r="J410" s="548"/>
      <c r="K410" s="307"/>
      <c r="L410" s="548">
        <f>F410+1200</f>
        <v>7986</v>
      </c>
      <c r="M410" s="307">
        <f t="shared" ref="M410:M413" si="997">+L410*$X$1</f>
        <v>7986</v>
      </c>
      <c r="N410" s="548">
        <f>F410+900</f>
        <v>7686</v>
      </c>
      <c r="O410" s="307">
        <f t="shared" ref="O410:O413" si="998">+N410*$X$1</f>
        <v>7686</v>
      </c>
      <c r="P410" s="548">
        <f>F410+810</f>
        <v>7596</v>
      </c>
      <c r="Q410" s="307">
        <f t="shared" ref="Q410:Q414" si="999">+P410*$X$1</f>
        <v>7596</v>
      </c>
      <c r="R410" s="548">
        <f>F410+780</f>
        <v>7566</v>
      </c>
      <c r="S410" s="307">
        <f>+R410*$X$1</f>
        <v>7566</v>
      </c>
      <c r="T410" s="548">
        <f>F410+750</f>
        <v>7536</v>
      </c>
      <c r="U410" s="307">
        <f>+T410*$X$1</f>
        <v>7536</v>
      </c>
      <c r="V410" s="548"/>
      <c r="W410" s="307"/>
      <c r="X410" s="1146"/>
      <c r="Y410" s="1147"/>
      <c r="Z410" s="1147"/>
      <c r="AA410" s="1148"/>
      <c r="AB410" s="463">
        <v>5010</v>
      </c>
      <c r="AC410" s="39"/>
      <c r="AD410" s="39"/>
      <c r="AE410" s="39"/>
      <c r="AF410" s="39"/>
      <c r="AG410" s="39"/>
      <c r="AH410" s="39"/>
      <c r="AI410" s="39"/>
    </row>
    <row r="411" spans="1:35" ht="12.6" customHeight="1" x14ac:dyDescent="0.2">
      <c r="A411" s="18"/>
      <c r="B411" s="641" t="s">
        <v>566</v>
      </c>
      <c r="C411" s="644"/>
      <c r="D411" s="644"/>
      <c r="E411" s="645"/>
      <c r="F411" s="306">
        <v>3783</v>
      </c>
      <c r="G411" s="306">
        <f t="shared" ref="G411" si="1000">+F411*$X$1</f>
        <v>3783</v>
      </c>
      <c r="H411" s="298"/>
      <c r="I411" s="372"/>
      <c r="J411" s="613"/>
      <c r="K411" s="306"/>
      <c r="L411" s="613">
        <f>F411+1200</f>
        <v>4983</v>
      </c>
      <c r="M411" s="306">
        <f t="shared" si="997"/>
        <v>4983</v>
      </c>
      <c r="N411" s="613">
        <f>F411+900</f>
        <v>4683</v>
      </c>
      <c r="O411" s="306">
        <f t="shared" si="998"/>
        <v>4683</v>
      </c>
      <c r="P411" s="613">
        <f>F411+810</f>
        <v>4593</v>
      </c>
      <c r="Q411" s="306">
        <f t="shared" si="999"/>
        <v>4593</v>
      </c>
      <c r="R411" s="613">
        <f>F411+780</f>
        <v>4563</v>
      </c>
      <c r="S411" s="306">
        <f>+R411*$X$1</f>
        <v>4563</v>
      </c>
      <c r="T411" s="613">
        <f>F411+750</f>
        <v>4533</v>
      </c>
      <c r="U411" s="306">
        <f>+T411*$X$1</f>
        <v>4533</v>
      </c>
      <c r="V411" s="613"/>
      <c r="W411" s="306"/>
      <c r="X411" s="1146"/>
      <c r="Y411" s="1147"/>
      <c r="Z411" s="1147"/>
      <c r="AA411" s="1148"/>
      <c r="AB411" s="463"/>
      <c r="AC411" s="39"/>
      <c r="AD411" s="39"/>
      <c r="AE411" s="39"/>
      <c r="AF411" s="39"/>
      <c r="AG411" s="39"/>
      <c r="AH411" s="39"/>
      <c r="AI411" s="39"/>
    </row>
    <row r="412" spans="1:35" ht="12.6" customHeight="1" x14ac:dyDescent="0.2">
      <c r="A412" s="18"/>
      <c r="B412" s="682" t="s">
        <v>567</v>
      </c>
      <c r="C412" s="683"/>
      <c r="D412" s="683"/>
      <c r="E412" s="684"/>
      <c r="F412" s="307">
        <v>5616</v>
      </c>
      <c r="G412" s="307">
        <f t="shared" ref="G412:G415" si="1001">+F412*$X$1</f>
        <v>5616</v>
      </c>
      <c r="H412" s="297"/>
      <c r="I412" s="373"/>
      <c r="J412" s="548"/>
      <c r="K412" s="307"/>
      <c r="L412" s="548">
        <f>F412+1200</f>
        <v>6816</v>
      </c>
      <c r="M412" s="307">
        <f t="shared" si="997"/>
        <v>6816</v>
      </c>
      <c r="N412" s="548">
        <f>F412+900</f>
        <v>6516</v>
      </c>
      <c r="O412" s="307">
        <f t="shared" si="998"/>
        <v>6516</v>
      </c>
      <c r="P412" s="548">
        <f>F412+810</f>
        <v>6426</v>
      </c>
      <c r="Q412" s="307">
        <f t="shared" si="999"/>
        <v>6426</v>
      </c>
      <c r="R412" s="548">
        <f>F412+780</f>
        <v>6396</v>
      </c>
      <c r="S412" s="307">
        <f>+R412*$X$1</f>
        <v>6396</v>
      </c>
      <c r="T412" s="548">
        <f>F412+750</f>
        <v>6366</v>
      </c>
      <c r="U412" s="307">
        <f>+T412*$X$1</f>
        <v>6366</v>
      </c>
      <c r="V412" s="548"/>
      <c r="W412" s="307"/>
      <c r="X412" s="1146"/>
      <c r="Y412" s="1147"/>
      <c r="Z412" s="1147"/>
      <c r="AA412" s="1148"/>
      <c r="AB412" s="463"/>
      <c r="AC412" s="39"/>
      <c r="AD412" s="39"/>
      <c r="AE412" s="39"/>
      <c r="AF412" s="39"/>
      <c r="AG412" s="39"/>
      <c r="AH412" s="39"/>
      <c r="AI412" s="39"/>
    </row>
    <row r="413" spans="1:35" ht="12.6" customHeight="1" x14ac:dyDescent="0.2">
      <c r="A413" s="18"/>
      <c r="B413" s="693" t="s">
        <v>901</v>
      </c>
      <c r="C413" s="911"/>
      <c r="D413" s="911"/>
      <c r="E413" s="911"/>
      <c r="F413" s="306">
        <v>1940</v>
      </c>
      <c r="G413" s="306">
        <f t="shared" si="1001"/>
        <v>1940</v>
      </c>
      <c r="H413" s="298"/>
      <c r="I413" s="372"/>
      <c r="J413" s="613">
        <f>F413+200</f>
        <v>2140</v>
      </c>
      <c r="K413" s="306">
        <f t="shared" ref="K413" si="1002">+J413*$X$1</f>
        <v>2140</v>
      </c>
      <c r="L413" s="613">
        <f>F413+110</f>
        <v>2050</v>
      </c>
      <c r="M413" s="306">
        <f t="shared" si="997"/>
        <v>2050</v>
      </c>
      <c r="N413" s="613">
        <f>F413+70</f>
        <v>2010</v>
      </c>
      <c r="O413" s="306">
        <f t="shared" si="998"/>
        <v>2010</v>
      </c>
      <c r="P413" s="613">
        <f>F413+60</f>
        <v>2000</v>
      </c>
      <c r="Q413" s="306">
        <f t="shared" si="999"/>
        <v>2000</v>
      </c>
      <c r="R413" s="613">
        <f>F413+52</f>
        <v>1992</v>
      </c>
      <c r="S413" s="306">
        <f t="shared" ref="S413" si="1003">+R413*$X$1</f>
        <v>1992</v>
      </c>
      <c r="T413" s="105">
        <f>F413+45</f>
        <v>1985</v>
      </c>
      <c r="U413" s="271">
        <f t="shared" ref="U413" si="1004">+T413*$X$1</f>
        <v>1985</v>
      </c>
      <c r="V413" s="105">
        <f>F413+40</f>
        <v>1980</v>
      </c>
      <c r="W413" s="271">
        <f t="shared" ref="W413" si="1005">+V413*$X$1</f>
        <v>1980</v>
      </c>
      <c r="X413" s="1139"/>
      <c r="Y413" s="1140"/>
      <c r="Z413" s="1140"/>
      <c r="AA413" s="1141"/>
      <c r="AB413" s="463">
        <v>11604</v>
      </c>
    </row>
    <row r="414" spans="1:35" ht="12.6" customHeight="1" x14ac:dyDescent="0.2">
      <c r="A414" s="18"/>
      <c r="B414" s="693" t="s">
        <v>563</v>
      </c>
      <c r="C414" s="911"/>
      <c r="D414" s="911"/>
      <c r="E414" s="911"/>
      <c r="F414" s="307">
        <v>1940</v>
      </c>
      <c r="G414" s="307">
        <f t="shared" si="993"/>
        <v>1940</v>
      </c>
      <c r="H414" s="297"/>
      <c r="I414" s="373"/>
      <c r="J414" s="548">
        <f>F414+300</f>
        <v>2240</v>
      </c>
      <c r="K414" s="307">
        <f t="shared" ref="K414" si="1006">+J414*$X$1</f>
        <v>2240</v>
      </c>
      <c r="L414" s="548">
        <f>F414+240</f>
        <v>2180</v>
      </c>
      <c r="M414" s="307">
        <f>+L414*$X$1</f>
        <v>2180</v>
      </c>
      <c r="N414" s="548">
        <f>F414+204</f>
        <v>2144</v>
      </c>
      <c r="O414" s="307">
        <f>+N414*$X$1</f>
        <v>2144</v>
      </c>
      <c r="P414" s="548">
        <f>F414+170</f>
        <v>2110</v>
      </c>
      <c r="Q414" s="307">
        <f t="shared" si="999"/>
        <v>2110</v>
      </c>
      <c r="R414" s="548">
        <f>F414+145</f>
        <v>2085</v>
      </c>
      <c r="S414" s="307">
        <f>+R414*$X$1</f>
        <v>2085</v>
      </c>
      <c r="T414" s="548">
        <f>F414+120</f>
        <v>2060</v>
      </c>
      <c r="U414" s="307">
        <f t="shared" ref="U414" si="1007">+T414*$X$1</f>
        <v>2060</v>
      </c>
      <c r="V414" s="548">
        <f>F414+110</f>
        <v>2050</v>
      </c>
      <c r="W414" s="307">
        <f>+V414*$X$1</f>
        <v>2050</v>
      </c>
      <c r="X414" s="1139"/>
      <c r="Y414" s="1140"/>
      <c r="Z414" s="1140"/>
      <c r="AA414" s="1141"/>
      <c r="AB414" s="463">
        <v>11605</v>
      </c>
    </row>
    <row r="415" spans="1:35" ht="12.6" customHeight="1" x14ac:dyDescent="0.2">
      <c r="A415" s="18"/>
      <c r="B415" s="1165" t="s">
        <v>899</v>
      </c>
      <c r="C415" s="1166"/>
      <c r="D415" s="1166"/>
      <c r="E415" s="1166"/>
      <c r="F415" s="306">
        <v>650</v>
      </c>
      <c r="G415" s="306">
        <f t="shared" si="1001"/>
        <v>650</v>
      </c>
      <c r="H415" s="298"/>
      <c r="I415" s="298"/>
      <c r="J415" s="613"/>
      <c r="K415" s="306"/>
      <c r="L415" s="613"/>
      <c r="M415" s="306"/>
      <c r="N415" s="613"/>
      <c r="O415" s="306"/>
      <c r="P415" s="613"/>
      <c r="Q415" s="306"/>
      <c r="R415" s="613"/>
      <c r="S415" s="306"/>
      <c r="T415" s="105"/>
      <c r="U415" s="271"/>
      <c r="V415" s="105"/>
      <c r="W415" s="271"/>
      <c r="X415" s="1139"/>
      <c r="Y415" s="1140"/>
      <c r="Z415" s="1140"/>
      <c r="AA415" s="1141"/>
      <c r="AB415" s="467"/>
    </row>
    <row r="416" spans="1:35" ht="12.6" customHeight="1" x14ac:dyDescent="0.2">
      <c r="A416" s="18"/>
      <c r="B416" s="669" t="s">
        <v>264</v>
      </c>
      <c r="C416" s="741"/>
      <c r="D416" s="741"/>
      <c r="E416" s="741"/>
      <c r="F416" s="307">
        <v>1070</v>
      </c>
      <c r="G416" s="307">
        <f t="shared" si="993"/>
        <v>1070</v>
      </c>
      <c r="H416" s="297"/>
      <c r="I416" s="297"/>
      <c r="J416" s="548">
        <f>F416+150</f>
        <v>1220</v>
      </c>
      <c r="K416" s="307">
        <f t="shared" ref="K416" si="1008">+J416*$X$1</f>
        <v>1220</v>
      </c>
      <c r="L416" s="548">
        <f>F416+100</f>
        <v>1170</v>
      </c>
      <c r="M416" s="307">
        <f t="shared" ref="M416" si="1009">+L416*$X$1</f>
        <v>1170</v>
      </c>
      <c r="N416" s="548">
        <f>F416+70</f>
        <v>1140</v>
      </c>
      <c r="O416" s="307">
        <f t="shared" ref="O416" si="1010">+N416*$X$1</f>
        <v>1140</v>
      </c>
      <c r="P416" s="548">
        <f>F416+55</f>
        <v>1125</v>
      </c>
      <c r="Q416" s="307">
        <f t="shared" ref="Q416" si="1011">+P416*$X$1</f>
        <v>1125</v>
      </c>
      <c r="R416" s="548">
        <f>F416+47</f>
        <v>1117</v>
      </c>
      <c r="S416" s="307">
        <f t="shared" ref="S416" si="1012">+R416*$X$1</f>
        <v>1117</v>
      </c>
      <c r="T416" s="104">
        <f>F416+40</f>
        <v>1110</v>
      </c>
      <c r="U416" s="328">
        <f t="shared" ref="U416" si="1013">+T416*$X$1</f>
        <v>1110</v>
      </c>
      <c r="V416" s="104">
        <f>F416+35</f>
        <v>1105</v>
      </c>
      <c r="W416" s="328">
        <f t="shared" ref="W416" si="1014">+V416*$X$1</f>
        <v>1105</v>
      </c>
      <c r="X416" s="159"/>
      <c r="Y416" s="136"/>
      <c r="Z416" s="136"/>
      <c r="AA416" s="136"/>
      <c r="AB416" s="468"/>
    </row>
    <row r="417" spans="1:33" ht="12.6" customHeight="1" x14ac:dyDescent="0.2">
      <c r="A417" s="108"/>
      <c r="B417" s="715" t="s">
        <v>265</v>
      </c>
      <c r="C417" s="1054"/>
      <c r="D417" s="1054"/>
      <c r="E417" s="1054"/>
      <c r="F417" s="364">
        <v>40</v>
      </c>
      <c r="G417" s="364">
        <f t="shared" si="993"/>
        <v>40</v>
      </c>
      <c r="H417" s="614"/>
      <c r="I417" s="614"/>
      <c r="J417" s="614"/>
      <c r="K417" s="614"/>
      <c r="L417" s="614"/>
      <c r="M417" s="614"/>
      <c r="N417" s="614"/>
      <c r="O417" s="364"/>
      <c r="P417" s="614"/>
      <c r="Q417" s="364"/>
      <c r="R417" s="614"/>
      <c r="S417" s="364"/>
      <c r="T417" s="614"/>
      <c r="U417" s="364"/>
      <c r="V417" s="614"/>
      <c r="W417" s="364"/>
      <c r="X417" s="159"/>
      <c r="Y417" s="136"/>
      <c r="Z417" s="136"/>
      <c r="AA417" s="136"/>
      <c r="AB417" s="201">
        <v>11612</v>
      </c>
    </row>
    <row r="418" spans="1:33" ht="12.6" customHeight="1" x14ac:dyDescent="0.2">
      <c r="A418" s="18"/>
      <c r="B418" s="682" t="s">
        <v>893</v>
      </c>
      <c r="C418" s="683"/>
      <c r="D418" s="683"/>
      <c r="E418" s="684"/>
      <c r="F418" s="418">
        <f>1.84*X2</f>
        <v>1786.64</v>
      </c>
      <c r="G418" s="307">
        <f t="shared" si="993"/>
        <v>1786.64</v>
      </c>
      <c r="H418" s="548">
        <f t="shared" ref="H418:H425" si="1015">F418+310</f>
        <v>2096.6400000000003</v>
      </c>
      <c r="I418" s="307">
        <f t="shared" ref="I418" si="1016">+H418*$X$1</f>
        <v>2096.6400000000003</v>
      </c>
      <c r="J418" s="548">
        <f t="shared" ref="J418:J425" si="1017">F418+120</f>
        <v>1906.64</v>
      </c>
      <c r="K418" s="307">
        <f t="shared" ref="K418" si="1018">+J418*$X$1</f>
        <v>1906.64</v>
      </c>
      <c r="L418" s="548">
        <f t="shared" ref="L418:L425" si="1019">F418+90</f>
        <v>1876.64</v>
      </c>
      <c r="M418" s="307">
        <f t="shared" ref="M418" si="1020">+L418*$X$1</f>
        <v>1876.64</v>
      </c>
      <c r="N418" s="548">
        <f t="shared" ref="N418:N425" si="1021">F418+55</f>
        <v>1841.64</v>
      </c>
      <c r="O418" s="307">
        <f t="shared" ref="O418" si="1022">+N418*$X$1</f>
        <v>1841.64</v>
      </c>
      <c r="P418" s="548">
        <f t="shared" ref="P418:P425" si="1023">F418+49</f>
        <v>1835.64</v>
      </c>
      <c r="Q418" s="307">
        <f t="shared" ref="Q418" si="1024">+P418*$X$1</f>
        <v>1835.64</v>
      </c>
      <c r="R418" s="548">
        <f t="shared" ref="R418:R425" si="1025">F418+42</f>
        <v>1828.64</v>
      </c>
      <c r="S418" s="307">
        <f t="shared" ref="S418" si="1026">+R418*$X$1</f>
        <v>1828.64</v>
      </c>
      <c r="T418" s="548">
        <f t="shared" ref="T418" si="1027">F418+36</f>
        <v>1822.64</v>
      </c>
      <c r="U418" s="307">
        <f t="shared" ref="U418" si="1028">+T418*$X$1</f>
        <v>1822.64</v>
      </c>
      <c r="V418" s="548">
        <f t="shared" ref="V418" si="1029">F418+32</f>
        <v>1818.64</v>
      </c>
      <c r="W418" s="307">
        <f t="shared" ref="W418" si="1030">+V418*$X$1</f>
        <v>1818.64</v>
      </c>
      <c r="X418" s="623"/>
      <c r="Y418" s="761"/>
      <c r="Z418" s="761"/>
      <c r="AA418" s="624"/>
      <c r="AB418" s="201" t="s">
        <v>894</v>
      </c>
    </row>
    <row r="419" spans="1:33" ht="12.6" customHeight="1" x14ac:dyDescent="0.2">
      <c r="A419" s="18"/>
      <c r="B419" s="641" t="s">
        <v>892</v>
      </c>
      <c r="C419" s="644"/>
      <c r="D419" s="644"/>
      <c r="E419" s="645"/>
      <c r="F419" s="417">
        <f>1.78*X2</f>
        <v>1728.38</v>
      </c>
      <c r="G419" s="306">
        <f t="shared" ref="G419" si="1031">+F419*$X$1</f>
        <v>1728.38</v>
      </c>
      <c r="H419" s="613">
        <f t="shared" si="1015"/>
        <v>2038.38</v>
      </c>
      <c r="I419" s="306">
        <f t="shared" ref="I419:I425" si="1032">+H419*$X$1</f>
        <v>2038.38</v>
      </c>
      <c r="J419" s="613">
        <f t="shared" si="1017"/>
        <v>1848.38</v>
      </c>
      <c r="K419" s="306">
        <f t="shared" ref="K419:K425" si="1033">+J419*$X$1</f>
        <v>1848.38</v>
      </c>
      <c r="L419" s="613">
        <f t="shared" si="1019"/>
        <v>1818.38</v>
      </c>
      <c r="M419" s="306">
        <f t="shared" ref="M419:M425" si="1034">+L419*$X$1</f>
        <v>1818.38</v>
      </c>
      <c r="N419" s="613">
        <f t="shared" si="1021"/>
        <v>1783.38</v>
      </c>
      <c r="O419" s="306">
        <f t="shared" ref="O419:O425" si="1035">+N419*$X$1</f>
        <v>1783.38</v>
      </c>
      <c r="P419" s="613">
        <f t="shared" si="1023"/>
        <v>1777.38</v>
      </c>
      <c r="Q419" s="306">
        <f t="shared" ref="Q419:Q425" si="1036">+P419*$X$1</f>
        <v>1777.38</v>
      </c>
      <c r="R419" s="613">
        <f t="shared" si="1025"/>
        <v>1770.38</v>
      </c>
      <c r="S419" s="306">
        <f t="shared" ref="S419:S425" si="1037">+R419*$X$1</f>
        <v>1770.38</v>
      </c>
      <c r="T419" s="613">
        <f t="shared" ref="T419:T425" si="1038">F419+36</f>
        <v>1764.38</v>
      </c>
      <c r="U419" s="306">
        <f t="shared" ref="U419:U425" si="1039">+T419*$X$1</f>
        <v>1764.38</v>
      </c>
      <c r="V419" s="613">
        <f t="shared" ref="V419:V425" si="1040">F419+32</f>
        <v>1760.38</v>
      </c>
      <c r="W419" s="306">
        <f t="shared" ref="W419:W425" si="1041">+V419*$X$1</f>
        <v>1760.38</v>
      </c>
      <c r="X419" s="623"/>
      <c r="Y419" s="761"/>
      <c r="Z419" s="761"/>
      <c r="AA419" s="624"/>
      <c r="AB419" s="201" t="s">
        <v>548</v>
      </c>
    </row>
    <row r="420" spans="1:33" ht="12.6" customHeight="1" x14ac:dyDescent="0.2">
      <c r="A420" s="108"/>
      <c r="B420" s="1018" t="s">
        <v>702</v>
      </c>
      <c r="C420" s="1019"/>
      <c r="D420" s="1019"/>
      <c r="E420" s="1019"/>
      <c r="F420" s="418">
        <f>3.98*X2</f>
        <v>3864.58</v>
      </c>
      <c r="G420" s="307">
        <f>+F420*$X$1</f>
        <v>3864.58</v>
      </c>
      <c r="H420" s="548">
        <f t="shared" si="1015"/>
        <v>4174.58</v>
      </c>
      <c r="I420" s="307">
        <f t="shared" si="1032"/>
        <v>4174.58</v>
      </c>
      <c r="J420" s="548">
        <f t="shared" si="1017"/>
        <v>3984.58</v>
      </c>
      <c r="K420" s="307">
        <f t="shared" si="1033"/>
        <v>3984.58</v>
      </c>
      <c r="L420" s="548">
        <f t="shared" si="1019"/>
        <v>3954.58</v>
      </c>
      <c r="M420" s="307">
        <f t="shared" si="1034"/>
        <v>3954.58</v>
      </c>
      <c r="N420" s="548">
        <f t="shared" si="1021"/>
        <v>3919.58</v>
      </c>
      <c r="O420" s="307">
        <f t="shared" si="1035"/>
        <v>3919.58</v>
      </c>
      <c r="P420" s="548">
        <f t="shared" si="1023"/>
        <v>3913.58</v>
      </c>
      <c r="Q420" s="307">
        <f t="shared" si="1036"/>
        <v>3913.58</v>
      </c>
      <c r="R420" s="548">
        <f t="shared" si="1025"/>
        <v>3906.58</v>
      </c>
      <c r="S420" s="307">
        <f t="shared" si="1037"/>
        <v>3906.58</v>
      </c>
      <c r="T420" s="548">
        <f t="shared" si="1038"/>
        <v>3900.58</v>
      </c>
      <c r="U420" s="307">
        <f t="shared" si="1039"/>
        <v>3900.58</v>
      </c>
      <c r="V420" s="548">
        <f t="shared" si="1040"/>
        <v>3896.58</v>
      </c>
      <c r="W420" s="307">
        <f t="shared" si="1041"/>
        <v>3896.58</v>
      </c>
      <c r="X420" s="623"/>
      <c r="Y420" s="623"/>
      <c r="Z420" s="623"/>
      <c r="AA420" s="623"/>
      <c r="AB420" s="451" t="s">
        <v>701</v>
      </c>
      <c r="AC420" s="66"/>
    </row>
    <row r="421" spans="1:33" ht="12.6" customHeight="1" x14ac:dyDescent="0.2">
      <c r="A421" s="108"/>
      <c r="B421" s="951" t="s">
        <v>692</v>
      </c>
      <c r="C421" s="952"/>
      <c r="D421" s="952"/>
      <c r="E421" s="952"/>
      <c r="F421" s="417">
        <f>4.836*X2</f>
        <v>4695.7560000000003</v>
      </c>
      <c r="G421" s="306">
        <f t="shared" ref="G421:G424" si="1042">+F421*$X$1</f>
        <v>4695.7560000000003</v>
      </c>
      <c r="H421" s="613">
        <f t="shared" si="1015"/>
        <v>5005.7560000000003</v>
      </c>
      <c r="I421" s="306">
        <f t="shared" si="1032"/>
        <v>5005.7560000000003</v>
      </c>
      <c r="J421" s="613">
        <f t="shared" si="1017"/>
        <v>4815.7560000000003</v>
      </c>
      <c r="K421" s="306">
        <f t="shared" si="1033"/>
        <v>4815.7560000000003</v>
      </c>
      <c r="L421" s="613">
        <f t="shared" si="1019"/>
        <v>4785.7560000000003</v>
      </c>
      <c r="M421" s="306">
        <f t="shared" si="1034"/>
        <v>4785.7560000000003</v>
      </c>
      <c r="N421" s="613">
        <f t="shared" si="1021"/>
        <v>4750.7560000000003</v>
      </c>
      <c r="O421" s="306">
        <f t="shared" si="1035"/>
        <v>4750.7560000000003</v>
      </c>
      <c r="P421" s="613">
        <f t="shared" si="1023"/>
        <v>4744.7560000000003</v>
      </c>
      <c r="Q421" s="306">
        <f t="shared" si="1036"/>
        <v>4744.7560000000003</v>
      </c>
      <c r="R421" s="613">
        <f t="shared" si="1025"/>
        <v>4737.7560000000003</v>
      </c>
      <c r="S421" s="306">
        <f t="shared" si="1037"/>
        <v>4737.7560000000003</v>
      </c>
      <c r="T421" s="613">
        <f t="shared" si="1038"/>
        <v>4731.7560000000003</v>
      </c>
      <c r="U421" s="306">
        <f t="shared" si="1039"/>
        <v>4731.7560000000003</v>
      </c>
      <c r="V421" s="613">
        <f t="shared" si="1040"/>
        <v>4727.7560000000003</v>
      </c>
      <c r="W421" s="306">
        <f t="shared" si="1041"/>
        <v>4727.7560000000003</v>
      </c>
      <c r="X421" s="623"/>
      <c r="Y421" s="623"/>
      <c r="Z421" s="623"/>
      <c r="AA421" s="623"/>
      <c r="AB421" s="451" t="s">
        <v>691</v>
      </c>
      <c r="AC421" s="66"/>
    </row>
    <row r="422" spans="1:33" ht="12.6" customHeight="1" x14ac:dyDescent="0.2">
      <c r="A422" s="108"/>
      <c r="B422" s="662" t="s">
        <v>875</v>
      </c>
      <c r="C422" s="1038"/>
      <c r="D422" s="1038"/>
      <c r="E422" s="1038"/>
      <c r="F422" s="418">
        <f>4.81*X2</f>
        <v>4670.5099999999993</v>
      </c>
      <c r="G422" s="307">
        <f t="shared" ref="G422" si="1043">+F422*$X$1</f>
        <v>4670.5099999999993</v>
      </c>
      <c r="H422" s="548">
        <f t="shared" si="1015"/>
        <v>4980.5099999999993</v>
      </c>
      <c r="I422" s="307">
        <f t="shared" si="1032"/>
        <v>4980.5099999999993</v>
      </c>
      <c r="J422" s="548">
        <f t="shared" si="1017"/>
        <v>4790.5099999999993</v>
      </c>
      <c r="K422" s="307">
        <f t="shared" si="1033"/>
        <v>4790.5099999999993</v>
      </c>
      <c r="L422" s="548">
        <f t="shared" si="1019"/>
        <v>4760.5099999999993</v>
      </c>
      <c r="M422" s="307">
        <f t="shared" si="1034"/>
        <v>4760.5099999999993</v>
      </c>
      <c r="N422" s="548">
        <f t="shared" si="1021"/>
        <v>4725.5099999999993</v>
      </c>
      <c r="O422" s="307">
        <f t="shared" si="1035"/>
        <v>4725.5099999999993</v>
      </c>
      <c r="P422" s="548">
        <f t="shared" si="1023"/>
        <v>4719.5099999999993</v>
      </c>
      <c r="Q422" s="307">
        <f t="shared" si="1036"/>
        <v>4719.5099999999993</v>
      </c>
      <c r="R422" s="548">
        <f t="shared" si="1025"/>
        <v>4712.5099999999993</v>
      </c>
      <c r="S422" s="307">
        <f t="shared" si="1037"/>
        <v>4712.5099999999993</v>
      </c>
      <c r="T422" s="548">
        <f t="shared" si="1038"/>
        <v>4706.5099999999993</v>
      </c>
      <c r="U422" s="307">
        <f t="shared" si="1039"/>
        <v>4706.5099999999993</v>
      </c>
      <c r="V422" s="548">
        <f t="shared" si="1040"/>
        <v>4702.5099999999993</v>
      </c>
      <c r="W422" s="307">
        <f t="shared" si="1041"/>
        <v>4702.5099999999993</v>
      </c>
      <c r="X422" s="623"/>
      <c r="Y422" s="623"/>
      <c r="Z422" s="623"/>
      <c r="AA422" s="623"/>
      <c r="AB422" s="451" t="s">
        <v>876</v>
      </c>
      <c r="AC422" s="66"/>
    </row>
    <row r="423" spans="1:33" ht="12.6" customHeight="1" x14ac:dyDescent="0.2">
      <c r="A423" s="108"/>
      <c r="B423" s="951" t="s">
        <v>695</v>
      </c>
      <c r="C423" s="952"/>
      <c r="D423" s="952"/>
      <c r="E423" s="952"/>
      <c r="F423" s="417">
        <f>4.056*X2</f>
        <v>3938.3760000000002</v>
      </c>
      <c r="G423" s="306">
        <f t="shared" si="1042"/>
        <v>3938.3760000000002</v>
      </c>
      <c r="H423" s="613">
        <f t="shared" si="1015"/>
        <v>4248.3760000000002</v>
      </c>
      <c r="I423" s="306">
        <f t="shared" si="1032"/>
        <v>4248.3760000000002</v>
      </c>
      <c r="J423" s="613">
        <f t="shared" si="1017"/>
        <v>4058.3760000000002</v>
      </c>
      <c r="K423" s="306">
        <f t="shared" si="1033"/>
        <v>4058.3760000000002</v>
      </c>
      <c r="L423" s="613">
        <f t="shared" si="1019"/>
        <v>4028.3760000000002</v>
      </c>
      <c r="M423" s="306">
        <f t="shared" si="1034"/>
        <v>4028.3760000000002</v>
      </c>
      <c r="N423" s="613">
        <f t="shared" si="1021"/>
        <v>3993.3760000000002</v>
      </c>
      <c r="O423" s="306">
        <f t="shared" si="1035"/>
        <v>3993.3760000000002</v>
      </c>
      <c r="P423" s="613">
        <f t="shared" si="1023"/>
        <v>3987.3760000000002</v>
      </c>
      <c r="Q423" s="306">
        <f t="shared" si="1036"/>
        <v>3987.3760000000002</v>
      </c>
      <c r="R423" s="613">
        <f t="shared" si="1025"/>
        <v>3980.3760000000002</v>
      </c>
      <c r="S423" s="306">
        <f t="shared" si="1037"/>
        <v>3980.3760000000002</v>
      </c>
      <c r="T423" s="613">
        <f t="shared" si="1038"/>
        <v>3974.3760000000002</v>
      </c>
      <c r="U423" s="306">
        <f t="shared" si="1039"/>
        <v>3974.3760000000002</v>
      </c>
      <c r="V423" s="613">
        <f t="shared" si="1040"/>
        <v>3970.3760000000002</v>
      </c>
      <c r="W423" s="306">
        <f t="shared" si="1041"/>
        <v>3970.3760000000002</v>
      </c>
      <c r="X423" s="623"/>
      <c r="Y423" s="623"/>
      <c r="Z423" s="623"/>
      <c r="AA423" s="623"/>
      <c r="AB423" s="451" t="s">
        <v>693</v>
      </c>
      <c r="AC423" s="66"/>
    </row>
    <row r="424" spans="1:33" ht="12.6" customHeight="1" x14ac:dyDescent="0.2">
      <c r="A424" s="108"/>
      <c r="B424" s="1018" t="s">
        <v>696</v>
      </c>
      <c r="C424" s="1019"/>
      <c r="D424" s="1019"/>
      <c r="E424" s="1019"/>
      <c r="F424" s="418">
        <f>4.056*X2</f>
        <v>3938.3760000000002</v>
      </c>
      <c r="G424" s="307">
        <f t="shared" si="1042"/>
        <v>3938.3760000000002</v>
      </c>
      <c r="H424" s="548">
        <f t="shared" si="1015"/>
        <v>4248.3760000000002</v>
      </c>
      <c r="I424" s="307">
        <f t="shared" si="1032"/>
        <v>4248.3760000000002</v>
      </c>
      <c r="J424" s="548">
        <f t="shared" si="1017"/>
        <v>4058.3760000000002</v>
      </c>
      <c r="K424" s="307">
        <f t="shared" si="1033"/>
        <v>4058.3760000000002</v>
      </c>
      <c r="L424" s="548">
        <f t="shared" si="1019"/>
        <v>4028.3760000000002</v>
      </c>
      <c r="M424" s="307">
        <f t="shared" si="1034"/>
        <v>4028.3760000000002</v>
      </c>
      <c r="N424" s="548">
        <f t="shared" si="1021"/>
        <v>3993.3760000000002</v>
      </c>
      <c r="O424" s="307">
        <f t="shared" si="1035"/>
        <v>3993.3760000000002</v>
      </c>
      <c r="P424" s="548">
        <f t="shared" si="1023"/>
        <v>3987.3760000000002</v>
      </c>
      <c r="Q424" s="307">
        <f t="shared" si="1036"/>
        <v>3987.3760000000002</v>
      </c>
      <c r="R424" s="548">
        <f t="shared" si="1025"/>
        <v>3980.3760000000002</v>
      </c>
      <c r="S424" s="307">
        <f t="shared" si="1037"/>
        <v>3980.3760000000002</v>
      </c>
      <c r="T424" s="548">
        <f t="shared" si="1038"/>
        <v>3974.3760000000002</v>
      </c>
      <c r="U424" s="307">
        <f t="shared" si="1039"/>
        <v>3974.3760000000002</v>
      </c>
      <c r="V424" s="548">
        <f t="shared" si="1040"/>
        <v>3970.3760000000002</v>
      </c>
      <c r="W424" s="307">
        <f t="shared" si="1041"/>
        <v>3970.3760000000002</v>
      </c>
      <c r="X424" s="623"/>
      <c r="Y424" s="623"/>
      <c r="Z424" s="623"/>
      <c r="AA424" s="623"/>
      <c r="AB424" s="451" t="s">
        <v>694</v>
      </c>
      <c r="AC424" s="66"/>
    </row>
    <row r="425" spans="1:33" ht="12.6" customHeight="1" x14ac:dyDescent="0.2">
      <c r="A425" s="108"/>
      <c r="B425" s="951" t="s">
        <v>697</v>
      </c>
      <c r="C425" s="952"/>
      <c r="D425" s="952"/>
      <c r="E425" s="952"/>
      <c r="F425" s="417">
        <f>4.036*X2</f>
        <v>3918.9559999999997</v>
      </c>
      <c r="G425" s="306">
        <f t="shared" ref="G425" si="1044">+F425*$X$1</f>
        <v>3918.9559999999997</v>
      </c>
      <c r="H425" s="613">
        <f t="shared" si="1015"/>
        <v>4228.9560000000001</v>
      </c>
      <c r="I425" s="306">
        <f t="shared" si="1032"/>
        <v>4228.9560000000001</v>
      </c>
      <c r="J425" s="613">
        <f t="shared" si="1017"/>
        <v>4038.9559999999997</v>
      </c>
      <c r="K425" s="306">
        <f t="shared" si="1033"/>
        <v>4038.9559999999997</v>
      </c>
      <c r="L425" s="613">
        <f t="shared" si="1019"/>
        <v>4008.9559999999997</v>
      </c>
      <c r="M425" s="306">
        <f t="shared" si="1034"/>
        <v>4008.9559999999997</v>
      </c>
      <c r="N425" s="613">
        <f t="shared" si="1021"/>
        <v>3973.9559999999997</v>
      </c>
      <c r="O425" s="306">
        <f t="shared" si="1035"/>
        <v>3973.9559999999997</v>
      </c>
      <c r="P425" s="613">
        <f t="shared" si="1023"/>
        <v>3967.9559999999997</v>
      </c>
      <c r="Q425" s="306">
        <f t="shared" si="1036"/>
        <v>3967.9559999999997</v>
      </c>
      <c r="R425" s="613">
        <f t="shared" si="1025"/>
        <v>3960.9559999999997</v>
      </c>
      <c r="S425" s="306">
        <f t="shared" si="1037"/>
        <v>3960.9559999999997</v>
      </c>
      <c r="T425" s="613">
        <f t="shared" si="1038"/>
        <v>3954.9559999999997</v>
      </c>
      <c r="U425" s="306">
        <f t="shared" si="1039"/>
        <v>3954.9559999999997</v>
      </c>
      <c r="V425" s="613">
        <f t="shared" si="1040"/>
        <v>3950.9559999999997</v>
      </c>
      <c r="W425" s="306">
        <f t="shared" si="1041"/>
        <v>3950.9559999999997</v>
      </c>
      <c r="X425" s="623"/>
      <c r="Y425" s="623"/>
      <c r="Z425" s="623"/>
      <c r="AA425" s="623"/>
      <c r="AB425" s="451" t="s">
        <v>698</v>
      </c>
      <c r="AC425" s="66"/>
    </row>
    <row r="426" spans="1:33" ht="12.6" customHeight="1" x14ac:dyDescent="0.2">
      <c r="A426" s="18"/>
      <c r="B426" s="682" t="s">
        <v>362</v>
      </c>
      <c r="C426" s="683"/>
      <c r="D426" s="683"/>
      <c r="E426" s="684"/>
      <c r="F426" s="307">
        <v>1100</v>
      </c>
      <c r="G426" s="307">
        <f t="shared" ref="G426:G436" si="1045">+F426*$X$1</f>
        <v>1100</v>
      </c>
      <c r="H426" s="276"/>
      <c r="I426" s="1151" t="s">
        <v>533</v>
      </c>
      <c r="J426" s="1167"/>
      <c r="K426" s="1167"/>
      <c r="L426" s="1167"/>
      <c r="M426" s="1168"/>
      <c r="N426" s="542">
        <v>1600</v>
      </c>
      <c r="O426" s="307">
        <f>+N426*$X$1</f>
        <v>1600</v>
      </c>
      <c r="P426" s="109">
        <v>1570</v>
      </c>
      <c r="Q426" s="307">
        <f t="shared" ref="Q426" si="1046">+P426*$X$1</f>
        <v>1570</v>
      </c>
      <c r="R426" s="542">
        <v>1400</v>
      </c>
      <c r="S426" s="307">
        <f>+R426*$X$1</f>
        <v>1400</v>
      </c>
      <c r="T426" s="542">
        <v>1310</v>
      </c>
      <c r="U426" s="307">
        <f>+T426*$X$1</f>
        <v>1310</v>
      </c>
      <c r="V426" s="542">
        <v>1265</v>
      </c>
      <c r="W426" s="307">
        <f t="shared" ref="W426" si="1047">+V426*$X$1</f>
        <v>1265</v>
      </c>
      <c r="X426" s="140"/>
      <c r="Y426" s="140"/>
      <c r="Z426" s="140"/>
      <c r="AA426" s="143"/>
      <c r="AB426" s="29"/>
    </row>
    <row r="427" spans="1:33" ht="12.6" customHeight="1" x14ac:dyDescent="0.2">
      <c r="A427" s="18"/>
      <c r="B427" s="641" t="s">
        <v>363</v>
      </c>
      <c r="C427" s="644"/>
      <c r="D427" s="644"/>
      <c r="E427" s="645"/>
      <c r="F427" s="306">
        <v>1100</v>
      </c>
      <c r="G427" s="306">
        <f t="shared" si="1045"/>
        <v>1100</v>
      </c>
      <c r="H427" s="276"/>
      <c r="I427" s="1169"/>
      <c r="J427" s="1170"/>
      <c r="K427" s="1170"/>
      <c r="L427" s="1170"/>
      <c r="M427" s="1171"/>
      <c r="N427" s="340">
        <v>1600</v>
      </c>
      <c r="O427" s="306">
        <f>+N427*$X$1</f>
        <v>1600</v>
      </c>
      <c r="P427" s="103">
        <v>1570</v>
      </c>
      <c r="Q427" s="306">
        <f t="shared" ref="Q427:Q430" si="1048">+P427*$X$1</f>
        <v>1570</v>
      </c>
      <c r="R427" s="340">
        <v>1400</v>
      </c>
      <c r="S427" s="306">
        <f>+R427*$X$1</f>
        <v>1400</v>
      </c>
      <c r="T427" s="340">
        <v>1310</v>
      </c>
      <c r="U427" s="306">
        <f>+T427*$X$1</f>
        <v>1310</v>
      </c>
      <c r="V427" s="340">
        <v>1265</v>
      </c>
      <c r="W427" s="306">
        <f t="shared" ref="W427:W430" si="1049">+V427*$X$1</f>
        <v>1265</v>
      </c>
      <c r="X427" s="140"/>
      <c r="Y427" s="140"/>
      <c r="Z427" s="140"/>
      <c r="AA427" s="143"/>
      <c r="AB427" s="201"/>
    </row>
    <row r="428" spans="1:33" ht="12.6" customHeight="1" x14ac:dyDescent="0.2">
      <c r="A428" s="18"/>
      <c r="B428" s="682" t="s">
        <v>364</v>
      </c>
      <c r="C428" s="683"/>
      <c r="D428" s="683"/>
      <c r="E428" s="684"/>
      <c r="F428" s="307">
        <v>1100</v>
      </c>
      <c r="G428" s="307">
        <f t="shared" si="1045"/>
        <v>1100</v>
      </c>
      <c r="H428" s="17"/>
      <c r="I428" s="1172"/>
      <c r="J428" s="1173"/>
      <c r="K428" s="1173"/>
      <c r="L428" s="1173"/>
      <c r="M428" s="1174"/>
      <c r="N428" s="542">
        <v>1600</v>
      </c>
      <c r="O428" s="307">
        <f>+N428*$X$1</f>
        <v>1600</v>
      </c>
      <c r="P428" s="109">
        <v>1570</v>
      </c>
      <c r="Q428" s="307">
        <f t="shared" si="1048"/>
        <v>1570</v>
      </c>
      <c r="R428" s="542">
        <v>1400</v>
      </c>
      <c r="S428" s="307">
        <f>+R428*$X$1</f>
        <v>1400</v>
      </c>
      <c r="T428" s="542">
        <v>1310</v>
      </c>
      <c r="U428" s="307">
        <f>+T428*$X$1</f>
        <v>1310</v>
      </c>
      <c r="V428" s="542">
        <v>1265</v>
      </c>
      <c r="W428" s="307">
        <f t="shared" si="1049"/>
        <v>1265</v>
      </c>
      <c r="X428" s="140"/>
      <c r="Y428" s="140"/>
      <c r="Z428" s="140"/>
      <c r="AA428" s="143"/>
      <c r="AB428" s="201"/>
      <c r="AG428" s="237"/>
    </row>
    <row r="429" spans="1:33" ht="12.6" customHeight="1" x14ac:dyDescent="0.2">
      <c r="A429" s="18"/>
      <c r="B429" s="1133" t="s">
        <v>266</v>
      </c>
      <c r="C429" s="1134"/>
      <c r="D429" s="1134"/>
      <c r="E429" s="1134"/>
      <c r="F429" s="417">
        <f>3.11*X2</f>
        <v>3019.81</v>
      </c>
      <c r="G429" s="306">
        <f t="shared" si="1045"/>
        <v>3019.81</v>
      </c>
      <c r="H429" s="298"/>
      <c r="I429" s="298"/>
      <c r="J429" s="613">
        <f>F429+150</f>
        <v>3169.81</v>
      </c>
      <c r="K429" s="306">
        <f t="shared" ref="K429:K430" si="1050">+J429*$X$1</f>
        <v>3169.81</v>
      </c>
      <c r="L429" s="613">
        <f>F429+90</f>
        <v>3109.81</v>
      </c>
      <c r="M429" s="306">
        <f t="shared" ref="M429:M430" si="1051">+L429*$X$1</f>
        <v>3109.81</v>
      </c>
      <c r="N429" s="613">
        <f>F429+55</f>
        <v>3074.81</v>
      </c>
      <c r="O429" s="306">
        <f t="shared" ref="O429:O430" si="1052">+N429*$X$1</f>
        <v>3074.81</v>
      </c>
      <c r="P429" s="613">
        <f>F429+50</f>
        <v>3069.81</v>
      </c>
      <c r="Q429" s="306">
        <f t="shared" si="1048"/>
        <v>3069.81</v>
      </c>
      <c r="R429" s="613">
        <f>F429+42</f>
        <v>3061.81</v>
      </c>
      <c r="S429" s="306">
        <f t="shared" ref="S429:S430" si="1053">+R429*$X$1</f>
        <v>3061.81</v>
      </c>
      <c r="T429" s="105">
        <f>F429+35</f>
        <v>3054.81</v>
      </c>
      <c r="U429" s="271">
        <f t="shared" ref="U429:U430" si="1054">+T429*$X$1</f>
        <v>3054.81</v>
      </c>
      <c r="V429" s="105">
        <f>F429+30</f>
        <v>3049.81</v>
      </c>
      <c r="W429" s="271">
        <f t="shared" si="1049"/>
        <v>3049.81</v>
      </c>
      <c r="X429" s="639"/>
      <c r="Y429" s="639"/>
      <c r="Z429" s="639"/>
      <c r="AA429" s="640"/>
      <c r="AB429" s="201" t="s">
        <v>267</v>
      </c>
    </row>
    <row r="430" spans="1:33" ht="12.6" customHeight="1" x14ac:dyDescent="0.2">
      <c r="A430" s="18"/>
      <c r="B430" s="669" t="s">
        <v>423</v>
      </c>
      <c r="C430" s="670"/>
      <c r="D430" s="670"/>
      <c r="E430" s="670"/>
      <c r="F430" s="418">
        <f>1.6*X2</f>
        <v>1553.6000000000001</v>
      </c>
      <c r="G430" s="307">
        <f t="shared" si="1045"/>
        <v>1553.6000000000001</v>
      </c>
      <c r="H430" s="297"/>
      <c r="I430" s="297"/>
      <c r="J430" s="548">
        <f>F430+150</f>
        <v>1703.6000000000001</v>
      </c>
      <c r="K430" s="307">
        <f t="shared" si="1050"/>
        <v>1703.6000000000001</v>
      </c>
      <c r="L430" s="548">
        <f>F430+90</f>
        <v>1643.6000000000001</v>
      </c>
      <c r="M430" s="307">
        <f t="shared" si="1051"/>
        <v>1643.6000000000001</v>
      </c>
      <c r="N430" s="548">
        <f>F430+55</f>
        <v>1608.6000000000001</v>
      </c>
      <c r="O430" s="307">
        <f t="shared" si="1052"/>
        <v>1608.6000000000001</v>
      </c>
      <c r="P430" s="548">
        <f>F430+50</f>
        <v>1603.6000000000001</v>
      </c>
      <c r="Q430" s="307">
        <f t="shared" si="1048"/>
        <v>1603.6000000000001</v>
      </c>
      <c r="R430" s="548">
        <f>F430+42</f>
        <v>1595.6000000000001</v>
      </c>
      <c r="S430" s="307">
        <f t="shared" si="1053"/>
        <v>1595.6000000000001</v>
      </c>
      <c r="T430" s="104">
        <f>F430+35</f>
        <v>1588.6000000000001</v>
      </c>
      <c r="U430" s="328">
        <f t="shared" si="1054"/>
        <v>1588.6000000000001</v>
      </c>
      <c r="V430" s="104">
        <f>F430+30</f>
        <v>1583.6000000000001</v>
      </c>
      <c r="W430" s="328">
        <f t="shared" si="1049"/>
        <v>1583.6000000000001</v>
      </c>
      <c r="X430" s="639"/>
      <c r="Y430" s="639"/>
      <c r="Z430" s="639"/>
      <c r="AA430" s="640"/>
      <c r="AB430" s="201" t="s">
        <v>461</v>
      </c>
    </row>
    <row r="431" spans="1:33" s="66" customFormat="1" ht="12.6" customHeight="1" x14ac:dyDescent="0.25">
      <c r="A431" s="98"/>
      <c r="B431" s="721" t="s">
        <v>360</v>
      </c>
      <c r="C431" s="1175"/>
      <c r="D431" s="1175"/>
      <c r="E431" s="1175"/>
      <c r="F431" s="306">
        <v>596</v>
      </c>
      <c r="G431" s="306">
        <f t="shared" si="1045"/>
        <v>596</v>
      </c>
      <c r="H431" s="296"/>
      <c r="I431" s="1151" t="s">
        <v>529</v>
      </c>
      <c r="J431" s="1152"/>
      <c r="K431" s="1152"/>
      <c r="L431" s="1153"/>
      <c r="M431" s="1154"/>
      <c r="N431" s="340">
        <v>1160</v>
      </c>
      <c r="O431" s="306">
        <f t="shared" ref="O431:O440" si="1055">+N431*$X$1</f>
        <v>1160</v>
      </c>
      <c r="P431" s="318">
        <v>1151</v>
      </c>
      <c r="Q431" s="306">
        <f t="shared" ref="Q431:Q440" si="1056">+P431*$X$1</f>
        <v>1151</v>
      </c>
      <c r="R431" s="340">
        <v>1070</v>
      </c>
      <c r="S431" s="306">
        <f t="shared" ref="S431:S440" si="1057">+R431*$X$1</f>
        <v>1070</v>
      </c>
      <c r="T431" s="340">
        <v>977</v>
      </c>
      <c r="U431" s="306">
        <f t="shared" ref="U431:U440" si="1058">+T431*$X$1</f>
        <v>977</v>
      </c>
      <c r="V431" s="340">
        <v>924</v>
      </c>
      <c r="W431" s="306">
        <f t="shared" ref="W431:W440" si="1059">+V431*$X$1</f>
        <v>924</v>
      </c>
      <c r="X431" s="157"/>
      <c r="Y431" s="157"/>
      <c r="Z431" s="157"/>
      <c r="AA431" s="158"/>
      <c r="AB431" s="469" t="s">
        <v>268</v>
      </c>
    </row>
    <row r="432" spans="1:33" s="66" customFormat="1" ht="12.6" customHeight="1" x14ac:dyDescent="0.25">
      <c r="A432" s="98"/>
      <c r="B432" s="669" t="s">
        <v>361</v>
      </c>
      <c r="C432" s="670"/>
      <c r="D432" s="670"/>
      <c r="E432" s="670"/>
      <c r="F432" s="307">
        <v>596</v>
      </c>
      <c r="G432" s="307">
        <f t="shared" si="1045"/>
        <v>596</v>
      </c>
      <c r="H432" s="302"/>
      <c r="I432" s="1155"/>
      <c r="J432" s="1156"/>
      <c r="K432" s="1156"/>
      <c r="L432" s="1157"/>
      <c r="M432" s="1158"/>
      <c r="N432" s="548">
        <v>1461</v>
      </c>
      <c r="O432" s="307">
        <f t="shared" si="1055"/>
        <v>1461</v>
      </c>
      <c r="P432" s="317">
        <v>1449</v>
      </c>
      <c r="Q432" s="307">
        <f t="shared" si="1056"/>
        <v>1449</v>
      </c>
      <c r="R432" s="548">
        <v>1376</v>
      </c>
      <c r="S432" s="307">
        <f t="shared" si="1057"/>
        <v>1376</v>
      </c>
      <c r="T432" s="548">
        <v>1330</v>
      </c>
      <c r="U432" s="307">
        <f t="shared" si="1058"/>
        <v>1330</v>
      </c>
      <c r="V432" s="548">
        <v>1259</v>
      </c>
      <c r="W432" s="307">
        <f t="shared" si="1059"/>
        <v>1259</v>
      </c>
      <c r="X432" s="179"/>
      <c r="Y432" s="140"/>
      <c r="Z432" s="140"/>
      <c r="AA432" s="143"/>
      <c r="AB432" s="470"/>
    </row>
    <row r="433" spans="1:31" s="66" customFormat="1" ht="12.6" customHeight="1" x14ac:dyDescent="0.25">
      <c r="A433" s="98"/>
      <c r="B433" s="625" t="s">
        <v>376</v>
      </c>
      <c r="C433" s="626"/>
      <c r="D433" s="626"/>
      <c r="E433" s="626"/>
      <c r="F433" s="306">
        <v>596</v>
      </c>
      <c r="G433" s="306">
        <f t="shared" si="1045"/>
        <v>596</v>
      </c>
      <c r="H433" s="294"/>
      <c r="I433" s="1155"/>
      <c r="J433" s="1156"/>
      <c r="K433" s="1156"/>
      <c r="L433" s="1157"/>
      <c r="M433" s="1158"/>
      <c r="N433" s="568">
        <v>1160</v>
      </c>
      <c r="O433" s="306">
        <f t="shared" ref="O433:O434" si="1060">+N433*$X$1</f>
        <v>1160</v>
      </c>
      <c r="P433" s="318">
        <v>1151</v>
      </c>
      <c r="Q433" s="306">
        <f t="shared" ref="Q433:Q434" si="1061">+P433*$X$1</f>
        <v>1151</v>
      </c>
      <c r="R433" s="568">
        <v>1070</v>
      </c>
      <c r="S433" s="306">
        <f t="shared" ref="S433:S434" si="1062">+R433*$X$1</f>
        <v>1070</v>
      </c>
      <c r="T433" s="568">
        <v>977</v>
      </c>
      <c r="U433" s="306">
        <f t="shared" ref="U433:U434" si="1063">+T433*$X$1</f>
        <v>977</v>
      </c>
      <c r="V433" s="568">
        <v>924</v>
      </c>
      <c r="W433" s="306">
        <f t="shared" ref="W433:W434" si="1064">+V433*$X$1</f>
        <v>924</v>
      </c>
      <c r="X433" s="140"/>
      <c r="Y433" s="140"/>
      <c r="Z433" s="140"/>
      <c r="AA433" s="143"/>
      <c r="AB433" s="469" t="s">
        <v>269</v>
      </c>
    </row>
    <row r="434" spans="1:31" s="66" customFormat="1" ht="12" customHeight="1" x14ac:dyDescent="0.25">
      <c r="A434" s="98"/>
      <c r="B434" s="669" t="s">
        <v>377</v>
      </c>
      <c r="C434" s="670"/>
      <c r="D434" s="670"/>
      <c r="E434" s="670"/>
      <c r="F434" s="307">
        <v>596</v>
      </c>
      <c r="G434" s="307">
        <f t="shared" si="1045"/>
        <v>596</v>
      </c>
      <c r="H434" s="302"/>
      <c r="I434" s="1155"/>
      <c r="J434" s="1156"/>
      <c r="K434" s="1156"/>
      <c r="L434" s="1157"/>
      <c r="M434" s="1158"/>
      <c r="N434" s="548">
        <v>1461</v>
      </c>
      <c r="O434" s="307">
        <f t="shared" si="1060"/>
        <v>1461</v>
      </c>
      <c r="P434" s="317">
        <v>1449</v>
      </c>
      <c r="Q434" s="307">
        <f t="shared" si="1061"/>
        <v>1449</v>
      </c>
      <c r="R434" s="548">
        <v>1376</v>
      </c>
      <c r="S434" s="307">
        <f t="shared" si="1062"/>
        <v>1376</v>
      </c>
      <c r="T434" s="548">
        <v>1330</v>
      </c>
      <c r="U434" s="307">
        <f t="shared" si="1063"/>
        <v>1330</v>
      </c>
      <c r="V434" s="548">
        <v>1259</v>
      </c>
      <c r="W434" s="307">
        <f t="shared" si="1064"/>
        <v>1259</v>
      </c>
      <c r="X434" s="157"/>
      <c r="Y434" s="157"/>
      <c r="Z434" s="140"/>
      <c r="AA434" s="143"/>
      <c r="AB434" s="470"/>
    </row>
    <row r="435" spans="1:31" s="66" customFormat="1" ht="12.6" customHeight="1" x14ac:dyDescent="0.25">
      <c r="A435" s="98"/>
      <c r="B435" s="625" t="s">
        <v>270</v>
      </c>
      <c r="C435" s="626"/>
      <c r="D435" s="626"/>
      <c r="E435" s="626"/>
      <c r="F435" s="306">
        <v>596</v>
      </c>
      <c r="G435" s="306">
        <f t="shared" si="1045"/>
        <v>596</v>
      </c>
      <c r="H435" s="294"/>
      <c r="I435" s="1159"/>
      <c r="J435" s="1160"/>
      <c r="K435" s="1160"/>
      <c r="L435" s="1157"/>
      <c r="M435" s="1158"/>
      <c r="N435" s="568">
        <v>1320</v>
      </c>
      <c r="O435" s="306">
        <f t="shared" ref="O435" si="1065">+N435*$X$1</f>
        <v>1320</v>
      </c>
      <c r="P435" s="571">
        <v>1305</v>
      </c>
      <c r="Q435" s="306">
        <f t="shared" ref="Q435" si="1066">+P435*$X$1</f>
        <v>1305</v>
      </c>
      <c r="R435" s="438">
        <v>1172</v>
      </c>
      <c r="S435" s="306">
        <f t="shared" ref="S435" si="1067">+R435*$X$1</f>
        <v>1172</v>
      </c>
      <c r="T435" s="438">
        <v>1090</v>
      </c>
      <c r="U435" s="306">
        <f t="shared" ref="U435" si="1068">+T435*$X$1</f>
        <v>1090</v>
      </c>
      <c r="V435" s="438">
        <v>1025</v>
      </c>
      <c r="W435" s="306">
        <f t="shared" ref="W435" si="1069">+V435*$X$1</f>
        <v>1025</v>
      </c>
      <c r="X435" s="140"/>
      <c r="Y435" s="140"/>
      <c r="Z435" s="140"/>
      <c r="AA435" s="143"/>
      <c r="AB435" s="469" t="s">
        <v>271</v>
      </c>
      <c r="AE435" s="255"/>
    </row>
    <row r="436" spans="1:31" s="66" customFormat="1" ht="12.6" customHeight="1" x14ac:dyDescent="0.25">
      <c r="A436" s="98"/>
      <c r="B436" s="669" t="s">
        <v>272</v>
      </c>
      <c r="C436" s="670"/>
      <c r="D436" s="670"/>
      <c r="E436" s="670"/>
      <c r="F436" s="307">
        <v>596</v>
      </c>
      <c r="G436" s="307">
        <f t="shared" si="1045"/>
        <v>596</v>
      </c>
      <c r="H436" s="302"/>
      <c r="I436" s="1161"/>
      <c r="J436" s="1162"/>
      <c r="K436" s="1162"/>
      <c r="L436" s="1162"/>
      <c r="M436" s="1163"/>
      <c r="N436" s="548">
        <v>1598</v>
      </c>
      <c r="O436" s="307">
        <f t="shared" si="1055"/>
        <v>1598</v>
      </c>
      <c r="P436" s="317">
        <v>1586</v>
      </c>
      <c r="Q436" s="307">
        <f t="shared" si="1056"/>
        <v>1586</v>
      </c>
      <c r="R436" s="548">
        <v>1510</v>
      </c>
      <c r="S436" s="307">
        <f t="shared" si="1057"/>
        <v>1510</v>
      </c>
      <c r="T436" s="548">
        <v>1473</v>
      </c>
      <c r="U436" s="307">
        <f t="shared" si="1058"/>
        <v>1473</v>
      </c>
      <c r="V436" s="548">
        <v>1403</v>
      </c>
      <c r="W436" s="307">
        <f t="shared" si="1059"/>
        <v>1403</v>
      </c>
      <c r="X436" s="140"/>
      <c r="Y436" s="140"/>
      <c r="Z436" s="140"/>
      <c r="AA436" s="143"/>
      <c r="AB436" s="469" t="s">
        <v>273</v>
      </c>
    </row>
    <row r="437" spans="1:31" ht="12.6" customHeight="1" x14ac:dyDescent="0.2">
      <c r="A437" s="18"/>
      <c r="B437" s="641" t="s">
        <v>274</v>
      </c>
      <c r="C437" s="644"/>
      <c r="D437" s="644"/>
      <c r="E437" s="645"/>
      <c r="F437" s="417">
        <f>2.95*X2</f>
        <v>2864.4500000000003</v>
      </c>
      <c r="G437" s="306">
        <f t="shared" ref="G437:G438" si="1070">+F437*$X$1</f>
        <v>2864.4500000000003</v>
      </c>
      <c r="H437" s="613">
        <f t="shared" ref="H437:H442" si="1071">F437+310</f>
        <v>3174.4500000000003</v>
      </c>
      <c r="I437" s="306">
        <f t="shared" ref="I437:I441" si="1072">+H437*$X$1</f>
        <v>3174.4500000000003</v>
      </c>
      <c r="J437" s="613">
        <f t="shared" ref="J437:J442" si="1073">F437+120</f>
        <v>2984.4500000000003</v>
      </c>
      <c r="K437" s="306">
        <f t="shared" ref="K437:K441" si="1074">+J437*$X$1</f>
        <v>2984.4500000000003</v>
      </c>
      <c r="L437" s="613">
        <f>F437+90</f>
        <v>2954.4500000000003</v>
      </c>
      <c r="M437" s="306">
        <f t="shared" ref="M437:M440" si="1075">+L437*$X$1</f>
        <v>2954.4500000000003</v>
      </c>
      <c r="N437" s="613">
        <f>F437+55</f>
        <v>2919.4500000000003</v>
      </c>
      <c r="O437" s="306">
        <f t="shared" si="1055"/>
        <v>2919.4500000000003</v>
      </c>
      <c r="P437" s="613">
        <f>F437+49</f>
        <v>2913.4500000000003</v>
      </c>
      <c r="Q437" s="306">
        <f t="shared" si="1056"/>
        <v>2913.4500000000003</v>
      </c>
      <c r="R437" s="613">
        <f>F437+42</f>
        <v>2906.4500000000003</v>
      </c>
      <c r="S437" s="306">
        <f t="shared" si="1057"/>
        <v>2906.4500000000003</v>
      </c>
      <c r="T437" s="613">
        <f t="shared" ref="T437:T440" si="1076">F437+36</f>
        <v>2900.4500000000003</v>
      </c>
      <c r="U437" s="306">
        <f t="shared" si="1058"/>
        <v>2900.4500000000003</v>
      </c>
      <c r="V437" s="613">
        <f t="shared" ref="V437:V440" si="1077">F437+32</f>
        <v>2896.4500000000003</v>
      </c>
      <c r="W437" s="306">
        <f t="shared" si="1059"/>
        <v>2896.4500000000003</v>
      </c>
      <c r="X437" s="623"/>
      <c r="Y437" s="623"/>
      <c r="Z437" s="623"/>
      <c r="AA437" s="624"/>
      <c r="AB437" s="201" t="s">
        <v>275</v>
      </c>
    </row>
    <row r="438" spans="1:31" ht="12.6" customHeight="1" x14ac:dyDescent="0.2">
      <c r="A438" s="18"/>
      <c r="B438" s="682" t="s">
        <v>276</v>
      </c>
      <c r="C438" s="683"/>
      <c r="D438" s="683"/>
      <c r="E438" s="684"/>
      <c r="F438" s="418">
        <f>2.23*X2</f>
        <v>2165.33</v>
      </c>
      <c r="G438" s="307">
        <f t="shared" si="1070"/>
        <v>2165.33</v>
      </c>
      <c r="H438" s="548">
        <f t="shared" si="1071"/>
        <v>2475.33</v>
      </c>
      <c r="I438" s="307">
        <f t="shared" si="1072"/>
        <v>2475.33</v>
      </c>
      <c r="J438" s="548">
        <f t="shared" si="1073"/>
        <v>2285.33</v>
      </c>
      <c r="K438" s="307">
        <f t="shared" si="1074"/>
        <v>2285.33</v>
      </c>
      <c r="L438" s="548">
        <f>F438+90</f>
        <v>2255.33</v>
      </c>
      <c r="M438" s="307">
        <f t="shared" si="1075"/>
        <v>2255.33</v>
      </c>
      <c r="N438" s="548">
        <f>F438+55</f>
        <v>2220.33</v>
      </c>
      <c r="O438" s="307">
        <f t="shared" si="1055"/>
        <v>2220.33</v>
      </c>
      <c r="P438" s="548">
        <f>F438+49</f>
        <v>2214.33</v>
      </c>
      <c r="Q438" s="307">
        <f t="shared" si="1056"/>
        <v>2214.33</v>
      </c>
      <c r="R438" s="548">
        <f>F438+42</f>
        <v>2207.33</v>
      </c>
      <c r="S438" s="307">
        <f t="shared" si="1057"/>
        <v>2207.33</v>
      </c>
      <c r="T438" s="548">
        <f t="shared" si="1076"/>
        <v>2201.33</v>
      </c>
      <c r="U438" s="307">
        <f t="shared" si="1058"/>
        <v>2201.33</v>
      </c>
      <c r="V438" s="548">
        <f t="shared" si="1077"/>
        <v>2197.33</v>
      </c>
      <c r="W438" s="307">
        <f t="shared" si="1059"/>
        <v>2197.33</v>
      </c>
      <c r="X438" s="623"/>
      <c r="Y438" s="623"/>
      <c r="Z438" s="623"/>
      <c r="AA438" s="624"/>
      <c r="AB438" s="201" t="s">
        <v>454</v>
      </c>
    </row>
    <row r="439" spans="1:31" ht="12.6" customHeight="1" x14ac:dyDescent="0.2">
      <c r="A439" s="18"/>
      <c r="B439" s="1030" t="s">
        <v>836</v>
      </c>
      <c r="C439" s="954"/>
      <c r="D439" s="954"/>
      <c r="E439" s="955"/>
      <c r="F439" s="417">
        <v>3190</v>
      </c>
      <c r="G439" s="306">
        <f t="shared" ref="G439" si="1078">+F439*$X$1</f>
        <v>3190</v>
      </c>
      <c r="H439" s="613">
        <f t="shared" si="1071"/>
        <v>3500</v>
      </c>
      <c r="I439" s="306">
        <f t="shared" si="1072"/>
        <v>3500</v>
      </c>
      <c r="J439" s="613">
        <f t="shared" si="1073"/>
        <v>3310</v>
      </c>
      <c r="K439" s="306">
        <f t="shared" si="1074"/>
        <v>3310</v>
      </c>
      <c r="L439" s="613">
        <f>F439+90</f>
        <v>3280</v>
      </c>
      <c r="M439" s="306">
        <f t="shared" si="1075"/>
        <v>3280</v>
      </c>
      <c r="N439" s="613">
        <f>F439+55</f>
        <v>3245</v>
      </c>
      <c r="O439" s="306">
        <f t="shared" si="1055"/>
        <v>3245</v>
      </c>
      <c r="P439" s="613">
        <f>F439+49</f>
        <v>3239</v>
      </c>
      <c r="Q439" s="306">
        <f t="shared" si="1056"/>
        <v>3239</v>
      </c>
      <c r="R439" s="613">
        <f>F439+42</f>
        <v>3232</v>
      </c>
      <c r="S439" s="306">
        <f t="shared" si="1057"/>
        <v>3232</v>
      </c>
      <c r="T439" s="613">
        <f t="shared" si="1076"/>
        <v>3226</v>
      </c>
      <c r="U439" s="306">
        <f t="shared" si="1058"/>
        <v>3226</v>
      </c>
      <c r="V439" s="613">
        <f t="shared" si="1077"/>
        <v>3222</v>
      </c>
      <c r="W439" s="306">
        <f t="shared" si="1059"/>
        <v>3222</v>
      </c>
      <c r="X439" s="623"/>
      <c r="Y439" s="623"/>
      <c r="Z439" s="623"/>
      <c r="AA439" s="624"/>
      <c r="AB439" s="201" t="s">
        <v>835</v>
      </c>
    </row>
    <row r="440" spans="1:31" ht="12.6" customHeight="1" x14ac:dyDescent="0.2">
      <c r="A440" s="18"/>
      <c r="B440" s="682" t="s">
        <v>407</v>
      </c>
      <c r="C440" s="683"/>
      <c r="D440" s="683"/>
      <c r="E440" s="684"/>
      <c r="F440" s="418">
        <f>1.99*X2</f>
        <v>1932.29</v>
      </c>
      <c r="G440" s="307">
        <f t="shared" ref="G440:G442" si="1079">+F440*$X$1</f>
        <v>1932.29</v>
      </c>
      <c r="H440" s="548">
        <f t="shared" si="1071"/>
        <v>2242.29</v>
      </c>
      <c r="I440" s="307">
        <f t="shared" si="1072"/>
        <v>2242.29</v>
      </c>
      <c r="J440" s="548">
        <f t="shared" si="1073"/>
        <v>2052.29</v>
      </c>
      <c r="K440" s="307">
        <f t="shared" si="1074"/>
        <v>2052.29</v>
      </c>
      <c r="L440" s="548">
        <f>F440+90</f>
        <v>2022.29</v>
      </c>
      <c r="M440" s="307">
        <f t="shared" si="1075"/>
        <v>2022.29</v>
      </c>
      <c r="N440" s="548">
        <f>F440+55</f>
        <v>1987.29</v>
      </c>
      <c r="O440" s="307">
        <f t="shared" si="1055"/>
        <v>1987.29</v>
      </c>
      <c r="P440" s="548">
        <f>F440+49</f>
        <v>1981.29</v>
      </c>
      <c r="Q440" s="307">
        <f t="shared" si="1056"/>
        <v>1981.29</v>
      </c>
      <c r="R440" s="548">
        <f>F440+42</f>
        <v>1974.29</v>
      </c>
      <c r="S440" s="307">
        <f t="shared" si="1057"/>
        <v>1974.29</v>
      </c>
      <c r="T440" s="548">
        <f t="shared" si="1076"/>
        <v>1968.29</v>
      </c>
      <c r="U440" s="307">
        <f t="shared" si="1058"/>
        <v>1968.29</v>
      </c>
      <c r="V440" s="548">
        <f t="shared" si="1077"/>
        <v>1964.29</v>
      </c>
      <c r="W440" s="307">
        <f t="shared" si="1059"/>
        <v>1964.29</v>
      </c>
      <c r="X440" s="623"/>
      <c r="Y440" s="761"/>
      <c r="Z440" s="761"/>
      <c r="AA440" s="624"/>
      <c r="AB440" s="201" t="s">
        <v>455</v>
      </c>
    </row>
    <row r="441" spans="1:31" ht="12.6" customHeight="1" x14ac:dyDescent="0.2">
      <c r="A441" s="108"/>
      <c r="B441" s="876" t="s">
        <v>277</v>
      </c>
      <c r="C441" s="868"/>
      <c r="D441" s="868"/>
      <c r="E441" s="868"/>
      <c r="F441" s="365">
        <v>750</v>
      </c>
      <c r="G441" s="364">
        <f t="shared" si="1079"/>
        <v>750</v>
      </c>
      <c r="H441" s="614">
        <f t="shared" si="1071"/>
        <v>1060</v>
      </c>
      <c r="I441" s="364">
        <f t="shared" si="1072"/>
        <v>1060</v>
      </c>
      <c r="J441" s="614">
        <f t="shared" si="1073"/>
        <v>870</v>
      </c>
      <c r="K441" s="364">
        <f t="shared" si="1074"/>
        <v>870</v>
      </c>
      <c r="L441" s="614"/>
      <c r="M441" s="364"/>
      <c r="N441" s="614"/>
      <c r="O441" s="364"/>
      <c r="P441" s="614"/>
      <c r="Q441" s="364"/>
      <c r="R441" s="614"/>
      <c r="S441" s="364"/>
      <c r="T441" s="614"/>
      <c r="U441" s="364"/>
      <c r="V441" s="614"/>
      <c r="W441" s="364"/>
      <c r="X441" s="623"/>
      <c r="Y441" s="623"/>
      <c r="Z441" s="623"/>
      <c r="AA441" s="623"/>
      <c r="AB441" s="452" t="s">
        <v>278</v>
      </c>
    </row>
    <row r="442" spans="1:31" ht="12.6" customHeight="1" x14ac:dyDescent="0.2">
      <c r="A442" s="18"/>
      <c r="B442" s="1030" t="s">
        <v>872</v>
      </c>
      <c r="C442" s="954"/>
      <c r="D442" s="954"/>
      <c r="E442" s="955"/>
      <c r="F442" s="418">
        <f>3.65*X2</f>
        <v>3544.15</v>
      </c>
      <c r="G442" s="307">
        <f t="shared" si="1079"/>
        <v>3544.15</v>
      </c>
      <c r="H442" s="548">
        <f t="shared" si="1071"/>
        <v>3854.15</v>
      </c>
      <c r="I442" s="307">
        <f t="shared" ref="I442" si="1080">+H442*$X$1</f>
        <v>3854.15</v>
      </c>
      <c r="J442" s="548">
        <f t="shared" si="1073"/>
        <v>3664.15</v>
      </c>
      <c r="K442" s="307">
        <f t="shared" ref="K442" si="1081">+J442*$X$1</f>
        <v>3664.15</v>
      </c>
      <c r="L442" s="548">
        <f>F442+90</f>
        <v>3634.15</v>
      </c>
      <c r="M442" s="307">
        <f t="shared" ref="M442" si="1082">+L442*$X$1</f>
        <v>3634.15</v>
      </c>
      <c r="N442" s="548">
        <f>F442+55</f>
        <v>3599.15</v>
      </c>
      <c r="O442" s="307">
        <f t="shared" ref="O442" si="1083">+N442*$X$1</f>
        <v>3599.15</v>
      </c>
      <c r="P442" s="548">
        <f>F442+49</f>
        <v>3593.15</v>
      </c>
      <c r="Q442" s="307">
        <f t="shared" ref="Q442" si="1084">+P442*$X$1</f>
        <v>3593.15</v>
      </c>
      <c r="R442" s="548">
        <f>F442+42</f>
        <v>3586.15</v>
      </c>
      <c r="S442" s="307">
        <f t="shared" ref="S442" si="1085">+R442*$X$1</f>
        <v>3586.15</v>
      </c>
      <c r="T442" s="548">
        <f t="shared" ref="T442" si="1086">F442+36</f>
        <v>3580.15</v>
      </c>
      <c r="U442" s="307">
        <f t="shared" ref="U442" si="1087">+T442*$X$1</f>
        <v>3580.15</v>
      </c>
      <c r="V442" s="548">
        <f t="shared" ref="V442" si="1088">F442+32</f>
        <v>3576.15</v>
      </c>
      <c r="W442" s="307">
        <f t="shared" ref="W442" si="1089">+V442*$X$1</f>
        <v>3576.15</v>
      </c>
      <c r="X442" s="623"/>
      <c r="Y442" s="623"/>
      <c r="Z442" s="623"/>
      <c r="AA442" s="624"/>
      <c r="AB442" s="201" t="s">
        <v>873</v>
      </c>
    </row>
    <row r="443" spans="1:31" ht="12.6" customHeight="1" x14ac:dyDescent="0.2">
      <c r="A443" s="18"/>
      <c r="B443" s="721" t="s">
        <v>279</v>
      </c>
      <c r="C443" s="722"/>
      <c r="D443" s="722"/>
      <c r="E443" s="722"/>
      <c r="F443" s="329">
        <v>3637</v>
      </c>
      <c r="G443" s="306">
        <f t="shared" ref="G443:G449" si="1090">+F443*$X$1</f>
        <v>3637</v>
      </c>
      <c r="H443" s="298"/>
      <c r="I443" s="372"/>
      <c r="J443" s="613">
        <f>F443+66</f>
        <v>3703</v>
      </c>
      <c r="K443" s="306"/>
      <c r="L443" s="613">
        <f t="shared" ref="L443:L448" si="1091">F443+300</f>
        <v>3937</v>
      </c>
      <c r="M443" s="306">
        <f t="shared" ref="M443:M453" si="1092">+L443*$X$1</f>
        <v>3937</v>
      </c>
      <c r="N443" s="613">
        <f>F443+270</f>
        <v>3907</v>
      </c>
      <c r="O443" s="306">
        <f t="shared" ref="O443" si="1093">+N443*$X$1</f>
        <v>3907</v>
      </c>
      <c r="P443" s="613">
        <f t="shared" ref="P443:P448" si="1094">F443+250</f>
        <v>3887</v>
      </c>
      <c r="Q443" s="306">
        <f t="shared" ref="Q443:Q448" si="1095">+P443*$X$1</f>
        <v>3887</v>
      </c>
      <c r="R443" s="613">
        <f>F443+230</f>
        <v>3867</v>
      </c>
      <c r="S443" s="306">
        <f t="shared" ref="S443" si="1096">+R443*$X$1</f>
        <v>3867</v>
      </c>
      <c r="T443" s="613">
        <f t="shared" ref="T443:T448" si="1097">F443+200</f>
        <v>3837</v>
      </c>
      <c r="U443" s="306">
        <f t="shared" ref="U443:U448" si="1098">+T443*$X$1</f>
        <v>3837</v>
      </c>
      <c r="V443" s="613">
        <f t="shared" ref="V443:V448" si="1099">F443+185</f>
        <v>3822</v>
      </c>
      <c r="W443" s="306">
        <f t="shared" ref="W443:W448" si="1100">+V443*$X$1</f>
        <v>3822</v>
      </c>
      <c r="X443" s="154"/>
      <c r="Y443" s="136"/>
      <c r="Z443" s="136"/>
      <c r="AA443" s="136"/>
      <c r="AB443" s="201" t="s">
        <v>280</v>
      </c>
    </row>
    <row r="444" spans="1:31" ht="12.6" customHeight="1" x14ac:dyDescent="0.2">
      <c r="A444" s="18"/>
      <c r="B444" s="669" t="s">
        <v>281</v>
      </c>
      <c r="C444" s="670"/>
      <c r="D444" s="670"/>
      <c r="E444" s="670"/>
      <c r="F444" s="307">
        <v>5071</v>
      </c>
      <c r="G444" s="307">
        <f t="shared" si="1090"/>
        <v>5071</v>
      </c>
      <c r="H444" s="297"/>
      <c r="I444" s="373"/>
      <c r="J444" s="548">
        <f>F444+66</f>
        <v>5137</v>
      </c>
      <c r="K444" s="307"/>
      <c r="L444" s="548">
        <f t="shared" si="1091"/>
        <v>5371</v>
      </c>
      <c r="M444" s="307">
        <f t="shared" si="1092"/>
        <v>5371</v>
      </c>
      <c r="N444" s="548">
        <f t="shared" ref="N444:N447" si="1101">F444+270</f>
        <v>5341</v>
      </c>
      <c r="O444" s="307">
        <f t="shared" ref="O444:O447" si="1102">+N444*$X$1</f>
        <v>5341</v>
      </c>
      <c r="P444" s="548">
        <f t="shared" si="1094"/>
        <v>5321</v>
      </c>
      <c r="Q444" s="307">
        <f t="shared" si="1095"/>
        <v>5321</v>
      </c>
      <c r="R444" s="548">
        <f t="shared" ref="R444:R448" si="1103">F444+230</f>
        <v>5301</v>
      </c>
      <c r="S444" s="307">
        <f t="shared" ref="S444:S448" si="1104">+R444*$X$1</f>
        <v>5301</v>
      </c>
      <c r="T444" s="548">
        <f t="shared" si="1097"/>
        <v>5271</v>
      </c>
      <c r="U444" s="307">
        <f t="shared" si="1098"/>
        <v>5271</v>
      </c>
      <c r="V444" s="548">
        <f t="shared" si="1099"/>
        <v>5256</v>
      </c>
      <c r="W444" s="307">
        <f t="shared" si="1100"/>
        <v>5256</v>
      </c>
      <c r="X444" s="154"/>
      <c r="Y444" s="136"/>
      <c r="Z444" s="136"/>
      <c r="AA444" s="136"/>
      <c r="AB444" s="468"/>
    </row>
    <row r="445" spans="1:31" ht="12.6" customHeight="1" x14ac:dyDescent="0.2">
      <c r="A445" s="18"/>
      <c r="B445" s="625" t="s">
        <v>282</v>
      </c>
      <c r="C445" s="626"/>
      <c r="D445" s="626"/>
      <c r="E445" s="626"/>
      <c r="F445" s="306">
        <v>3956</v>
      </c>
      <c r="G445" s="306">
        <f t="shared" si="1090"/>
        <v>3956</v>
      </c>
      <c r="H445" s="298"/>
      <c r="I445" s="372"/>
      <c r="J445" s="613">
        <f>F445+80</f>
        <v>4036</v>
      </c>
      <c r="K445" s="306"/>
      <c r="L445" s="613">
        <f t="shared" si="1091"/>
        <v>4256</v>
      </c>
      <c r="M445" s="306">
        <f t="shared" si="1092"/>
        <v>4256</v>
      </c>
      <c r="N445" s="613">
        <f t="shared" si="1101"/>
        <v>4226</v>
      </c>
      <c r="O445" s="306">
        <f t="shared" si="1102"/>
        <v>4226</v>
      </c>
      <c r="P445" s="613">
        <f t="shared" si="1094"/>
        <v>4206</v>
      </c>
      <c r="Q445" s="306">
        <f t="shared" si="1095"/>
        <v>4206</v>
      </c>
      <c r="R445" s="613">
        <f t="shared" si="1103"/>
        <v>4186</v>
      </c>
      <c r="S445" s="306">
        <f t="shared" si="1104"/>
        <v>4186</v>
      </c>
      <c r="T445" s="613">
        <f t="shared" si="1097"/>
        <v>4156</v>
      </c>
      <c r="U445" s="306">
        <f t="shared" si="1098"/>
        <v>4156</v>
      </c>
      <c r="V445" s="613">
        <f t="shared" si="1099"/>
        <v>4141</v>
      </c>
      <c r="W445" s="306">
        <f t="shared" si="1100"/>
        <v>4141</v>
      </c>
      <c r="X445" s="154"/>
      <c r="Y445" s="136"/>
      <c r="Z445" s="136"/>
      <c r="AA445" s="136"/>
      <c r="AB445" s="201" t="s">
        <v>283</v>
      </c>
    </row>
    <row r="446" spans="1:31" ht="12.6" customHeight="1" x14ac:dyDescent="0.2">
      <c r="A446" s="18"/>
      <c r="B446" s="669" t="s">
        <v>284</v>
      </c>
      <c r="C446" s="670"/>
      <c r="D446" s="670"/>
      <c r="E446" s="670"/>
      <c r="F446" s="307">
        <v>5580</v>
      </c>
      <c r="G446" s="307">
        <f t="shared" si="1090"/>
        <v>5580</v>
      </c>
      <c r="H446" s="297"/>
      <c r="I446" s="373"/>
      <c r="J446" s="548">
        <f>F446+80</f>
        <v>5660</v>
      </c>
      <c r="K446" s="307"/>
      <c r="L446" s="548">
        <f t="shared" si="1091"/>
        <v>5880</v>
      </c>
      <c r="M446" s="307">
        <f t="shared" si="1092"/>
        <v>5880</v>
      </c>
      <c r="N446" s="548">
        <f t="shared" si="1101"/>
        <v>5850</v>
      </c>
      <c r="O446" s="307">
        <f t="shared" si="1102"/>
        <v>5850</v>
      </c>
      <c r="P446" s="548">
        <f t="shared" si="1094"/>
        <v>5830</v>
      </c>
      <c r="Q446" s="307">
        <f t="shared" si="1095"/>
        <v>5830</v>
      </c>
      <c r="R446" s="548">
        <f t="shared" si="1103"/>
        <v>5810</v>
      </c>
      <c r="S446" s="307">
        <f t="shared" si="1104"/>
        <v>5810</v>
      </c>
      <c r="T446" s="548">
        <f t="shared" si="1097"/>
        <v>5780</v>
      </c>
      <c r="U446" s="307">
        <f t="shared" si="1098"/>
        <v>5780</v>
      </c>
      <c r="V446" s="548">
        <f t="shared" si="1099"/>
        <v>5765</v>
      </c>
      <c r="W446" s="307">
        <f t="shared" si="1100"/>
        <v>5765</v>
      </c>
      <c r="X446" s="154"/>
      <c r="Y446" s="136"/>
      <c r="Z446" s="136"/>
      <c r="AA446" s="136"/>
      <c r="AB446" s="468"/>
    </row>
    <row r="447" spans="1:31" ht="12.6" customHeight="1" x14ac:dyDescent="0.2">
      <c r="A447" s="18"/>
      <c r="B447" s="625" t="s">
        <v>678</v>
      </c>
      <c r="C447" s="626"/>
      <c r="D447" s="626"/>
      <c r="E447" s="626"/>
      <c r="F447" s="306">
        <v>5170</v>
      </c>
      <c r="G447" s="306">
        <f t="shared" si="1090"/>
        <v>5170</v>
      </c>
      <c r="H447" s="298"/>
      <c r="I447" s="372"/>
      <c r="J447" s="613">
        <f>F447+66</f>
        <v>5236</v>
      </c>
      <c r="K447" s="306"/>
      <c r="L447" s="613">
        <f t="shared" si="1091"/>
        <v>5470</v>
      </c>
      <c r="M447" s="306">
        <f t="shared" si="1092"/>
        <v>5470</v>
      </c>
      <c r="N447" s="613">
        <f t="shared" si="1101"/>
        <v>5440</v>
      </c>
      <c r="O447" s="306">
        <f t="shared" si="1102"/>
        <v>5440</v>
      </c>
      <c r="P447" s="613">
        <f t="shared" si="1094"/>
        <v>5420</v>
      </c>
      <c r="Q447" s="306">
        <f t="shared" si="1095"/>
        <v>5420</v>
      </c>
      <c r="R447" s="613">
        <f t="shared" si="1103"/>
        <v>5400</v>
      </c>
      <c r="S447" s="306">
        <f t="shared" si="1104"/>
        <v>5400</v>
      </c>
      <c r="T447" s="613">
        <f t="shared" si="1097"/>
        <v>5370</v>
      </c>
      <c r="U447" s="306">
        <f t="shared" si="1098"/>
        <v>5370</v>
      </c>
      <c r="V447" s="613">
        <f t="shared" si="1099"/>
        <v>5355</v>
      </c>
      <c r="W447" s="306">
        <f t="shared" si="1100"/>
        <v>5355</v>
      </c>
      <c r="X447" s="154"/>
      <c r="Y447" s="136"/>
      <c r="Z447" s="136"/>
      <c r="AA447" s="136"/>
      <c r="AB447" s="201" t="s">
        <v>285</v>
      </c>
    </row>
    <row r="448" spans="1:31" ht="12.6" customHeight="1" x14ac:dyDescent="0.2">
      <c r="A448" s="18"/>
      <c r="B448" s="669" t="s">
        <v>679</v>
      </c>
      <c r="C448" s="670"/>
      <c r="D448" s="670"/>
      <c r="E448" s="670"/>
      <c r="F448" s="307">
        <v>5696</v>
      </c>
      <c r="G448" s="307">
        <f t="shared" si="1090"/>
        <v>5696</v>
      </c>
      <c r="H448" s="297"/>
      <c r="I448" s="373"/>
      <c r="J448" s="548">
        <f>F448+80</f>
        <v>5776</v>
      </c>
      <c r="K448" s="307"/>
      <c r="L448" s="548">
        <f t="shared" si="1091"/>
        <v>5996</v>
      </c>
      <c r="M448" s="307">
        <f t="shared" si="1092"/>
        <v>5996</v>
      </c>
      <c r="N448" s="548">
        <f>F448+270</f>
        <v>5966</v>
      </c>
      <c r="O448" s="307">
        <f t="shared" ref="O448" si="1105">+N448*$X$1</f>
        <v>5966</v>
      </c>
      <c r="P448" s="548">
        <f t="shared" si="1094"/>
        <v>5946</v>
      </c>
      <c r="Q448" s="307">
        <f t="shared" si="1095"/>
        <v>5946</v>
      </c>
      <c r="R448" s="548">
        <f t="shared" si="1103"/>
        <v>5926</v>
      </c>
      <c r="S448" s="307">
        <f t="shared" si="1104"/>
        <v>5926</v>
      </c>
      <c r="T448" s="548">
        <f t="shared" si="1097"/>
        <v>5896</v>
      </c>
      <c r="U448" s="307">
        <f t="shared" si="1098"/>
        <v>5896</v>
      </c>
      <c r="V448" s="548">
        <f t="shared" si="1099"/>
        <v>5881</v>
      </c>
      <c r="W448" s="307">
        <f t="shared" si="1100"/>
        <v>5881</v>
      </c>
      <c r="X448" s="154"/>
      <c r="Y448" s="136"/>
      <c r="Z448" s="136"/>
      <c r="AA448" s="136"/>
      <c r="AB448" s="201" t="s">
        <v>286</v>
      </c>
    </row>
    <row r="449" spans="1:29" ht="12.6" customHeight="1" x14ac:dyDescent="0.25">
      <c r="A449" s="18"/>
      <c r="B449" s="625" t="s">
        <v>348</v>
      </c>
      <c r="C449" s="626"/>
      <c r="D449" s="626"/>
      <c r="E449" s="626"/>
      <c r="F449" s="355">
        <v>6778</v>
      </c>
      <c r="G449" s="306">
        <f t="shared" si="1090"/>
        <v>6778</v>
      </c>
      <c r="H449" s="600">
        <f t="shared" ref="H449:H453" si="1106">F449+400</f>
        <v>7178</v>
      </c>
      <c r="I449" s="306">
        <f t="shared" ref="I449:I456" si="1107">+H449*$X$1</f>
        <v>7178</v>
      </c>
      <c r="J449" s="613">
        <f t="shared" ref="J449:J453" si="1108">F449+320</f>
        <v>7098</v>
      </c>
      <c r="K449" s="306">
        <f t="shared" ref="K449:K456" si="1109">+J449*$X$1</f>
        <v>7098</v>
      </c>
      <c r="L449" s="613">
        <f t="shared" ref="L449:L453" si="1110">F449+280</f>
        <v>7058</v>
      </c>
      <c r="M449" s="306">
        <f t="shared" si="1092"/>
        <v>7058</v>
      </c>
      <c r="N449" s="613">
        <f t="shared" ref="N449:N453" si="1111">F449+250</f>
        <v>7028</v>
      </c>
      <c r="O449" s="306">
        <f t="shared" ref="O449:O456" si="1112">+N449*$X$1</f>
        <v>7028</v>
      </c>
      <c r="P449" s="613">
        <f t="shared" ref="P449:P453" si="1113">F449+230</f>
        <v>7008</v>
      </c>
      <c r="Q449" s="306">
        <f t="shared" ref="Q449:Q456" si="1114">+P449*$X$1</f>
        <v>7008</v>
      </c>
      <c r="R449" s="613">
        <f t="shared" ref="R449:R453" si="1115">F449+210</f>
        <v>6988</v>
      </c>
      <c r="S449" s="306">
        <f t="shared" ref="S449:S456" si="1116">+R449*$X$1</f>
        <v>6988</v>
      </c>
      <c r="T449" s="613">
        <f t="shared" ref="T449:T453" si="1117">F449+190</f>
        <v>6968</v>
      </c>
      <c r="U449" s="306">
        <f t="shared" ref="U449:U456" si="1118">+T449*$X$1</f>
        <v>6968</v>
      </c>
      <c r="V449" s="613">
        <f t="shared" ref="V449:V453" si="1119">F449+175</f>
        <v>6953</v>
      </c>
      <c r="W449" s="306">
        <f t="shared" ref="W449:W456" si="1120">+V449*$X$1</f>
        <v>6953</v>
      </c>
      <c r="X449" s="702"/>
      <c r="Y449" s="1136"/>
      <c r="Z449" s="1136"/>
      <c r="AA449" s="1136"/>
      <c r="AB449" s="201" t="s">
        <v>287</v>
      </c>
    </row>
    <row r="450" spans="1:29" ht="12.6" customHeight="1" x14ac:dyDescent="0.25">
      <c r="A450" s="18"/>
      <c r="B450" s="1129" t="s">
        <v>537</v>
      </c>
      <c r="C450" s="683"/>
      <c r="D450" s="683"/>
      <c r="E450" s="684"/>
      <c r="F450" s="354">
        <v>3220</v>
      </c>
      <c r="G450" s="307">
        <f t="shared" ref="G450" si="1121">+F450*$X$1</f>
        <v>3220</v>
      </c>
      <c r="H450" s="548">
        <f t="shared" si="1106"/>
        <v>3620</v>
      </c>
      <c r="I450" s="307">
        <f t="shared" si="1107"/>
        <v>3620</v>
      </c>
      <c r="J450" s="548">
        <f t="shared" si="1108"/>
        <v>3540</v>
      </c>
      <c r="K450" s="307">
        <f t="shared" si="1109"/>
        <v>3540</v>
      </c>
      <c r="L450" s="548">
        <f t="shared" si="1110"/>
        <v>3500</v>
      </c>
      <c r="M450" s="307">
        <f t="shared" si="1092"/>
        <v>3500</v>
      </c>
      <c r="N450" s="548">
        <f t="shared" si="1111"/>
        <v>3470</v>
      </c>
      <c r="O450" s="307">
        <f t="shared" si="1112"/>
        <v>3470</v>
      </c>
      <c r="P450" s="548">
        <f t="shared" si="1113"/>
        <v>3450</v>
      </c>
      <c r="Q450" s="307">
        <f t="shared" si="1114"/>
        <v>3450</v>
      </c>
      <c r="R450" s="548">
        <f t="shared" si="1115"/>
        <v>3430</v>
      </c>
      <c r="S450" s="307">
        <f t="shared" si="1116"/>
        <v>3430</v>
      </c>
      <c r="T450" s="548">
        <f t="shared" si="1117"/>
        <v>3410</v>
      </c>
      <c r="U450" s="307">
        <f t="shared" si="1118"/>
        <v>3410</v>
      </c>
      <c r="V450" s="548">
        <f t="shared" si="1119"/>
        <v>3395</v>
      </c>
      <c r="W450" s="307">
        <f t="shared" si="1120"/>
        <v>3395</v>
      </c>
      <c r="X450" s="702"/>
      <c r="Y450" s="1136"/>
      <c r="Z450" s="1136"/>
      <c r="AA450" s="1136"/>
      <c r="AB450" s="201" t="s">
        <v>469</v>
      </c>
    </row>
    <row r="451" spans="1:29" ht="12.6" customHeight="1" x14ac:dyDescent="0.2">
      <c r="A451" s="18"/>
      <c r="B451" s="625" t="s">
        <v>404</v>
      </c>
      <c r="C451" s="626"/>
      <c r="D451" s="626"/>
      <c r="E451" s="626"/>
      <c r="F451" s="355">
        <v>3983</v>
      </c>
      <c r="G451" s="306">
        <f>+F451*$X$1</f>
        <v>3983</v>
      </c>
      <c r="H451" s="600">
        <f t="shared" si="1106"/>
        <v>4383</v>
      </c>
      <c r="I451" s="306">
        <f t="shared" si="1107"/>
        <v>4383</v>
      </c>
      <c r="J451" s="613">
        <f t="shared" si="1108"/>
        <v>4303</v>
      </c>
      <c r="K451" s="306">
        <f t="shared" si="1109"/>
        <v>4303</v>
      </c>
      <c r="L451" s="613">
        <f t="shared" si="1110"/>
        <v>4263</v>
      </c>
      <c r="M451" s="306">
        <f t="shared" si="1092"/>
        <v>4263</v>
      </c>
      <c r="N451" s="613">
        <f t="shared" si="1111"/>
        <v>4233</v>
      </c>
      <c r="O451" s="306">
        <f t="shared" si="1112"/>
        <v>4233</v>
      </c>
      <c r="P451" s="613">
        <f t="shared" si="1113"/>
        <v>4213</v>
      </c>
      <c r="Q451" s="306">
        <f t="shared" si="1114"/>
        <v>4213</v>
      </c>
      <c r="R451" s="613">
        <f t="shared" si="1115"/>
        <v>4193</v>
      </c>
      <c r="S451" s="306">
        <f t="shared" si="1116"/>
        <v>4193</v>
      </c>
      <c r="T451" s="613">
        <f t="shared" si="1117"/>
        <v>4173</v>
      </c>
      <c r="U451" s="306">
        <f t="shared" si="1118"/>
        <v>4173</v>
      </c>
      <c r="V451" s="613">
        <f t="shared" si="1119"/>
        <v>4158</v>
      </c>
      <c r="W451" s="306">
        <f t="shared" si="1120"/>
        <v>4158</v>
      </c>
      <c r="X451" s="1130"/>
      <c r="Y451" s="1131"/>
      <c r="Z451" s="1131"/>
      <c r="AA451" s="1132"/>
      <c r="AB451" s="201" t="s">
        <v>288</v>
      </c>
    </row>
    <row r="452" spans="1:29" ht="12.6" customHeight="1" x14ac:dyDescent="0.25">
      <c r="A452" s="18"/>
      <c r="B452" s="703" t="s">
        <v>898</v>
      </c>
      <c r="C452" s="1149"/>
      <c r="D452" s="1149"/>
      <c r="E452" s="1149"/>
      <c r="F452" s="354">
        <v>3983</v>
      </c>
      <c r="G452" s="307">
        <f t="shared" ref="G452" si="1122">+F452*$X$1</f>
        <v>3983</v>
      </c>
      <c r="H452" s="548">
        <f t="shared" si="1106"/>
        <v>4383</v>
      </c>
      <c r="I452" s="307">
        <f t="shared" si="1107"/>
        <v>4383</v>
      </c>
      <c r="J452" s="548">
        <f t="shared" si="1108"/>
        <v>4303</v>
      </c>
      <c r="K452" s="307">
        <f t="shared" si="1109"/>
        <v>4303</v>
      </c>
      <c r="L452" s="548">
        <f t="shared" si="1110"/>
        <v>4263</v>
      </c>
      <c r="M452" s="307">
        <f t="shared" si="1092"/>
        <v>4263</v>
      </c>
      <c r="N452" s="548">
        <f t="shared" si="1111"/>
        <v>4233</v>
      </c>
      <c r="O452" s="307">
        <f t="shared" si="1112"/>
        <v>4233</v>
      </c>
      <c r="P452" s="548">
        <f t="shared" si="1113"/>
        <v>4213</v>
      </c>
      <c r="Q452" s="307">
        <f t="shared" si="1114"/>
        <v>4213</v>
      </c>
      <c r="R452" s="548">
        <f t="shared" si="1115"/>
        <v>4193</v>
      </c>
      <c r="S452" s="307">
        <f t="shared" si="1116"/>
        <v>4193</v>
      </c>
      <c r="T452" s="548">
        <f t="shared" si="1117"/>
        <v>4173</v>
      </c>
      <c r="U452" s="307">
        <f t="shared" si="1118"/>
        <v>4173</v>
      </c>
      <c r="V452" s="548">
        <f t="shared" si="1119"/>
        <v>4158</v>
      </c>
      <c r="W452" s="307">
        <f t="shared" si="1120"/>
        <v>4158</v>
      </c>
      <c r="X452" s="702"/>
      <c r="Y452" s="1136"/>
      <c r="Z452" s="1136"/>
      <c r="AA452" s="1136"/>
      <c r="AB452" s="201" t="s">
        <v>289</v>
      </c>
    </row>
    <row r="453" spans="1:29" ht="12.6" customHeight="1" x14ac:dyDescent="0.25">
      <c r="A453" s="18"/>
      <c r="B453" s="1135" t="s">
        <v>572</v>
      </c>
      <c r="C453" s="644"/>
      <c r="D453" s="644"/>
      <c r="E453" s="645"/>
      <c r="F453" s="532">
        <v>3220</v>
      </c>
      <c r="G453" s="306">
        <f>+F453*$X$1</f>
        <v>3220</v>
      </c>
      <c r="H453" s="600">
        <f t="shared" si="1106"/>
        <v>3620</v>
      </c>
      <c r="I453" s="306">
        <f t="shared" si="1107"/>
        <v>3620</v>
      </c>
      <c r="J453" s="613">
        <f t="shared" si="1108"/>
        <v>3540</v>
      </c>
      <c r="K453" s="306">
        <f t="shared" si="1109"/>
        <v>3540</v>
      </c>
      <c r="L453" s="613">
        <f t="shared" si="1110"/>
        <v>3500</v>
      </c>
      <c r="M453" s="306">
        <f t="shared" si="1092"/>
        <v>3500</v>
      </c>
      <c r="N453" s="613">
        <f t="shared" si="1111"/>
        <v>3470</v>
      </c>
      <c r="O453" s="306">
        <f t="shared" si="1112"/>
        <v>3470</v>
      </c>
      <c r="P453" s="613">
        <f t="shared" si="1113"/>
        <v>3450</v>
      </c>
      <c r="Q453" s="306">
        <f t="shared" si="1114"/>
        <v>3450</v>
      </c>
      <c r="R453" s="613">
        <f t="shared" si="1115"/>
        <v>3430</v>
      </c>
      <c r="S453" s="306">
        <f t="shared" si="1116"/>
        <v>3430</v>
      </c>
      <c r="T453" s="613">
        <f t="shared" si="1117"/>
        <v>3410</v>
      </c>
      <c r="U453" s="306">
        <f t="shared" si="1118"/>
        <v>3410</v>
      </c>
      <c r="V453" s="613">
        <f t="shared" si="1119"/>
        <v>3395</v>
      </c>
      <c r="W453" s="306">
        <f t="shared" si="1120"/>
        <v>3395</v>
      </c>
      <c r="X453" s="702"/>
      <c r="Y453" s="1136"/>
      <c r="Z453" s="1136"/>
      <c r="AA453" s="1136"/>
      <c r="AB453" s="29"/>
    </row>
    <row r="454" spans="1:29" ht="12.6" customHeight="1" x14ac:dyDescent="0.25">
      <c r="A454" s="18"/>
      <c r="B454" s="669" t="s">
        <v>347</v>
      </c>
      <c r="C454" s="670"/>
      <c r="D454" s="670"/>
      <c r="E454" s="670"/>
      <c r="F454" s="307"/>
      <c r="G454" s="307"/>
      <c r="H454" s="548"/>
      <c r="I454" s="307"/>
      <c r="J454" s="548"/>
      <c r="K454" s="307"/>
      <c r="L454" s="548"/>
      <c r="M454" s="307"/>
      <c r="N454" s="548"/>
      <c r="O454" s="307"/>
      <c r="P454" s="548"/>
      <c r="Q454" s="307"/>
      <c r="R454" s="548"/>
      <c r="S454" s="307"/>
      <c r="T454" s="548"/>
      <c r="U454" s="307"/>
      <c r="V454" s="548"/>
      <c r="W454" s="307"/>
      <c r="X454" s="702"/>
      <c r="Y454" s="1136"/>
      <c r="Z454" s="1136"/>
      <c r="AA454" s="1136"/>
      <c r="AB454" s="201" t="s">
        <v>290</v>
      </c>
    </row>
    <row r="455" spans="1:29" ht="12.6" customHeight="1" x14ac:dyDescent="0.2">
      <c r="A455" s="18"/>
      <c r="B455" s="625" t="s">
        <v>816</v>
      </c>
      <c r="C455" s="1138"/>
      <c r="D455" s="1138"/>
      <c r="E455" s="1138"/>
      <c r="F455" s="306">
        <v>11450</v>
      </c>
      <c r="G455" s="306">
        <f>+F455*$X$1</f>
        <v>11450</v>
      </c>
      <c r="H455" s="438">
        <f>F455+500</f>
        <v>11950</v>
      </c>
      <c r="I455" s="306">
        <f t="shared" si="1107"/>
        <v>11950</v>
      </c>
      <c r="J455" s="613">
        <f>F455+350</f>
        <v>11800</v>
      </c>
      <c r="K455" s="306">
        <f t="shared" si="1109"/>
        <v>11800</v>
      </c>
      <c r="L455" s="613">
        <f>F455+300</f>
        <v>11750</v>
      </c>
      <c r="M455" s="306">
        <f t="shared" ref="M455" si="1123">+L455*$X$1</f>
        <v>11750</v>
      </c>
      <c r="N455" s="613">
        <f>F455+270</f>
        <v>11720</v>
      </c>
      <c r="O455" s="306">
        <f t="shared" ref="O455" si="1124">+N455*$X$1</f>
        <v>11720</v>
      </c>
      <c r="P455" s="613">
        <f>F455+250</f>
        <v>11700</v>
      </c>
      <c r="Q455" s="306">
        <f t="shared" ref="Q455" si="1125">+P455*$X$1</f>
        <v>11700</v>
      </c>
      <c r="R455" s="613">
        <f t="shared" ref="R455" si="1126">F455+230</f>
        <v>11680</v>
      </c>
      <c r="S455" s="306">
        <f t="shared" ref="S455" si="1127">+R455*$X$1</f>
        <v>11680</v>
      </c>
      <c r="T455" s="613">
        <f>F455+200</f>
        <v>11650</v>
      </c>
      <c r="U455" s="306">
        <f t="shared" ref="U455" si="1128">+T455*$X$1</f>
        <v>11650</v>
      </c>
      <c r="V455" s="613">
        <f>F455+185</f>
        <v>11635</v>
      </c>
      <c r="W455" s="306">
        <f t="shared" si="1120"/>
        <v>11635</v>
      </c>
      <c r="X455" s="155"/>
      <c r="Y455" s="140"/>
      <c r="Z455" s="140"/>
      <c r="AA455" s="143"/>
      <c r="AB455" s="201" t="s">
        <v>291</v>
      </c>
    </row>
    <row r="456" spans="1:29" ht="12.6" customHeight="1" x14ac:dyDescent="0.2">
      <c r="A456" s="18"/>
      <c r="B456" s="669" t="s">
        <v>817</v>
      </c>
      <c r="C456" s="1137"/>
      <c r="D456" s="1137"/>
      <c r="E456" s="1137"/>
      <c r="F456" s="307">
        <v>11500</v>
      </c>
      <c r="G456" s="307">
        <f t="shared" ref="G456" si="1129">+F456*$X$1</f>
        <v>11500</v>
      </c>
      <c r="H456" s="102">
        <f>F456+500</f>
        <v>12000</v>
      </c>
      <c r="I456" s="307">
        <f t="shared" si="1107"/>
        <v>12000</v>
      </c>
      <c r="J456" s="548">
        <f>F456+350</f>
        <v>11850</v>
      </c>
      <c r="K456" s="307">
        <f t="shared" si="1109"/>
        <v>11850</v>
      </c>
      <c r="L456" s="548">
        <f>F456+300</f>
        <v>11800</v>
      </c>
      <c r="M456" s="307">
        <f t="shared" ref="M456" si="1130">+L456*$X$1</f>
        <v>11800</v>
      </c>
      <c r="N456" s="548">
        <f>F456+270</f>
        <v>11770</v>
      </c>
      <c r="O456" s="307">
        <f t="shared" si="1112"/>
        <v>11770</v>
      </c>
      <c r="P456" s="548">
        <f>F456+250</f>
        <v>11750</v>
      </c>
      <c r="Q456" s="307">
        <f t="shared" si="1114"/>
        <v>11750</v>
      </c>
      <c r="R456" s="548">
        <f t="shared" ref="R456" si="1131">F456+230</f>
        <v>11730</v>
      </c>
      <c r="S456" s="307">
        <f t="shared" si="1116"/>
        <v>11730</v>
      </c>
      <c r="T456" s="548">
        <f>F456+200</f>
        <v>11700</v>
      </c>
      <c r="U456" s="307">
        <f t="shared" si="1118"/>
        <v>11700</v>
      </c>
      <c r="V456" s="548">
        <f>F456+185</f>
        <v>11685</v>
      </c>
      <c r="W456" s="307">
        <f t="shared" si="1120"/>
        <v>11685</v>
      </c>
      <c r="X456" s="155"/>
      <c r="Y456" s="140"/>
      <c r="Z456" s="140"/>
      <c r="AA456" s="143"/>
      <c r="AB456" s="201" t="s">
        <v>292</v>
      </c>
    </row>
    <row r="457" spans="1:29" ht="12.6" customHeight="1" x14ac:dyDescent="0.2">
      <c r="A457" s="18"/>
      <c r="B457" s="721" t="s">
        <v>386</v>
      </c>
      <c r="C457" s="722"/>
      <c r="D457" s="722"/>
      <c r="E457" s="722"/>
      <c r="F457" s="329"/>
      <c r="G457" s="329"/>
      <c r="H457" s="611"/>
      <c r="I457" s="612"/>
      <c r="J457" s="613"/>
      <c r="K457" s="306"/>
      <c r="L457" s="613"/>
      <c r="M457" s="306"/>
      <c r="N457" s="613"/>
      <c r="O457" s="306"/>
      <c r="P457" s="613"/>
      <c r="Q457" s="306"/>
      <c r="R457" s="613"/>
      <c r="S457" s="306"/>
      <c r="T457" s="613"/>
      <c r="U457" s="306"/>
      <c r="V457" s="105"/>
      <c r="W457" s="329"/>
      <c r="X457" s="155"/>
      <c r="Y457" s="140"/>
      <c r="Z457" s="140"/>
      <c r="AA457" s="143"/>
      <c r="AB457" s="201" t="s">
        <v>293</v>
      </c>
    </row>
    <row r="458" spans="1:29" ht="12.6" customHeight="1" x14ac:dyDescent="0.2">
      <c r="A458" s="18"/>
      <c r="B458" s="669" t="s">
        <v>294</v>
      </c>
      <c r="C458" s="670"/>
      <c r="D458" s="670"/>
      <c r="E458" s="670"/>
      <c r="F458" s="307">
        <v>7920</v>
      </c>
      <c r="G458" s="307">
        <f>+F458*$X$1</f>
        <v>7920</v>
      </c>
      <c r="H458" s="102">
        <f>F458+500</f>
        <v>8420</v>
      </c>
      <c r="I458" s="307">
        <f t="shared" ref="I458:I459" si="1132">+H458*$X$1</f>
        <v>8420</v>
      </c>
      <c r="J458" s="548">
        <f>F458+350</f>
        <v>8270</v>
      </c>
      <c r="K458" s="307">
        <f>+J458*$X$1</f>
        <v>8270</v>
      </c>
      <c r="L458" s="548">
        <f>F458+300</f>
        <v>8220</v>
      </c>
      <c r="M458" s="307">
        <f t="shared" ref="M458:M459" si="1133">+L458*$X$1</f>
        <v>8220</v>
      </c>
      <c r="N458" s="548">
        <f>F458+270</f>
        <v>8190</v>
      </c>
      <c r="O458" s="307">
        <f t="shared" ref="O458:O459" si="1134">+N458*$X$1</f>
        <v>8190</v>
      </c>
      <c r="P458" s="548">
        <f>F458+250</f>
        <v>8170</v>
      </c>
      <c r="Q458" s="307">
        <f t="shared" ref="Q458:Q459" si="1135">+P458*$X$1</f>
        <v>8170</v>
      </c>
      <c r="R458" s="548">
        <f t="shared" ref="R458:R459" si="1136">F458+230</f>
        <v>8150</v>
      </c>
      <c r="S458" s="307">
        <f t="shared" ref="S458:S459" si="1137">+R458*$X$1</f>
        <v>8150</v>
      </c>
      <c r="T458" s="548">
        <f>F458+200</f>
        <v>8120</v>
      </c>
      <c r="U458" s="307">
        <f t="shared" ref="U458:U459" si="1138">+T458*$X$1</f>
        <v>8120</v>
      </c>
      <c r="V458" s="548">
        <f>F458+185</f>
        <v>8105</v>
      </c>
      <c r="W458" s="307">
        <f t="shared" ref="W458:W459" si="1139">+V458*$X$1</f>
        <v>8105</v>
      </c>
      <c r="X458" s="155"/>
      <c r="Y458" s="140"/>
      <c r="Z458" s="140"/>
      <c r="AA458" s="143"/>
      <c r="AB458" s="201" t="s">
        <v>295</v>
      </c>
    </row>
    <row r="459" spans="1:29" ht="12.6" customHeight="1" x14ac:dyDescent="0.2">
      <c r="A459" s="18"/>
      <c r="B459" s="625" t="s">
        <v>296</v>
      </c>
      <c r="C459" s="626"/>
      <c r="D459" s="626"/>
      <c r="E459" s="626"/>
      <c r="F459" s="306">
        <v>8798</v>
      </c>
      <c r="G459" s="306">
        <f>+F459*$X$1</f>
        <v>8798</v>
      </c>
      <c r="H459" s="438">
        <f>F459+500</f>
        <v>9298</v>
      </c>
      <c r="I459" s="306">
        <f t="shared" si="1132"/>
        <v>9298</v>
      </c>
      <c r="J459" s="613">
        <f>F459+350</f>
        <v>9148</v>
      </c>
      <c r="K459" s="306">
        <f>+J459*$X$1</f>
        <v>9148</v>
      </c>
      <c r="L459" s="613">
        <f>F459+300</f>
        <v>9098</v>
      </c>
      <c r="M459" s="306">
        <f t="shared" si="1133"/>
        <v>9098</v>
      </c>
      <c r="N459" s="613">
        <f>F459+270</f>
        <v>9068</v>
      </c>
      <c r="O459" s="306">
        <f t="shared" si="1134"/>
        <v>9068</v>
      </c>
      <c r="P459" s="613">
        <f>F459+250</f>
        <v>9048</v>
      </c>
      <c r="Q459" s="306">
        <f t="shared" si="1135"/>
        <v>9048</v>
      </c>
      <c r="R459" s="613">
        <f t="shared" si="1136"/>
        <v>9028</v>
      </c>
      <c r="S459" s="306">
        <f t="shared" si="1137"/>
        <v>9028</v>
      </c>
      <c r="T459" s="613">
        <f>F459+200</f>
        <v>8998</v>
      </c>
      <c r="U459" s="306">
        <f t="shared" si="1138"/>
        <v>8998</v>
      </c>
      <c r="V459" s="613">
        <f>F459+185</f>
        <v>8983</v>
      </c>
      <c r="W459" s="306">
        <f t="shared" si="1139"/>
        <v>8983</v>
      </c>
      <c r="X459" s="155"/>
      <c r="Y459" s="140"/>
      <c r="Z459" s="140"/>
      <c r="AA459" s="143"/>
      <c r="AB459" s="201" t="s">
        <v>297</v>
      </c>
    </row>
    <row r="460" spans="1:29" ht="12.6" customHeight="1" x14ac:dyDescent="0.2">
      <c r="A460" s="18"/>
      <c r="B460" s="669" t="s">
        <v>601</v>
      </c>
      <c r="C460" s="670"/>
      <c r="D460" s="670"/>
      <c r="E460" s="670"/>
      <c r="F460" s="418">
        <v>3300</v>
      </c>
      <c r="G460" s="307">
        <f t="shared" ref="G460" si="1140">+F460*$X$1</f>
        <v>3300</v>
      </c>
      <c r="H460" s="548">
        <f>F460+400</f>
        <v>3700</v>
      </c>
      <c r="I460" s="307">
        <f t="shared" ref="I460:I461" si="1141">+H460*$X$1</f>
        <v>3700</v>
      </c>
      <c r="J460" s="548">
        <f>F460+150</f>
        <v>3450</v>
      </c>
      <c r="K460" s="307">
        <f t="shared" ref="K460" si="1142">+J460*$X$1</f>
        <v>3450</v>
      </c>
      <c r="L460" s="548">
        <f>F460+100</f>
        <v>3400</v>
      </c>
      <c r="M460" s="307">
        <f t="shared" ref="M460" si="1143">+L460*$X$1</f>
        <v>3400</v>
      </c>
      <c r="N460" s="548">
        <f>F460+80</f>
        <v>3380</v>
      </c>
      <c r="O460" s="307">
        <f>+N460*$X$1</f>
        <v>3380</v>
      </c>
      <c r="P460" s="548">
        <f>F460+70</f>
        <v>3370</v>
      </c>
      <c r="Q460" s="307">
        <f t="shared" ref="Q460:Q462" si="1144">+P460*$X$1</f>
        <v>3370</v>
      </c>
      <c r="R460" s="548">
        <f>F460+66</f>
        <v>3366</v>
      </c>
      <c r="S460" s="307">
        <f t="shared" ref="S460:S462" si="1145">+R460*$X$1</f>
        <v>3366</v>
      </c>
      <c r="T460" s="548">
        <f>F460+61</f>
        <v>3361</v>
      </c>
      <c r="U460" s="307">
        <f t="shared" ref="U460:U462" si="1146">+T460*$X$1</f>
        <v>3361</v>
      </c>
      <c r="V460" s="548">
        <f>F460+57</f>
        <v>3357</v>
      </c>
      <c r="W460" s="307">
        <f t="shared" ref="W460:W462" si="1147">+V460*$X$1</f>
        <v>3357</v>
      </c>
      <c r="X460" s="1130"/>
      <c r="Y460" s="1131"/>
      <c r="Z460" s="1131"/>
      <c r="AA460" s="1132"/>
      <c r="AB460" s="201" t="s">
        <v>298</v>
      </c>
    </row>
    <row r="461" spans="1:29" ht="12.6" customHeight="1" x14ac:dyDescent="0.2">
      <c r="A461" s="18"/>
      <c r="B461" s="625" t="s">
        <v>685</v>
      </c>
      <c r="C461" s="626"/>
      <c r="D461" s="626"/>
      <c r="E461" s="626"/>
      <c r="F461" s="417">
        <v>3300</v>
      </c>
      <c r="G461" s="306">
        <f t="shared" ref="G461" si="1148">+F461*$X$1</f>
        <v>3300</v>
      </c>
      <c r="H461" s="600">
        <f>F461+400</f>
        <v>3700</v>
      </c>
      <c r="I461" s="306">
        <f t="shared" si="1141"/>
        <v>3700</v>
      </c>
      <c r="J461" s="600">
        <f>F461+320</f>
        <v>3620</v>
      </c>
      <c r="K461" s="306">
        <f>+J461*$X$1</f>
        <v>3620</v>
      </c>
      <c r="L461" s="600">
        <f>F461+280</f>
        <v>3580</v>
      </c>
      <c r="M461" s="306">
        <f>+L461*$X$1</f>
        <v>3580</v>
      </c>
      <c r="N461" s="600">
        <f>F461+250</f>
        <v>3550</v>
      </c>
      <c r="O461" s="306">
        <f t="shared" ref="O461" si="1149">+N461*$X$1</f>
        <v>3550</v>
      </c>
      <c r="P461" s="600">
        <f>F461+230</f>
        <v>3530</v>
      </c>
      <c r="Q461" s="306">
        <f t="shared" ref="Q461" si="1150">+P461*$X$1</f>
        <v>3530</v>
      </c>
      <c r="R461" s="600">
        <f>F461+210</f>
        <v>3510</v>
      </c>
      <c r="S461" s="306">
        <f t="shared" ref="S461" si="1151">+R461*$X$1</f>
        <v>3510</v>
      </c>
      <c r="T461" s="600">
        <f>F461+190</f>
        <v>3490</v>
      </c>
      <c r="U461" s="306">
        <f t="shared" ref="U461" si="1152">+T461*$X$1</f>
        <v>3490</v>
      </c>
      <c r="V461" s="600">
        <f>F461+175</f>
        <v>3475</v>
      </c>
      <c r="W461" s="306">
        <f t="shared" ref="W461" si="1153">+V461*$X$1</f>
        <v>3475</v>
      </c>
      <c r="X461" s="1130"/>
      <c r="Y461" s="1131"/>
      <c r="Z461" s="1131"/>
      <c r="AA461" s="1132"/>
      <c r="AB461" s="201" t="s">
        <v>686</v>
      </c>
    </row>
    <row r="462" spans="1:29" ht="12.6" customHeight="1" x14ac:dyDescent="0.2">
      <c r="A462" s="18"/>
      <c r="B462" s="669" t="s">
        <v>418</v>
      </c>
      <c r="C462" s="869"/>
      <c r="D462" s="869"/>
      <c r="E462" s="869"/>
      <c r="F462" s="418">
        <f>3.116*X2</f>
        <v>3025.636</v>
      </c>
      <c r="G462" s="307">
        <f t="shared" ref="G462" si="1154">+F462*$X$1</f>
        <v>3025.636</v>
      </c>
      <c r="H462" s="548">
        <f>F462+400</f>
        <v>3425.636</v>
      </c>
      <c r="I462" s="307">
        <f t="shared" ref="I462" si="1155">+H462*$X$1</f>
        <v>3425.636</v>
      </c>
      <c r="J462" s="548">
        <f>F462+320</f>
        <v>3345.636</v>
      </c>
      <c r="K462" s="307">
        <f>+J462*$X$1</f>
        <v>3345.636</v>
      </c>
      <c r="L462" s="548">
        <f>F462+280</f>
        <v>3305.636</v>
      </c>
      <c r="M462" s="307">
        <f>+L462*$X$1</f>
        <v>3305.636</v>
      </c>
      <c r="N462" s="548">
        <f>F462+250</f>
        <v>3275.636</v>
      </c>
      <c r="O462" s="307">
        <f t="shared" ref="O462" si="1156">+N462*$X$1</f>
        <v>3275.636</v>
      </c>
      <c r="P462" s="548">
        <f>F462+230</f>
        <v>3255.636</v>
      </c>
      <c r="Q462" s="307">
        <f t="shared" si="1144"/>
        <v>3255.636</v>
      </c>
      <c r="R462" s="548">
        <f>F462+210</f>
        <v>3235.636</v>
      </c>
      <c r="S462" s="307">
        <f t="shared" si="1145"/>
        <v>3235.636</v>
      </c>
      <c r="T462" s="548">
        <f>F462+190</f>
        <v>3215.636</v>
      </c>
      <c r="U462" s="307">
        <f t="shared" si="1146"/>
        <v>3215.636</v>
      </c>
      <c r="V462" s="548">
        <f>F462+175</f>
        <v>3200.636</v>
      </c>
      <c r="W462" s="307">
        <f t="shared" si="1147"/>
        <v>3200.636</v>
      </c>
      <c r="X462" s="1130"/>
      <c r="Y462" s="1131"/>
      <c r="Z462" s="1131"/>
      <c r="AA462" s="1132"/>
      <c r="AB462" s="201" t="s">
        <v>494</v>
      </c>
    </row>
    <row r="463" spans="1:29" ht="12.6" customHeight="1" x14ac:dyDescent="0.2">
      <c r="A463" s="18"/>
      <c r="B463" s="625" t="s">
        <v>738</v>
      </c>
      <c r="C463" s="707"/>
      <c r="D463" s="707"/>
      <c r="E463" s="707"/>
      <c r="F463" s="417">
        <f>7.73*X2</f>
        <v>7505.8300000000008</v>
      </c>
      <c r="G463" s="306">
        <f t="shared" ref="G463" si="1157">+F463*$X$1</f>
        <v>7505.8300000000008</v>
      </c>
      <c r="H463" s="600">
        <f>F463+400</f>
        <v>7905.8300000000008</v>
      </c>
      <c r="I463" s="306">
        <f t="shared" ref="I463" si="1158">+H463*$X$1</f>
        <v>7905.8300000000008</v>
      </c>
      <c r="J463" s="600">
        <f>F463+320</f>
        <v>7825.8300000000008</v>
      </c>
      <c r="K463" s="306">
        <f>+J463*$X$1</f>
        <v>7825.8300000000008</v>
      </c>
      <c r="L463" s="600">
        <f>F463+280</f>
        <v>7785.8300000000008</v>
      </c>
      <c r="M463" s="306">
        <f>+L463*$X$1</f>
        <v>7785.8300000000008</v>
      </c>
      <c r="N463" s="600">
        <f>F463+250</f>
        <v>7755.8300000000008</v>
      </c>
      <c r="O463" s="306">
        <f t="shared" ref="O463" si="1159">+N463*$X$1</f>
        <v>7755.8300000000008</v>
      </c>
      <c r="P463" s="600">
        <f>F463+230</f>
        <v>7735.8300000000008</v>
      </c>
      <c r="Q463" s="306">
        <f t="shared" ref="Q463" si="1160">+P463*$X$1</f>
        <v>7735.8300000000008</v>
      </c>
      <c r="R463" s="600">
        <f>F463+210</f>
        <v>7715.8300000000008</v>
      </c>
      <c r="S463" s="306">
        <f t="shared" ref="S463" si="1161">+R463*$X$1</f>
        <v>7715.8300000000008</v>
      </c>
      <c r="T463" s="600">
        <f>F463+190</f>
        <v>7695.8300000000008</v>
      </c>
      <c r="U463" s="306">
        <f t="shared" ref="U463" si="1162">+T463*$X$1</f>
        <v>7695.8300000000008</v>
      </c>
      <c r="V463" s="600">
        <f>F463+175</f>
        <v>7680.8300000000008</v>
      </c>
      <c r="W463" s="306">
        <f t="shared" ref="W463" si="1163">+V463*$X$1</f>
        <v>7680.8300000000008</v>
      </c>
      <c r="X463" s="1130"/>
      <c r="Y463" s="1131"/>
      <c r="Z463" s="1131"/>
      <c r="AA463" s="1132"/>
      <c r="AB463" s="201" t="s">
        <v>739</v>
      </c>
    </row>
    <row r="464" spans="1:29" ht="12.6" customHeight="1" x14ac:dyDescent="0.2">
      <c r="A464" s="108"/>
      <c r="B464" s="238"/>
      <c r="C464" s="63"/>
      <c r="D464" s="63"/>
      <c r="E464" s="63"/>
      <c r="F464" s="134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239"/>
      <c r="Y464" s="240"/>
      <c r="Z464" s="240"/>
      <c r="AA464" s="239"/>
      <c r="AB464" s="40"/>
      <c r="AC464" s="66"/>
    </row>
    <row r="465" spans="1:34" ht="12.6" customHeight="1" x14ac:dyDescent="0.2">
      <c r="A465" s="108"/>
      <c r="B465" s="238"/>
      <c r="C465" s="63"/>
      <c r="D465" s="63"/>
      <c r="E465" s="63"/>
      <c r="F465" s="134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239"/>
      <c r="Y465" s="240"/>
      <c r="Z465" s="240"/>
      <c r="AA465" s="239"/>
      <c r="AB465" s="40"/>
      <c r="AC465" s="66"/>
    </row>
    <row r="466" spans="1:34" ht="12.6" customHeight="1" x14ac:dyDescent="0.2">
      <c r="A466" s="108"/>
      <c r="B466" s="238"/>
      <c r="C466" s="63"/>
      <c r="D466" s="63"/>
      <c r="E466" s="63"/>
      <c r="F466" s="134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239"/>
      <c r="Y466" s="240"/>
      <c r="Z466" s="240"/>
      <c r="AA466" s="239"/>
      <c r="AB466" s="40"/>
      <c r="AC466" s="66"/>
    </row>
    <row r="467" spans="1:34" ht="12.6" customHeight="1" x14ac:dyDescent="0.2">
      <c r="A467" s="108"/>
      <c r="B467" s="238"/>
      <c r="C467" s="63"/>
      <c r="D467" s="63"/>
      <c r="E467" s="63"/>
      <c r="F467" s="134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239"/>
      <c r="Y467" s="240"/>
      <c r="Z467" s="240"/>
      <c r="AA467" s="239"/>
      <c r="AB467" s="40"/>
      <c r="AC467" s="66"/>
    </row>
    <row r="468" spans="1:34" ht="12.6" customHeight="1" x14ac:dyDescent="0.2">
      <c r="A468" s="108"/>
      <c r="B468" s="238"/>
      <c r="C468" s="63"/>
      <c r="D468" s="63"/>
      <c r="E468" s="63"/>
      <c r="F468" s="134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239"/>
      <c r="Y468" s="240"/>
      <c r="Z468" s="240"/>
      <c r="AA468" s="239"/>
      <c r="AB468" s="40"/>
      <c r="AC468" s="66"/>
    </row>
    <row r="469" spans="1:34" ht="12.6" customHeight="1" x14ac:dyDescent="0.2">
      <c r="A469" s="108"/>
      <c r="B469" s="238"/>
      <c r="C469" s="63"/>
      <c r="D469" s="63"/>
      <c r="E469" s="63"/>
      <c r="F469" s="134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239"/>
      <c r="Y469" s="240"/>
      <c r="Z469" s="240"/>
      <c r="AA469" s="239"/>
      <c r="AB469" s="40"/>
      <c r="AC469" s="66"/>
    </row>
    <row r="470" spans="1:34" ht="12.6" customHeight="1" x14ac:dyDescent="0.2">
      <c r="A470" s="108"/>
      <c r="B470" s="238"/>
      <c r="C470" s="63"/>
      <c r="D470" s="63"/>
      <c r="E470" s="63"/>
      <c r="F470" s="134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239"/>
      <c r="Y470" s="240"/>
      <c r="Z470" s="240"/>
      <c r="AA470" s="239"/>
      <c r="AB470" s="40"/>
      <c r="AC470" s="66"/>
    </row>
    <row r="471" spans="1:34" ht="12.6" customHeight="1" x14ac:dyDescent="0.2">
      <c r="A471" s="108"/>
      <c r="B471" s="238"/>
      <c r="C471" s="63"/>
      <c r="D471" s="63"/>
      <c r="E471" s="63"/>
      <c r="F471" s="134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239"/>
      <c r="Y471" s="240"/>
      <c r="Z471" s="240"/>
      <c r="AA471" s="239"/>
      <c r="AB471" s="40"/>
      <c r="AC471" s="66"/>
    </row>
    <row r="472" spans="1:34" ht="12.6" customHeight="1" x14ac:dyDescent="0.2">
      <c r="A472" s="108"/>
      <c r="B472" s="238"/>
      <c r="C472" s="63"/>
      <c r="D472" s="63"/>
      <c r="E472" s="63"/>
      <c r="F472" s="134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239"/>
      <c r="Y472" s="240"/>
      <c r="Z472" s="240"/>
      <c r="AA472" s="239"/>
      <c r="AB472" s="40"/>
      <c r="AC472" s="66"/>
    </row>
    <row r="473" spans="1:34" ht="12.6" customHeight="1" x14ac:dyDescent="0.2">
      <c r="A473" s="108"/>
      <c r="B473" s="238"/>
      <c r="C473" s="63"/>
      <c r="D473" s="63"/>
      <c r="E473" s="63"/>
      <c r="F473" s="134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239"/>
      <c r="Y473" s="240"/>
      <c r="Z473" s="240"/>
      <c r="AA473" s="239"/>
      <c r="AB473" s="40"/>
      <c r="AC473" s="66"/>
    </row>
    <row r="474" spans="1:34" ht="12.6" customHeight="1" x14ac:dyDescent="0.2">
      <c r="A474" s="108"/>
      <c r="B474" s="238"/>
      <c r="C474" s="63"/>
      <c r="D474" s="63"/>
      <c r="E474" s="63"/>
      <c r="F474" s="134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239"/>
      <c r="Y474" s="240"/>
      <c r="Z474" s="240"/>
      <c r="AA474" s="239"/>
      <c r="AB474" s="40"/>
      <c r="AC474" s="66"/>
    </row>
    <row r="475" spans="1:34" ht="12.6" customHeight="1" x14ac:dyDescent="0.2">
      <c r="A475" s="108"/>
      <c r="B475" s="238"/>
      <c r="C475" s="63"/>
      <c r="D475" s="63"/>
      <c r="E475" s="63"/>
      <c r="F475" s="134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239"/>
      <c r="Y475" s="240"/>
      <c r="Z475" s="240"/>
      <c r="AA475" s="239"/>
      <c r="AB475" s="40"/>
      <c r="AC475" s="66"/>
    </row>
    <row r="476" spans="1:34" ht="12.6" customHeight="1" x14ac:dyDescent="0.2">
      <c r="A476" s="108"/>
      <c r="B476" s="238"/>
      <c r="C476" s="63"/>
      <c r="D476" s="63"/>
      <c r="E476" s="63"/>
      <c r="F476" s="134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239"/>
      <c r="Y476" s="240"/>
      <c r="Z476" s="240"/>
      <c r="AA476" s="239"/>
      <c r="AB476" s="40"/>
      <c r="AC476" s="66"/>
    </row>
    <row r="477" spans="1:34" ht="12.6" customHeight="1" x14ac:dyDescent="0.2">
      <c r="A477" s="108"/>
      <c r="B477" s="238"/>
      <c r="C477" s="63"/>
      <c r="D477" s="63"/>
      <c r="E477" s="63"/>
      <c r="F477" s="134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239"/>
      <c r="Y477" s="240"/>
      <c r="Z477" s="240"/>
      <c r="AA477" s="239"/>
      <c r="AB477" s="40"/>
      <c r="AC477" s="66"/>
    </row>
    <row r="478" spans="1:34" ht="14.25" customHeight="1" x14ac:dyDescent="0.2">
      <c r="B478" s="1057" t="s">
        <v>527</v>
      </c>
      <c r="C478" s="1058"/>
      <c r="D478" s="1058"/>
      <c r="E478" s="1058"/>
      <c r="F478" s="1058"/>
      <c r="G478" s="1058"/>
      <c r="H478" s="1058"/>
      <c r="I478" s="1058"/>
      <c r="J478" s="1058"/>
      <c r="K478" s="1058"/>
      <c r="L478" s="1058"/>
      <c r="M478" s="1058"/>
      <c r="N478" s="1058"/>
      <c r="O478" s="1058"/>
      <c r="P478" s="1058"/>
      <c r="Q478" s="1058"/>
      <c r="R478" s="1058"/>
      <c r="S478" s="1058"/>
      <c r="T478" s="1058"/>
      <c r="U478" s="1058"/>
      <c r="V478" s="1058"/>
      <c r="W478" s="1058"/>
      <c r="AB478" s="4"/>
      <c r="AF478" s="628"/>
      <c r="AG478" s="629"/>
      <c r="AH478" s="629"/>
    </row>
    <row r="479" spans="1:34" ht="13.5" customHeight="1" x14ac:dyDescent="0.2">
      <c r="B479" s="925" t="s">
        <v>11</v>
      </c>
      <c r="C479" s="925" t="s">
        <v>12</v>
      </c>
      <c r="D479" s="926"/>
      <c r="E479" s="926"/>
      <c r="F479" s="813" t="s">
        <v>299</v>
      </c>
      <c r="G479" s="813" t="s">
        <v>13</v>
      </c>
      <c r="H479" s="660" t="s">
        <v>870</v>
      </c>
      <c r="I479" s="660"/>
      <c r="J479" s="661"/>
      <c r="K479" s="661"/>
      <c r="L479" s="661"/>
      <c r="M479" s="661"/>
      <c r="N479" s="661"/>
      <c r="O479" s="661"/>
      <c r="P479" s="661"/>
      <c r="Q479" s="661"/>
      <c r="R479" s="661"/>
      <c r="S479" s="661"/>
      <c r="T479" s="661"/>
      <c r="U479" s="661"/>
      <c r="V479" s="661"/>
      <c r="W479" s="661"/>
      <c r="X479" s="632" t="s">
        <v>14</v>
      </c>
      <c r="Y479" s="633"/>
      <c r="Z479" s="633"/>
      <c r="AA479" s="634"/>
      <c r="AB479" s="630" t="s">
        <v>15</v>
      </c>
      <c r="AF479" s="628" t="s">
        <v>3</v>
      </c>
      <c r="AG479" s="629"/>
      <c r="AH479" s="629"/>
    </row>
    <row r="480" spans="1:34" ht="11.25" customHeight="1" x14ac:dyDescent="0.2">
      <c r="B480" s="926"/>
      <c r="C480" s="926"/>
      <c r="D480" s="926"/>
      <c r="E480" s="926"/>
      <c r="F480" s="814"/>
      <c r="G480" s="814"/>
      <c r="H480" s="584"/>
      <c r="I480" s="583" t="s">
        <v>596</v>
      </c>
      <c r="J480" s="584"/>
      <c r="K480" s="583" t="s">
        <v>300</v>
      </c>
      <c r="L480" s="584"/>
      <c r="M480" s="583" t="s">
        <v>301</v>
      </c>
      <c r="N480" s="584"/>
      <c r="O480" s="583" t="s">
        <v>598</v>
      </c>
      <c r="P480" s="584"/>
      <c r="Q480" s="583" t="s">
        <v>17</v>
      </c>
      <c r="R480" s="584"/>
      <c r="S480" s="583" t="s">
        <v>18</v>
      </c>
      <c r="T480" s="584"/>
      <c r="U480" s="583" t="s">
        <v>19</v>
      </c>
      <c r="V480" s="584"/>
      <c r="W480" s="583" t="s">
        <v>599</v>
      </c>
      <c r="X480" s="635"/>
      <c r="Y480" s="636"/>
      <c r="Z480" s="636"/>
      <c r="AA480" s="637"/>
      <c r="AB480" s="631"/>
    </row>
    <row r="481" spans="1:28" ht="12" customHeight="1" x14ac:dyDescent="0.2">
      <c r="A481" s="4"/>
      <c r="B481" s="861" t="s">
        <v>808</v>
      </c>
      <c r="C481" s="665"/>
      <c r="D481" s="665"/>
      <c r="E481" s="665"/>
      <c r="F481" s="422">
        <f>9.5*X2</f>
        <v>9224.5</v>
      </c>
      <c r="G481" s="343">
        <f t="shared" ref="G481" si="1164">+F481*$X$1</f>
        <v>9224.5</v>
      </c>
      <c r="H481" s="104">
        <f>F481+4000</f>
        <v>13224.5</v>
      </c>
      <c r="I481" s="343">
        <f t="shared" ref="I481" si="1165">+H481*$X$1</f>
        <v>13224.5</v>
      </c>
      <c r="J481" s="104">
        <f>F481+1000</f>
        <v>10224.5</v>
      </c>
      <c r="K481" s="343">
        <f t="shared" ref="K481" si="1166">+J481*$X$1</f>
        <v>10224.5</v>
      </c>
      <c r="L481" s="104">
        <f>F481+900</f>
        <v>10124.5</v>
      </c>
      <c r="M481" s="343">
        <f t="shared" ref="M481" si="1167">+L481*$X$1</f>
        <v>10124.5</v>
      </c>
      <c r="N481" s="104">
        <f>F481+850</f>
        <v>10074.5</v>
      </c>
      <c r="O481" s="343">
        <f t="shared" ref="O481" si="1168">+N481*$X$1</f>
        <v>10074.5</v>
      </c>
      <c r="P481" s="104">
        <f>F481+800</f>
        <v>10024.5</v>
      </c>
      <c r="Q481" s="343">
        <f t="shared" ref="Q481" si="1169">+P481*$X$1</f>
        <v>10024.5</v>
      </c>
      <c r="R481" s="104">
        <f>F481+770</f>
        <v>9994.5</v>
      </c>
      <c r="S481" s="343">
        <f t="shared" ref="S481" si="1170">+R481*$X$1</f>
        <v>9994.5</v>
      </c>
      <c r="T481" s="104">
        <f>F481+730</f>
        <v>9954.5</v>
      </c>
      <c r="U481" s="343">
        <f t="shared" ref="U481" si="1171">+T481*$X$1</f>
        <v>9954.5</v>
      </c>
      <c r="V481" s="104">
        <f>F481+690</f>
        <v>9914.5</v>
      </c>
      <c r="W481" s="343">
        <f t="shared" ref="W481" si="1172">+V481*$X$1</f>
        <v>9914.5</v>
      </c>
      <c r="X481" s="145"/>
      <c r="Y481" s="140"/>
      <c r="Z481" s="146"/>
      <c r="AA481" s="147"/>
      <c r="AB481" s="466" t="s">
        <v>812</v>
      </c>
    </row>
    <row r="482" spans="1:28" ht="12" customHeight="1" x14ac:dyDescent="0.2">
      <c r="A482" s="4"/>
      <c r="B482" s="861" t="s">
        <v>807</v>
      </c>
      <c r="C482" s="665"/>
      <c r="D482" s="665"/>
      <c r="E482" s="665"/>
      <c r="F482" s="423">
        <f>9.5*X2</f>
        <v>9224.5</v>
      </c>
      <c r="G482" s="329">
        <f t="shared" ref="G482" si="1173">+F482*$X$1</f>
        <v>9224.5</v>
      </c>
      <c r="H482" s="105">
        <f>F482+3000</f>
        <v>12224.5</v>
      </c>
      <c r="I482" s="329">
        <f t="shared" ref="I482" si="1174">+H482*$X$1</f>
        <v>12224.5</v>
      </c>
      <c r="J482" s="105">
        <f>F482+700</f>
        <v>9924.5</v>
      </c>
      <c r="K482" s="329">
        <f t="shared" ref="K482" si="1175">+J482*$X$1</f>
        <v>9924.5</v>
      </c>
      <c r="L482" s="105">
        <f>F482+550</f>
        <v>9774.5</v>
      </c>
      <c r="M482" s="329">
        <f t="shared" ref="M482" si="1176">+L482*$X$1</f>
        <v>9774.5</v>
      </c>
      <c r="N482" s="105">
        <f>F482+500</f>
        <v>9724.5</v>
      </c>
      <c r="O482" s="329">
        <f t="shared" ref="O482" si="1177">+N482*$X$1</f>
        <v>9724.5</v>
      </c>
      <c r="P482" s="105">
        <f>F482+460</f>
        <v>9684.5</v>
      </c>
      <c r="Q482" s="329">
        <f t="shared" ref="Q482" si="1178">+P482*$X$1</f>
        <v>9684.5</v>
      </c>
      <c r="R482" s="105">
        <f>F482+440</f>
        <v>9664.5</v>
      </c>
      <c r="S482" s="329">
        <f t="shared" ref="S482" si="1179">+R482*$X$1</f>
        <v>9664.5</v>
      </c>
      <c r="T482" s="105">
        <f>F482+400</f>
        <v>9624.5</v>
      </c>
      <c r="U482" s="329">
        <f t="shared" ref="U482" si="1180">+T482*$X$1</f>
        <v>9624.5</v>
      </c>
      <c r="V482" s="105">
        <f>F482+370</f>
        <v>9594.5</v>
      </c>
      <c r="W482" s="329">
        <f t="shared" ref="W482" si="1181">+V482*$X$1</f>
        <v>9594.5</v>
      </c>
      <c r="X482" s="145"/>
      <c r="Y482" s="140"/>
      <c r="Z482" s="146"/>
      <c r="AA482" s="147"/>
      <c r="AB482" s="451">
        <v>873</v>
      </c>
    </row>
    <row r="483" spans="1:28" ht="12" customHeight="1" x14ac:dyDescent="0.2">
      <c r="A483" s="4"/>
      <c r="B483" s="861" t="s">
        <v>756</v>
      </c>
      <c r="C483" s="665"/>
      <c r="D483" s="665"/>
      <c r="E483" s="665"/>
      <c r="F483" s="422">
        <f>18.8*X2</f>
        <v>18254.8</v>
      </c>
      <c r="G483" s="343">
        <f t="shared" ref="G483" si="1182">+F483*$X$1</f>
        <v>18254.8</v>
      </c>
      <c r="H483" s="104">
        <f>F483+3000</f>
        <v>21254.799999999999</v>
      </c>
      <c r="I483" s="343">
        <f t="shared" ref="I483" si="1183">+H483*$X$1</f>
        <v>21254.799999999999</v>
      </c>
      <c r="J483" s="104">
        <f>F483+700</f>
        <v>18954.8</v>
      </c>
      <c r="K483" s="343">
        <f t="shared" ref="K483" si="1184">+J483*$X$1</f>
        <v>18954.8</v>
      </c>
      <c r="L483" s="104">
        <f>F483+550</f>
        <v>18804.8</v>
      </c>
      <c r="M483" s="343">
        <f t="shared" ref="M483" si="1185">+L483*$X$1</f>
        <v>18804.8</v>
      </c>
      <c r="N483" s="104">
        <f>F483+500</f>
        <v>18754.8</v>
      </c>
      <c r="O483" s="343">
        <f t="shared" ref="O483" si="1186">+N483*$X$1</f>
        <v>18754.8</v>
      </c>
      <c r="P483" s="104">
        <f>F483+460</f>
        <v>18714.8</v>
      </c>
      <c r="Q483" s="343">
        <f t="shared" ref="Q483" si="1187">+P483*$X$1</f>
        <v>18714.8</v>
      </c>
      <c r="R483" s="104">
        <f>F483+440</f>
        <v>18694.8</v>
      </c>
      <c r="S483" s="343">
        <f t="shared" ref="S483" si="1188">+R483*$X$1</f>
        <v>18694.8</v>
      </c>
      <c r="T483" s="104">
        <f>F483+400</f>
        <v>18654.8</v>
      </c>
      <c r="U483" s="343">
        <f t="shared" ref="U483" si="1189">+T483*$X$1</f>
        <v>18654.8</v>
      </c>
      <c r="V483" s="104">
        <f>F483+370</f>
        <v>18624.8</v>
      </c>
      <c r="W483" s="343">
        <f t="shared" ref="W483" si="1190">+V483*$X$1</f>
        <v>18624.8</v>
      </c>
      <c r="X483" s="145"/>
      <c r="Y483" s="140"/>
      <c r="Z483" s="146"/>
      <c r="AA483" s="147"/>
      <c r="AB483" s="451">
        <v>874</v>
      </c>
    </row>
    <row r="484" spans="1:28" ht="12.6" customHeight="1" x14ac:dyDescent="0.2">
      <c r="A484" s="4"/>
      <c r="B484" s="877" t="s">
        <v>722</v>
      </c>
      <c r="C484" s="722"/>
      <c r="D484" s="722"/>
      <c r="E484" s="722"/>
      <c r="F484" s="423">
        <f>12*X2</f>
        <v>11652</v>
      </c>
      <c r="G484" s="329">
        <f t="shared" ref="G484:G485" si="1191">+F484*$X$1</f>
        <v>11652</v>
      </c>
      <c r="H484" s="105">
        <f>F484+4000</f>
        <v>15652</v>
      </c>
      <c r="I484" s="329">
        <f t="shared" ref="I484:I486" si="1192">+H484*$X$1</f>
        <v>15652</v>
      </c>
      <c r="J484" s="105">
        <f>F484+1000</f>
        <v>12652</v>
      </c>
      <c r="K484" s="329">
        <f t="shared" ref="K484:K486" si="1193">+J484*$X$1</f>
        <v>12652</v>
      </c>
      <c r="L484" s="105">
        <f>F484+900</f>
        <v>12552</v>
      </c>
      <c r="M484" s="329">
        <f t="shared" ref="M484:M486" si="1194">+L484*$X$1</f>
        <v>12552</v>
      </c>
      <c r="N484" s="105">
        <f>F484+850</f>
        <v>12502</v>
      </c>
      <c r="O484" s="329">
        <f t="shared" ref="O484:O486" si="1195">+N484*$X$1</f>
        <v>12502</v>
      </c>
      <c r="P484" s="105">
        <f>F484+800</f>
        <v>12452</v>
      </c>
      <c r="Q484" s="329">
        <f t="shared" ref="Q484:Q486" si="1196">+P484*$X$1</f>
        <v>12452</v>
      </c>
      <c r="R484" s="105">
        <f>F484+770</f>
        <v>12422</v>
      </c>
      <c r="S484" s="329">
        <f t="shared" ref="S484:S486" si="1197">+R484*$X$1</f>
        <v>12422</v>
      </c>
      <c r="T484" s="105">
        <f>F484+730</f>
        <v>12382</v>
      </c>
      <c r="U484" s="329">
        <f t="shared" ref="U484:U486" si="1198">+T484*$X$1</f>
        <v>12382</v>
      </c>
      <c r="V484" s="105">
        <f>F484+690</f>
        <v>12342</v>
      </c>
      <c r="W484" s="329">
        <f t="shared" ref="W484:W486" si="1199">+V484*$X$1</f>
        <v>12342</v>
      </c>
      <c r="X484" s="145"/>
      <c r="Y484" s="140"/>
      <c r="Z484" s="146"/>
      <c r="AA484" s="147"/>
      <c r="AB484" s="451" t="s">
        <v>732</v>
      </c>
    </row>
    <row r="485" spans="1:28" ht="12" customHeight="1" x14ac:dyDescent="0.2">
      <c r="A485" s="4"/>
      <c r="B485" s="737" t="s">
        <v>723</v>
      </c>
      <c r="C485" s="670"/>
      <c r="D485" s="670"/>
      <c r="E485" s="670"/>
      <c r="F485" s="422">
        <f>12*X2</f>
        <v>11652</v>
      </c>
      <c r="G485" s="343">
        <f t="shared" si="1191"/>
        <v>11652</v>
      </c>
      <c r="H485" s="104">
        <f>F485+3000</f>
        <v>14652</v>
      </c>
      <c r="I485" s="343">
        <f t="shared" si="1192"/>
        <v>14652</v>
      </c>
      <c r="J485" s="104">
        <f>F485+700</f>
        <v>12352</v>
      </c>
      <c r="K485" s="343">
        <f t="shared" si="1193"/>
        <v>12352</v>
      </c>
      <c r="L485" s="104">
        <f>F485+550</f>
        <v>12202</v>
      </c>
      <c r="M485" s="343">
        <f t="shared" si="1194"/>
        <v>12202</v>
      </c>
      <c r="N485" s="104">
        <f>F485+500</f>
        <v>12152</v>
      </c>
      <c r="O485" s="343">
        <f t="shared" si="1195"/>
        <v>12152</v>
      </c>
      <c r="P485" s="104">
        <f>F485+460</f>
        <v>12112</v>
      </c>
      <c r="Q485" s="343">
        <f t="shared" si="1196"/>
        <v>12112</v>
      </c>
      <c r="R485" s="104">
        <f>F485+440</f>
        <v>12092</v>
      </c>
      <c r="S485" s="343">
        <f t="shared" si="1197"/>
        <v>12092</v>
      </c>
      <c r="T485" s="104">
        <f>F485+400</f>
        <v>12052</v>
      </c>
      <c r="U485" s="343">
        <f t="shared" si="1198"/>
        <v>12052</v>
      </c>
      <c r="V485" s="104">
        <f>F485+370</f>
        <v>12022</v>
      </c>
      <c r="W485" s="343">
        <f t="shared" si="1199"/>
        <v>12022</v>
      </c>
      <c r="X485" s="145"/>
      <c r="Y485" s="140"/>
      <c r="Z485" s="146"/>
      <c r="AA485" s="147"/>
      <c r="AB485" s="451">
        <v>875</v>
      </c>
    </row>
    <row r="486" spans="1:28" ht="12.6" customHeight="1" x14ac:dyDescent="0.2">
      <c r="A486" s="4"/>
      <c r="B486" s="877" t="s">
        <v>809</v>
      </c>
      <c r="C486" s="722"/>
      <c r="D486" s="722"/>
      <c r="E486" s="722"/>
      <c r="F486" s="423">
        <f>17.96*X2</f>
        <v>17439.16</v>
      </c>
      <c r="G486" s="329">
        <f t="shared" ref="G486" si="1200">+F486*$X$1</f>
        <v>17439.16</v>
      </c>
      <c r="H486" s="105">
        <f>F486+3000</f>
        <v>20439.16</v>
      </c>
      <c r="I486" s="329">
        <f t="shared" si="1192"/>
        <v>20439.16</v>
      </c>
      <c r="J486" s="105">
        <f>F486+700</f>
        <v>18139.16</v>
      </c>
      <c r="K486" s="329">
        <f t="shared" si="1193"/>
        <v>18139.16</v>
      </c>
      <c r="L486" s="105">
        <f>F486+550</f>
        <v>17989.16</v>
      </c>
      <c r="M486" s="329">
        <f t="shared" si="1194"/>
        <v>17989.16</v>
      </c>
      <c r="N486" s="105">
        <f>F486+500</f>
        <v>17939.16</v>
      </c>
      <c r="O486" s="329">
        <f t="shared" si="1195"/>
        <v>17939.16</v>
      </c>
      <c r="P486" s="105">
        <f>F486+460</f>
        <v>17899.16</v>
      </c>
      <c r="Q486" s="329">
        <f t="shared" si="1196"/>
        <v>17899.16</v>
      </c>
      <c r="R486" s="105">
        <f>F486+440</f>
        <v>17879.16</v>
      </c>
      <c r="S486" s="329">
        <f t="shared" si="1197"/>
        <v>17879.16</v>
      </c>
      <c r="T486" s="105">
        <f>F486+400</f>
        <v>17839.16</v>
      </c>
      <c r="U486" s="329">
        <f t="shared" si="1198"/>
        <v>17839.16</v>
      </c>
      <c r="V486" s="105">
        <f>F486+370</f>
        <v>17809.16</v>
      </c>
      <c r="W486" s="329">
        <f t="shared" si="1199"/>
        <v>17809.16</v>
      </c>
      <c r="X486" s="145"/>
      <c r="Y486" s="140"/>
      <c r="Z486" s="146"/>
      <c r="AA486" s="147"/>
      <c r="AB486" s="451">
        <v>876</v>
      </c>
    </row>
    <row r="487" spans="1:28" ht="12.6" customHeight="1" x14ac:dyDescent="0.2">
      <c r="A487" s="4"/>
      <c r="B487" s="861" t="s">
        <v>757</v>
      </c>
      <c r="C487" s="665"/>
      <c r="D487" s="665"/>
      <c r="E487" s="665"/>
      <c r="F487" s="422">
        <f>15.37*X2</f>
        <v>14924.269999999999</v>
      </c>
      <c r="G487" s="343">
        <f t="shared" ref="G487" si="1201">+F487*$X$1</f>
        <v>14924.269999999999</v>
      </c>
      <c r="H487" s="104">
        <f>F487+4000</f>
        <v>18924.269999999997</v>
      </c>
      <c r="I487" s="343">
        <f t="shared" ref="I487:I488" si="1202">+H487*$X$1</f>
        <v>18924.269999999997</v>
      </c>
      <c r="J487" s="104">
        <f>F487+1000</f>
        <v>15924.269999999999</v>
      </c>
      <c r="K487" s="343">
        <f t="shared" ref="K487:K488" si="1203">+J487*$X$1</f>
        <v>15924.269999999999</v>
      </c>
      <c r="L487" s="104">
        <f>F487+900</f>
        <v>15824.269999999999</v>
      </c>
      <c r="M487" s="343">
        <f t="shared" ref="M487:M488" si="1204">+L487*$X$1</f>
        <v>15824.269999999999</v>
      </c>
      <c r="N487" s="104">
        <f>F487+850</f>
        <v>15774.269999999999</v>
      </c>
      <c r="O487" s="343">
        <f t="shared" ref="O487:O488" si="1205">+N487*$X$1</f>
        <v>15774.269999999999</v>
      </c>
      <c r="P487" s="104">
        <f>F487+800</f>
        <v>15724.269999999999</v>
      </c>
      <c r="Q487" s="343">
        <f t="shared" ref="Q487:Q488" si="1206">+P487*$X$1</f>
        <v>15724.269999999999</v>
      </c>
      <c r="R487" s="104">
        <f>F487+770</f>
        <v>15694.269999999999</v>
      </c>
      <c r="S487" s="343">
        <f t="shared" ref="S487:S488" si="1207">+R487*$X$1</f>
        <v>15694.269999999999</v>
      </c>
      <c r="T487" s="104">
        <f>F487+730</f>
        <v>15654.269999999999</v>
      </c>
      <c r="U487" s="343">
        <f t="shared" ref="U487:U488" si="1208">+T487*$X$1</f>
        <v>15654.269999999999</v>
      </c>
      <c r="V487" s="104">
        <f>F487+690</f>
        <v>15614.269999999999</v>
      </c>
      <c r="W487" s="343">
        <f t="shared" ref="W487:W488" si="1209">+V487*$X$1</f>
        <v>15614.269999999999</v>
      </c>
      <c r="X487" s="145"/>
      <c r="Y487" s="140"/>
      <c r="Z487" s="146"/>
      <c r="AA487" s="147"/>
      <c r="AB487" s="451" t="s">
        <v>671</v>
      </c>
    </row>
    <row r="488" spans="1:28" ht="12.6" customHeight="1" x14ac:dyDescent="0.2">
      <c r="A488" s="4"/>
      <c r="B488" s="861" t="s">
        <v>758</v>
      </c>
      <c r="C488" s="665"/>
      <c r="D488" s="665"/>
      <c r="E488" s="665"/>
      <c r="F488" s="423">
        <f>15.37*X2</f>
        <v>14924.269999999999</v>
      </c>
      <c r="G488" s="329">
        <f t="shared" ref="G488" si="1210">+F488*$X$1</f>
        <v>14924.269999999999</v>
      </c>
      <c r="H488" s="105">
        <f>F488+3000</f>
        <v>17924.269999999997</v>
      </c>
      <c r="I488" s="329">
        <f t="shared" si="1202"/>
        <v>17924.269999999997</v>
      </c>
      <c r="J488" s="105">
        <f>F488+700</f>
        <v>15624.269999999999</v>
      </c>
      <c r="K488" s="329">
        <f t="shared" si="1203"/>
        <v>15624.269999999999</v>
      </c>
      <c r="L488" s="105">
        <f>F488+550</f>
        <v>15474.269999999999</v>
      </c>
      <c r="M488" s="329">
        <f t="shared" si="1204"/>
        <v>15474.269999999999</v>
      </c>
      <c r="N488" s="105">
        <f>F488+500</f>
        <v>15424.269999999999</v>
      </c>
      <c r="O488" s="329">
        <f t="shared" si="1205"/>
        <v>15424.269999999999</v>
      </c>
      <c r="P488" s="105">
        <f>F488+460</f>
        <v>15384.269999999999</v>
      </c>
      <c r="Q488" s="329">
        <f t="shared" si="1206"/>
        <v>15384.269999999999</v>
      </c>
      <c r="R488" s="105">
        <f>F488+440</f>
        <v>15364.269999999999</v>
      </c>
      <c r="S488" s="329">
        <f t="shared" si="1207"/>
        <v>15364.269999999999</v>
      </c>
      <c r="T488" s="105">
        <f>F488+400</f>
        <v>15324.269999999999</v>
      </c>
      <c r="U488" s="329">
        <f t="shared" si="1208"/>
        <v>15324.269999999999</v>
      </c>
      <c r="V488" s="105">
        <f>F488+370</f>
        <v>15294.269999999999</v>
      </c>
      <c r="W488" s="329">
        <f t="shared" si="1209"/>
        <v>15294.269999999999</v>
      </c>
      <c r="X488" s="145"/>
      <c r="Y488" s="140"/>
      <c r="Z488" s="146"/>
      <c r="AA488" s="147"/>
      <c r="AB488" s="451">
        <v>878</v>
      </c>
    </row>
    <row r="489" spans="1:28" ht="12.6" customHeight="1" x14ac:dyDescent="0.2">
      <c r="A489" s="4"/>
      <c r="B489" s="875" t="s">
        <v>724</v>
      </c>
      <c r="C489" s="676"/>
      <c r="D489" s="676"/>
      <c r="E489" s="676"/>
      <c r="F489" s="422">
        <f>23.83*X2</f>
        <v>23138.929999999997</v>
      </c>
      <c r="G489" s="343">
        <f t="shared" ref="G489" si="1211">+F489*$X$1</f>
        <v>23138.929999999997</v>
      </c>
      <c r="H489" s="104">
        <f>F489+4000</f>
        <v>27138.929999999997</v>
      </c>
      <c r="I489" s="343">
        <f t="shared" ref="I489:I490" si="1212">+H489*$X$1</f>
        <v>27138.929999999997</v>
      </c>
      <c r="J489" s="104">
        <f>F489+1000</f>
        <v>24138.929999999997</v>
      </c>
      <c r="K489" s="343">
        <f t="shared" ref="K489:K490" si="1213">+J489*$X$1</f>
        <v>24138.929999999997</v>
      </c>
      <c r="L489" s="104">
        <f>F489+900</f>
        <v>24038.929999999997</v>
      </c>
      <c r="M489" s="343">
        <f t="shared" ref="M489:M490" si="1214">+L489*$X$1</f>
        <v>24038.929999999997</v>
      </c>
      <c r="N489" s="104">
        <f>F489+850</f>
        <v>23988.929999999997</v>
      </c>
      <c r="O489" s="343">
        <f t="shared" ref="O489:O490" si="1215">+N489*$X$1</f>
        <v>23988.929999999997</v>
      </c>
      <c r="P489" s="104">
        <f>F489+800</f>
        <v>23938.929999999997</v>
      </c>
      <c r="Q489" s="343">
        <f t="shared" ref="Q489:Q490" si="1216">+P489*$X$1</f>
        <v>23938.929999999997</v>
      </c>
      <c r="R489" s="104">
        <f>F489+770</f>
        <v>23908.929999999997</v>
      </c>
      <c r="S489" s="343">
        <f t="shared" ref="S489:S490" si="1217">+R489*$X$1</f>
        <v>23908.929999999997</v>
      </c>
      <c r="T489" s="104">
        <f>F489+730</f>
        <v>23868.929999999997</v>
      </c>
      <c r="U489" s="343">
        <f t="shared" ref="U489:U490" si="1218">+T489*$X$1</f>
        <v>23868.929999999997</v>
      </c>
      <c r="V489" s="104">
        <f>F489+690</f>
        <v>23828.929999999997</v>
      </c>
      <c r="W489" s="343">
        <f t="shared" ref="W489:W490" si="1219">+V489*$X$1</f>
        <v>23828.929999999997</v>
      </c>
      <c r="X489" s="145"/>
      <c r="Y489" s="140"/>
      <c r="Z489" s="146"/>
      <c r="AA489" s="147"/>
      <c r="AB489" s="451" t="s">
        <v>630</v>
      </c>
    </row>
    <row r="490" spans="1:28" ht="12.6" customHeight="1" x14ac:dyDescent="0.2">
      <c r="A490" s="4"/>
      <c r="B490" s="714" t="s">
        <v>725</v>
      </c>
      <c r="C490" s="707"/>
      <c r="D490" s="707"/>
      <c r="E490" s="707"/>
      <c r="F490" s="423">
        <f>23.83*X2</f>
        <v>23138.929999999997</v>
      </c>
      <c r="G490" s="329">
        <f t="shared" ref="G490:G491" si="1220">+F490*$X$1</f>
        <v>23138.929999999997</v>
      </c>
      <c r="H490" s="105">
        <f>F490+3000</f>
        <v>26138.929999999997</v>
      </c>
      <c r="I490" s="329">
        <f t="shared" si="1212"/>
        <v>26138.929999999997</v>
      </c>
      <c r="J490" s="105">
        <f>F490+700</f>
        <v>23838.929999999997</v>
      </c>
      <c r="K490" s="329">
        <f t="shared" si="1213"/>
        <v>23838.929999999997</v>
      </c>
      <c r="L490" s="105">
        <f>F490+550</f>
        <v>23688.929999999997</v>
      </c>
      <c r="M490" s="329">
        <f t="shared" si="1214"/>
        <v>23688.929999999997</v>
      </c>
      <c r="N490" s="105">
        <f>F490+500</f>
        <v>23638.929999999997</v>
      </c>
      <c r="O490" s="329">
        <f t="shared" si="1215"/>
        <v>23638.929999999997</v>
      </c>
      <c r="P490" s="105">
        <f>F490+460</f>
        <v>23598.929999999997</v>
      </c>
      <c r="Q490" s="329">
        <f t="shared" si="1216"/>
        <v>23598.929999999997</v>
      </c>
      <c r="R490" s="105">
        <f>F490+440</f>
        <v>23578.929999999997</v>
      </c>
      <c r="S490" s="329">
        <f t="shared" si="1217"/>
        <v>23578.929999999997</v>
      </c>
      <c r="T490" s="105">
        <f>F490+400</f>
        <v>23538.929999999997</v>
      </c>
      <c r="U490" s="329">
        <f t="shared" si="1218"/>
        <v>23538.929999999997</v>
      </c>
      <c r="V490" s="105">
        <f>F490+370</f>
        <v>23508.929999999997</v>
      </c>
      <c r="W490" s="329">
        <f t="shared" si="1219"/>
        <v>23508.929999999997</v>
      </c>
      <c r="X490" s="145"/>
      <c r="Y490" s="140"/>
      <c r="Z490" s="146"/>
      <c r="AA490" s="147"/>
      <c r="AB490" s="451">
        <v>880</v>
      </c>
    </row>
    <row r="491" spans="1:28" ht="12.6" customHeight="1" x14ac:dyDescent="0.2">
      <c r="A491" s="4"/>
      <c r="B491" s="875" t="s">
        <v>726</v>
      </c>
      <c r="C491" s="676"/>
      <c r="D491" s="676"/>
      <c r="E491" s="676"/>
      <c r="F491" s="422">
        <f>31.386*X2</f>
        <v>30475.806</v>
      </c>
      <c r="G491" s="343">
        <f t="shared" si="1220"/>
        <v>30475.806</v>
      </c>
      <c r="H491" s="104">
        <f>F491+4000</f>
        <v>34475.805999999997</v>
      </c>
      <c r="I491" s="343">
        <f t="shared" ref="I491:I494" si="1221">+H491*$X$1</f>
        <v>34475.805999999997</v>
      </c>
      <c r="J491" s="104">
        <f>F491+1000</f>
        <v>31475.806</v>
      </c>
      <c r="K491" s="343">
        <f t="shared" ref="K491:K494" si="1222">+J491*$X$1</f>
        <v>31475.806</v>
      </c>
      <c r="L491" s="104">
        <f>F491+900</f>
        <v>31375.806</v>
      </c>
      <c r="M491" s="343">
        <f t="shared" ref="M491:M494" si="1223">+L491*$X$1</f>
        <v>31375.806</v>
      </c>
      <c r="N491" s="104">
        <f>F491+850</f>
        <v>31325.806</v>
      </c>
      <c r="O491" s="343">
        <f t="shared" ref="O491:O494" si="1224">+N491*$X$1</f>
        <v>31325.806</v>
      </c>
      <c r="P491" s="104">
        <f>F491+800</f>
        <v>31275.806</v>
      </c>
      <c r="Q491" s="343">
        <f t="shared" ref="Q491:Q494" si="1225">+P491*$X$1</f>
        <v>31275.806</v>
      </c>
      <c r="R491" s="104">
        <f>F491+770</f>
        <v>31245.806</v>
      </c>
      <c r="S491" s="343">
        <f t="shared" ref="S491:S494" si="1226">+R491*$X$1</f>
        <v>31245.806</v>
      </c>
      <c r="T491" s="104">
        <f>F491+730</f>
        <v>31205.806</v>
      </c>
      <c r="U491" s="343">
        <f t="shared" ref="U491:U494" si="1227">+T491*$X$1</f>
        <v>31205.806</v>
      </c>
      <c r="V491" s="104">
        <f>F491+690</f>
        <v>31165.806</v>
      </c>
      <c r="W491" s="343">
        <f t="shared" ref="W491:W494" si="1228">+V491*$X$1</f>
        <v>31165.806</v>
      </c>
      <c r="X491" s="145"/>
      <c r="Y491" s="140"/>
      <c r="Z491" s="146"/>
      <c r="AA491" s="147"/>
      <c r="AB491" s="451" t="s">
        <v>631</v>
      </c>
    </row>
    <row r="492" spans="1:28" ht="12.6" customHeight="1" x14ac:dyDescent="0.2">
      <c r="A492" s="4"/>
      <c r="B492" s="714" t="s">
        <v>727</v>
      </c>
      <c r="C492" s="626"/>
      <c r="D492" s="626"/>
      <c r="E492" s="626"/>
      <c r="F492" s="423">
        <f>31.386*X2</f>
        <v>30475.806</v>
      </c>
      <c r="G492" s="329">
        <f t="shared" ref="G492:G493" si="1229">+F492*$X$1</f>
        <v>30475.806</v>
      </c>
      <c r="H492" s="105">
        <f>F492+3000</f>
        <v>33475.805999999997</v>
      </c>
      <c r="I492" s="329">
        <f t="shared" si="1221"/>
        <v>33475.805999999997</v>
      </c>
      <c r="J492" s="105">
        <f>F492+700</f>
        <v>31175.806</v>
      </c>
      <c r="K492" s="329">
        <f t="shared" si="1222"/>
        <v>31175.806</v>
      </c>
      <c r="L492" s="105">
        <f>F492+550</f>
        <v>31025.806</v>
      </c>
      <c r="M492" s="329">
        <f t="shared" si="1223"/>
        <v>31025.806</v>
      </c>
      <c r="N492" s="105">
        <f>F492+500</f>
        <v>30975.806</v>
      </c>
      <c r="O492" s="329">
        <f t="shared" si="1224"/>
        <v>30975.806</v>
      </c>
      <c r="P492" s="105">
        <f>F492+460</f>
        <v>30935.806</v>
      </c>
      <c r="Q492" s="329">
        <f t="shared" si="1225"/>
        <v>30935.806</v>
      </c>
      <c r="R492" s="105">
        <f>F492+440</f>
        <v>30915.806</v>
      </c>
      <c r="S492" s="329">
        <f t="shared" si="1226"/>
        <v>30915.806</v>
      </c>
      <c r="T492" s="105">
        <f>F492+400</f>
        <v>30875.806</v>
      </c>
      <c r="U492" s="329">
        <f t="shared" si="1227"/>
        <v>30875.806</v>
      </c>
      <c r="V492" s="105">
        <f>F492+370</f>
        <v>30845.806</v>
      </c>
      <c r="W492" s="329">
        <f t="shared" si="1228"/>
        <v>30845.806</v>
      </c>
      <c r="X492" s="145"/>
      <c r="Y492" s="140"/>
      <c r="Z492" s="146"/>
      <c r="AA492" s="147"/>
      <c r="AB492" s="451">
        <v>881</v>
      </c>
    </row>
    <row r="493" spans="1:28" ht="12.6" customHeight="1" x14ac:dyDescent="0.2">
      <c r="A493" s="4"/>
      <c r="B493" s="875" t="s">
        <v>728</v>
      </c>
      <c r="C493" s="676"/>
      <c r="D493" s="676"/>
      <c r="E493" s="676"/>
      <c r="F493" s="422">
        <f>20.241*X2</f>
        <v>19654.010999999999</v>
      </c>
      <c r="G493" s="343">
        <f t="shared" si="1229"/>
        <v>19654.010999999999</v>
      </c>
      <c r="H493" s="104">
        <f>F493+3000</f>
        <v>22654.010999999999</v>
      </c>
      <c r="I493" s="343">
        <f t="shared" si="1221"/>
        <v>22654.010999999999</v>
      </c>
      <c r="J493" s="104">
        <f>F493+700</f>
        <v>20354.010999999999</v>
      </c>
      <c r="K493" s="343">
        <f t="shared" si="1222"/>
        <v>20354.010999999999</v>
      </c>
      <c r="L493" s="104">
        <f>F493+550</f>
        <v>20204.010999999999</v>
      </c>
      <c r="M493" s="343">
        <f t="shared" si="1223"/>
        <v>20204.010999999999</v>
      </c>
      <c r="N493" s="104">
        <f>F493+500</f>
        <v>20154.010999999999</v>
      </c>
      <c r="O493" s="343">
        <f t="shared" si="1224"/>
        <v>20154.010999999999</v>
      </c>
      <c r="P493" s="104">
        <f>F493+460</f>
        <v>20114.010999999999</v>
      </c>
      <c r="Q493" s="343">
        <f t="shared" si="1225"/>
        <v>20114.010999999999</v>
      </c>
      <c r="R493" s="104">
        <f>F493+440</f>
        <v>20094.010999999999</v>
      </c>
      <c r="S493" s="343">
        <f t="shared" si="1226"/>
        <v>20094.010999999999</v>
      </c>
      <c r="T493" s="104">
        <f>F493+400</f>
        <v>20054.010999999999</v>
      </c>
      <c r="U493" s="343">
        <f t="shared" si="1227"/>
        <v>20054.010999999999</v>
      </c>
      <c r="V493" s="104">
        <f>F493+370</f>
        <v>20024.010999999999</v>
      </c>
      <c r="W493" s="343">
        <f t="shared" si="1228"/>
        <v>20024.010999999999</v>
      </c>
      <c r="X493" s="145"/>
      <c r="Y493" s="140"/>
      <c r="Z493" s="146"/>
      <c r="AA493" s="147"/>
      <c r="AB493" s="451">
        <v>882</v>
      </c>
    </row>
    <row r="494" spans="1:28" ht="12.6" customHeight="1" x14ac:dyDescent="0.2">
      <c r="A494" s="4"/>
      <c r="B494" s="877" t="s">
        <v>493</v>
      </c>
      <c r="C494" s="722"/>
      <c r="D494" s="722"/>
      <c r="E494" s="722"/>
      <c r="F494" s="423">
        <f>24*X2</f>
        <v>23304</v>
      </c>
      <c r="G494" s="329">
        <f t="shared" ref="G494:G496" si="1230">+F494*$X$1</f>
        <v>23304</v>
      </c>
      <c r="H494" s="105">
        <f>F494+3000</f>
        <v>26304</v>
      </c>
      <c r="I494" s="329">
        <f t="shared" si="1221"/>
        <v>26304</v>
      </c>
      <c r="J494" s="105">
        <f>F494+700</f>
        <v>24004</v>
      </c>
      <c r="K494" s="329">
        <f t="shared" si="1222"/>
        <v>24004</v>
      </c>
      <c r="L494" s="105">
        <f>F494+550</f>
        <v>23854</v>
      </c>
      <c r="M494" s="329">
        <f t="shared" si="1223"/>
        <v>23854</v>
      </c>
      <c r="N494" s="105">
        <f>F494+500</f>
        <v>23804</v>
      </c>
      <c r="O494" s="329">
        <f t="shared" si="1224"/>
        <v>23804</v>
      </c>
      <c r="P494" s="105">
        <f>F494+460</f>
        <v>23764</v>
      </c>
      <c r="Q494" s="329">
        <f t="shared" si="1225"/>
        <v>23764</v>
      </c>
      <c r="R494" s="105">
        <f>F494+440</f>
        <v>23744</v>
      </c>
      <c r="S494" s="329">
        <f t="shared" si="1226"/>
        <v>23744</v>
      </c>
      <c r="T494" s="105">
        <f>F494+400</f>
        <v>23704</v>
      </c>
      <c r="U494" s="329">
        <f t="shared" si="1227"/>
        <v>23704</v>
      </c>
      <c r="V494" s="105">
        <f>F494+370</f>
        <v>23674</v>
      </c>
      <c r="W494" s="329">
        <f t="shared" si="1228"/>
        <v>23674</v>
      </c>
      <c r="X494" s="145"/>
      <c r="Y494" s="140"/>
      <c r="Z494" s="146"/>
      <c r="AA494" s="147"/>
      <c r="AB494" s="451">
        <v>883</v>
      </c>
    </row>
    <row r="495" spans="1:28" ht="12.6" customHeight="1" x14ac:dyDescent="0.2">
      <c r="A495" s="4"/>
      <c r="B495" s="666" t="s">
        <v>820</v>
      </c>
      <c r="C495" s="683"/>
      <c r="D495" s="683"/>
      <c r="E495" s="684"/>
      <c r="F495" s="422">
        <f>16.1*X2</f>
        <v>15633.100000000002</v>
      </c>
      <c r="G495" s="343">
        <f t="shared" si="1230"/>
        <v>15633.100000000002</v>
      </c>
      <c r="H495" s="104">
        <f>F495+4000</f>
        <v>19633.100000000002</v>
      </c>
      <c r="I495" s="343">
        <f t="shared" ref="I495:I496" si="1231">+H495*$X$1</f>
        <v>19633.100000000002</v>
      </c>
      <c r="J495" s="104">
        <f>F495+1000</f>
        <v>16633.100000000002</v>
      </c>
      <c r="K495" s="343">
        <f t="shared" ref="K495:K496" si="1232">+J495*$X$1</f>
        <v>16633.100000000002</v>
      </c>
      <c r="L495" s="104">
        <f>F495+900</f>
        <v>16533.100000000002</v>
      </c>
      <c r="M495" s="343">
        <f t="shared" ref="M495:M496" si="1233">+L495*$X$1</f>
        <v>16533.100000000002</v>
      </c>
      <c r="N495" s="104">
        <f>F495+850</f>
        <v>16483.100000000002</v>
      </c>
      <c r="O495" s="343">
        <f t="shared" ref="O495:O496" si="1234">+N495*$X$1</f>
        <v>16483.100000000002</v>
      </c>
      <c r="P495" s="104">
        <f>F495+800</f>
        <v>16433.100000000002</v>
      </c>
      <c r="Q495" s="343">
        <f t="shared" ref="Q495:Q496" si="1235">+P495*$X$1</f>
        <v>16433.100000000002</v>
      </c>
      <c r="R495" s="104">
        <f>F495+770</f>
        <v>16403.100000000002</v>
      </c>
      <c r="S495" s="343">
        <f t="shared" ref="S495:S496" si="1236">+R495*$X$1</f>
        <v>16403.100000000002</v>
      </c>
      <c r="T495" s="104">
        <f>F495+730</f>
        <v>16363.100000000002</v>
      </c>
      <c r="U495" s="343">
        <f t="shared" ref="U495:U496" si="1237">+T495*$X$1</f>
        <v>16363.100000000002</v>
      </c>
      <c r="V495" s="104">
        <f>F495+690</f>
        <v>16323.100000000002</v>
      </c>
      <c r="W495" s="343">
        <f t="shared" ref="W495:W496" si="1238">+V495*$X$1</f>
        <v>16323.100000000002</v>
      </c>
      <c r="X495" s="145"/>
      <c r="Y495" s="140"/>
      <c r="Z495" s="146"/>
      <c r="AA495" s="147"/>
      <c r="AB495" s="451" t="s">
        <v>819</v>
      </c>
    </row>
    <row r="496" spans="1:28" ht="12.6" customHeight="1" x14ac:dyDescent="0.2">
      <c r="A496" s="4"/>
      <c r="B496" s="913" t="s">
        <v>821</v>
      </c>
      <c r="C496" s="678"/>
      <c r="D496" s="678"/>
      <c r="E496" s="679"/>
      <c r="F496" s="423">
        <f>16.1*X2</f>
        <v>15633.100000000002</v>
      </c>
      <c r="G496" s="329">
        <f t="shared" si="1230"/>
        <v>15633.100000000002</v>
      </c>
      <c r="H496" s="105">
        <f>F496+3000</f>
        <v>18633.100000000002</v>
      </c>
      <c r="I496" s="329">
        <f t="shared" si="1231"/>
        <v>18633.100000000002</v>
      </c>
      <c r="J496" s="105">
        <f>F496+700</f>
        <v>16333.100000000002</v>
      </c>
      <c r="K496" s="329">
        <f t="shared" si="1232"/>
        <v>16333.100000000002</v>
      </c>
      <c r="L496" s="105">
        <f>F496+550</f>
        <v>16183.100000000002</v>
      </c>
      <c r="M496" s="329">
        <f t="shared" si="1233"/>
        <v>16183.100000000002</v>
      </c>
      <c r="N496" s="105">
        <f>F496+500</f>
        <v>16133.100000000002</v>
      </c>
      <c r="O496" s="329">
        <f t="shared" si="1234"/>
        <v>16133.100000000002</v>
      </c>
      <c r="P496" s="105">
        <f>F496+460</f>
        <v>16093.100000000002</v>
      </c>
      <c r="Q496" s="329">
        <f t="shared" si="1235"/>
        <v>16093.100000000002</v>
      </c>
      <c r="R496" s="105">
        <f>F496+440</f>
        <v>16073.100000000002</v>
      </c>
      <c r="S496" s="329">
        <f t="shared" si="1236"/>
        <v>16073.100000000002</v>
      </c>
      <c r="T496" s="105">
        <f>F496+400</f>
        <v>16033.100000000002</v>
      </c>
      <c r="U496" s="329">
        <f t="shared" si="1237"/>
        <v>16033.100000000002</v>
      </c>
      <c r="V496" s="105">
        <f>F496+370</f>
        <v>16003.100000000002</v>
      </c>
      <c r="W496" s="329">
        <f t="shared" si="1238"/>
        <v>16003.100000000002</v>
      </c>
      <c r="X496" s="145"/>
      <c r="Y496" s="140"/>
      <c r="Z496" s="146"/>
      <c r="AA496" s="147"/>
      <c r="AB496" s="451">
        <v>886</v>
      </c>
    </row>
    <row r="497" spans="1:28" ht="12.6" customHeight="1" x14ac:dyDescent="0.2">
      <c r="A497" s="4"/>
      <c r="B497" s="875" t="s">
        <v>760</v>
      </c>
      <c r="C497" s="676"/>
      <c r="D497" s="676"/>
      <c r="E497" s="676"/>
      <c r="F497" s="418">
        <f>23.5*X2</f>
        <v>22818.5</v>
      </c>
      <c r="G497" s="307">
        <f t="shared" ref="G497" si="1239">+F497*$X$1</f>
        <v>22818.5</v>
      </c>
      <c r="H497" s="104">
        <f>F497+4000</f>
        <v>26818.5</v>
      </c>
      <c r="I497" s="343">
        <f t="shared" ref="I497:I500" si="1240">+H497*$X$1</f>
        <v>26818.5</v>
      </c>
      <c r="J497" s="104">
        <f>F497+1000</f>
        <v>23818.5</v>
      </c>
      <c r="K497" s="343">
        <f t="shared" ref="K497:K500" si="1241">+J497*$X$1</f>
        <v>23818.5</v>
      </c>
      <c r="L497" s="104">
        <f>F497+900</f>
        <v>23718.5</v>
      </c>
      <c r="M497" s="343">
        <f t="shared" ref="M497:M500" si="1242">+L497*$X$1</f>
        <v>23718.5</v>
      </c>
      <c r="N497" s="104">
        <f>F497+850</f>
        <v>23668.5</v>
      </c>
      <c r="O497" s="343">
        <f t="shared" ref="O497:O500" si="1243">+N497*$X$1</f>
        <v>23668.5</v>
      </c>
      <c r="P497" s="104">
        <f>F497+800</f>
        <v>23618.5</v>
      </c>
      <c r="Q497" s="343">
        <f t="shared" ref="Q497:Q500" si="1244">+P497*$X$1</f>
        <v>23618.5</v>
      </c>
      <c r="R497" s="104">
        <f>F497+770</f>
        <v>23588.5</v>
      </c>
      <c r="S497" s="343">
        <f t="shared" ref="S497:S500" si="1245">+R497*$X$1</f>
        <v>23588.5</v>
      </c>
      <c r="T497" s="104">
        <f>F497+730</f>
        <v>23548.5</v>
      </c>
      <c r="U497" s="343">
        <f t="shared" ref="U497:U500" si="1246">+T497*$X$1</f>
        <v>23548.5</v>
      </c>
      <c r="V497" s="104">
        <f>F497+690</f>
        <v>23508.5</v>
      </c>
      <c r="W497" s="343">
        <f t="shared" ref="W497:W500" si="1247">+V497*$X$1</f>
        <v>23508.5</v>
      </c>
      <c r="X497" s="145"/>
      <c r="Y497" s="140"/>
      <c r="Z497" s="146"/>
      <c r="AA497" s="147"/>
      <c r="AB497" s="451" t="s">
        <v>742</v>
      </c>
    </row>
    <row r="498" spans="1:28" ht="12.6" customHeight="1" x14ac:dyDescent="0.2">
      <c r="A498" s="4"/>
      <c r="B498" s="877" t="s">
        <v>759</v>
      </c>
      <c r="C498" s="722"/>
      <c r="D498" s="722"/>
      <c r="E498" s="722"/>
      <c r="F498" s="417">
        <f>23.45*X2</f>
        <v>22769.95</v>
      </c>
      <c r="G498" s="306">
        <f t="shared" ref="G498" si="1248">+F498*$X$1</f>
        <v>22769.95</v>
      </c>
      <c r="H498" s="105">
        <f>F498+3000</f>
        <v>25769.95</v>
      </c>
      <c r="I498" s="329">
        <f t="shared" si="1240"/>
        <v>25769.95</v>
      </c>
      <c r="J498" s="105">
        <f>F498+700</f>
        <v>23469.95</v>
      </c>
      <c r="K498" s="329">
        <f t="shared" si="1241"/>
        <v>23469.95</v>
      </c>
      <c r="L498" s="105">
        <f>F498+550</f>
        <v>23319.95</v>
      </c>
      <c r="M498" s="329">
        <f t="shared" si="1242"/>
        <v>23319.95</v>
      </c>
      <c r="N498" s="105">
        <f>F498+500</f>
        <v>23269.95</v>
      </c>
      <c r="O498" s="329">
        <f t="shared" si="1243"/>
        <v>23269.95</v>
      </c>
      <c r="P498" s="105">
        <f>F498+460</f>
        <v>23229.95</v>
      </c>
      <c r="Q498" s="329">
        <f t="shared" si="1244"/>
        <v>23229.95</v>
      </c>
      <c r="R498" s="105">
        <f>F498+440</f>
        <v>23209.95</v>
      </c>
      <c r="S498" s="329">
        <f t="shared" si="1245"/>
        <v>23209.95</v>
      </c>
      <c r="T498" s="105">
        <f>F498+400</f>
        <v>23169.95</v>
      </c>
      <c r="U498" s="329">
        <f t="shared" si="1246"/>
        <v>23169.95</v>
      </c>
      <c r="V498" s="105">
        <f>F498+370</f>
        <v>23139.95</v>
      </c>
      <c r="W498" s="329">
        <f t="shared" si="1247"/>
        <v>23139.95</v>
      </c>
      <c r="X498" s="145"/>
      <c r="Y498" s="140"/>
      <c r="Z498" s="146"/>
      <c r="AA498" s="147"/>
      <c r="AB498" s="451">
        <v>887</v>
      </c>
    </row>
    <row r="499" spans="1:28" ht="12.6" customHeight="1" x14ac:dyDescent="0.2">
      <c r="A499" s="4"/>
      <c r="B499" s="737" t="s">
        <v>670</v>
      </c>
      <c r="C499" s="670"/>
      <c r="D499" s="670"/>
      <c r="E499" s="670"/>
      <c r="F499" s="418">
        <f>14.7*X2</f>
        <v>14273.699999999999</v>
      </c>
      <c r="G499" s="307">
        <f t="shared" ref="G499" si="1249">+F499*$X$1</f>
        <v>14273.699999999999</v>
      </c>
      <c r="H499" s="104">
        <f>F499+3000</f>
        <v>17273.699999999997</v>
      </c>
      <c r="I499" s="343">
        <f t="shared" si="1240"/>
        <v>17273.699999999997</v>
      </c>
      <c r="J499" s="104">
        <f>F499+700</f>
        <v>14973.699999999999</v>
      </c>
      <c r="K499" s="343">
        <f t="shared" si="1241"/>
        <v>14973.699999999999</v>
      </c>
      <c r="L499" s="104">
        <f>F499+550</f>
        <v>14823.699999999999</v>
      </c>
      <c r="M499" s="343">
        <f t="shared" si="1242"/>
        <v>14823.699999999999</v>
      </c>
      <c r="N499" s="104">
        <f>F499+500</f>
        <v>14773.699999999999</v>
      </c>
      <c r="O499" s="343">
        <f t="shared" si="1243"/>
        <v>14773.699999999999</v>
      </c>
      <c r="P499" s="104">
        <f>F499+460</f>
        <v>14733.699999999999</v>
      </c>
      <c r="Q499" s="343">
        <f t="shared" si="1244"/>
        <v>14733.699999999999</v>
      </c>
      <c r="R499" s="104">
        <f>F499+440</f>
        <v>14713.699999999999</v>
      </c>
      <c r="S499" s="343">
        <f t="shared" si="1245"/>
        <v>14713.699999999999</v>
      </c>
      <c r="T499" s="104">
        <f>F499+400</f>
        <v>14673.699999999999</v>
      </c>
      <c r="U499" s="343">
        <f t="shared" si="1246"/>
        <v>14673.699999999999</v>
      </c>
      <c r="V499" s="104">
        <f>F499+370</f>
        <v>14643.699999999999</v>
      </c>
      <c r="W499" s="343">
        <f t="shared" si="1247"/>
        <v>14643.699999999999</v>
      </c>
      <c r="X499" s="145"/>
      <c r="Y499" s="140"/>
      <c r="Z499" s="146"/>
      <c r="AA499" s="147"/>
      <c r="AB499" s="451">
        <v>888</v>
      </c>
    </row>
    <row r="500" spans="1:28" ht="12.6" customHeight="1" x14ac:dyDescent="0.2">
      <c r="A500" s="4"/>
      <c r="B500" s="714" t="s">
        <v>453</v>
      </c>
      <c r="C500" s="649"/>
      <c r="D500" s="649"/>
      <c r="E500" s="649"/>
      <c r="F500" s="417">
        <f>16.2*X2</f>
        <v>15730.199999999999</v>
      </c>
      <c r="G500" s="306">
        <f t="shared" ref="G500" si="1250">+F500*$X$1</f>
        <v>15730.199999999999</v>
      </c>
      <c r="H500" s="105">
        <f>F500+3000</f>
        <v>18730.199999999997</v>
      </c>
      <c r="I500" s="329">
        <f t="shared" si="1240"/>
        <v>18730.199999999997</v>
      </c>
      <c r="J500" s="105">
        <f>F500+700</f>
        <v>16430.199999999997</v>
      </c>
      <c r="K500" s="329">
        <f t="shared" si="1241"/>
        <v>16430.199999999997</v>
      </c>
      <c r="L500" s="105">
        <f>F500+550</f>
        <v>16280.199999999999</v>
      </c>
      <c r="M500" s="329">
        <f t="shared" si="1242"/>
        <v>16280.199999999999</v>
      </c>
      <c r="N500" s="105">
        <f>F500+500</f>
        <v>16230.199999999999</v>
      </c>
      <c r="O500" s="329">
        <f t="shared" si="1243"/>
        <v>16230.199999999999</v>
      </c>
      <c r="P500" s="105">
        <f>F500+460</f>
        <v>16190.199999999999</v>
      </c>
      <c r="Q500" s="329">
        <f t="shared" si="1244"/>
        <v>16190.199999999999</v>
      </c>
      <c r="R500" s="105">
        <f>F500+440</f>
        <v>16170.199999999999</v>
      </c>
      <c r="S500" s="329">
        <f t="shared" si="1245"/>
        <v>16170.199999999999</v>
      </c>
      <c r="T500" s="105">
        <f>F500+400</f>
        <v>16130.199999999999</v>
      </c>
      <c r="U500" s="329">
        <f t="shared" si="1246"/>
        <v>16130.199999999999</v>
      </c>
      <c r="V500" s="105">
        <f>F500+370</f>
        <v>16100.199999999999</v>
      </c>
      <c r="W500" s="329">
        <f t="shared" si="1247"/>
        <v>16100.199999999999</v>
      </c>
      <c r="X500" s="145"/>
      <c r="Y500" s="140"/>
      <c r="Z500" s="146"/>
      <c r="AA500" s="147"/>
      <c r="AB500" s="451">
        <v>894</v>
      </c>
    </row>
    <row r="501" spans="1:28" ht="12.6" customHeight="1" x14ac:dyDescent="0.2">
      <c r="A501" s="4"/>
      <c r="B501" s="737" t="s">
        <v>719</v>
      </c>
      <c r="C501" s="670"/>
      <c r="D501" s="670"/>
      <c r="E501" s="670"/>
      <c r="F501" s="418">
        <f>15.5*X2</f>
        <v>15050.5</v>
      </c>
      <c r="G501" s="307">
        <f t="shared" ref="G501:G504" si="1251">+F501*$X$1</f>
        <v>15050.5</v>
      </c>
      <c r="H501" s="104">
        <f>F501+4000</f>
        <v>19050.5</v>
      </c>
      <c r="I501" s="343">
        <f t="shared" ref="I501:I502" si="1252">+H501*$X$1</f>
        <v>19050.5</v>
      </c>
      <c r="J501" s="104">
        <f>F501+1000</f>
        <v>16050.5</v>
      </c>
      <c r="K501" s="343">
        <f t="shared" ref="K501:K504" si="1253">+J501*$X$1</f>
        <v>16050.5</v>
      </c>
      <c r="L501" s="104">
        <f>F501+900</f>
        <v>15950.5</v>
      </c>
      <c r="M501" s="343">
        <f t="shared" ref="M501:M504" si="1254">+L501*$X$1</f>
        <v>15950.5</v>
      </c>
      <c r="N501" s="104">
        <f>F501+850</f>
        <v>15900.5</v>
      </c>
      <c r="O501" s="343">
        <f t="shared" ref="O501:O504" si="1255">+N501*$X$1</f>
        <v>15900.5</v>
      </c>
      <c r="P501" s="104">
        <f>F501+800</f>
        <v>15850.5</v>
      </c>
      <c r="Q501" s="343">
        <f t="shared" ref="Q501:Q504" si="1256">+P501*$X$1</f>
        <v>15850.5</v>
      </c>
      <c r="R501" s="104">
        <f>F501+770</f>
        <v>15820.5</v>
      </c>
      <c r="S501" s="343">
        <f t="shared" ref="S501:S504" si="1257">+R501*$X$1</f>
        <v>15820.5</v>
      </c>
      <c r="T501" s="104">
        <f>F501+730</f>
        <v>15780.5</v>
      </c>
      <c r="U501" s="343">
        <f t="shared" ref="U501:U504" si="1258">+T501*$X$1</f>
        <v>15780.5</v>
      </c>
      <c r="V501" s="104">
        <f>F501+690</f>
        <v>15740.5</v>
      </c>
      <c r="W501" s="343">
        <f t="shared" ref="W501:W504" si="1259">+V501*$X$1</f>
        <v>15740.5</v>
      </c>
      <c r="X501" s="145"/>
      <c r="Y501" s="140"/>
      <c r="Z501" s="146"/>
      <c r="AA501" s="147"/>
      <c r="AB501" s="451">
        <v>896</v>
      </c>
    </row>
    <row r="502" spans="1:28" ht="12.6" customHeight="1" x14ac:dyDescent="0.2">
      <c r="A502" s="4"/>
      <c r="B502" s="714" t="s">
        <v>669</v>
      </c>
      <c r="C502" s="626"/>
      <c r="D502" s="626"/>
      <c r="E502" s="626"/>
      <c r="F502" s="417">
        <f>15.5*X2</f>
        <v>15050.5</v>
      </c>
      <c r="G502" s="306">
        <f t="shared" si="1251"/>
        <v>15050.5</v>
      </c>
      <c r="H502" s="105">
        <f>F502+3000</f>
        <v>18050.5</v>
      </c>
      <c r="I502" s="329">
        <f t="shared" si="1252"/>
        <v>18050.5</v>
      </c>
      <c r="J502" s="105">
        <f>F502+700</f>
        <v>15750.5</v>
      </c>
      <c r="K502" s="329">
        <f t="shared" si="1253"/>
        <v>15750.5</v>
      </c>
      <c r="L502" s="105">
        <f>F502+550</f>
        <v>15600.5</v>
      </c>
      <c r="M502" s="329">
        <f t="shared" si="1254"/>
        <v>15600.5</v>
      </c>
      <c r="N502" s="105">
        <f>F502+500</f>
        <v>15550.5</v>
      </c>
      <c r="O502" s="329">
        <f t="shared" si="1255"/>
        <v>15550.5</v>
      </c>
      <c r="P502" s="105">
        <f>F502+460</f>
        <v>15510.5</v>
      </c>
      <c r="Q502" s="329">
        <f t="shared" si="1256"/>
        <v>15510.5</v>
      </c>
      <c r="R502" s="105">
        <f>F502+440</f>
        <v>15490.5</v>
      </c>
      <c r="S502" s="329">
        <f t="shared" si="1257"/>
        <v>15490.5</v>
      </c>
      <c r="T502" s="105">
        <f>F502+400</f>
        <v>15450.5</v>
      </c>
      <c r="U502" s="329">
        <f t="shared" si="1258"/>
        <v>15450.5</v>
      </c>
      <c r="V502" s="105">
        <f>F502+370</f>
        <v>15420.5</v>
      </c>
      <c r="W502" s="329">
        <f t="shared" si="1259"/>
        <v>15420.5</v>
      </c>
      <c r="X502" s="145"/>
      <c r="Y502" s="140"/>
      <c r="Z502" s="146"/>
      <c r="AA502" s="147"/>
      <c r="AB502" s="451">
        <v>896</v>
      </c>
    </row>
    <row r="503" spans="1:28" ht="12.6" customHeight="1" x14ac:dyDescent="0.2">
      <c r="A503" s="4"/>
      <c r="B503" s="737" t="s">
        <v>672</v>
      </c>
      <c r="C503" s="869"/>
      <c r="D503" s="869"/>
      <c r="E503" s="869"/>
      <c r="F503" s="418">
        <f>19*X2</f>
        <v>18449</v>
      </c>
      <c r="G503" s="307">
        <f t="shared" si="1251"/>
        <v>18449</v>
      </c>
      <c r="H503" s="104">
        <f>F503+4000</f>
        <v>22449</v>
      </c>
      <c r="I503" s="343">
        <f t="shared" ref="I503:I504" si="1260">+H503*$X$1</f>
        <v>22449</v>
      </c>
      <c r="J503" s="104">
        <f>F503+1000</f>
        <v>19449</v>
      </c>
      <c r="K503" s="343">
        <f t="shared" si="1253"/>
        <v>19449</v>
      </c>
      <c r="L503" s="104">
        <f>F503+900</f>
        <v>19349</v>
      </c>
      <c r="M503" s="343">
        <f t="shared" si="1254"/>
        <v>19349</v>
      </c>
      <c r="N503" s="104">
        <f>F503+850</f>
        <v>19299</v>
      </c>
      <c r="O503" s="343">
        <f t="shared" si="1255"/>
        <v>19299</v>
      </c>
      <c r="P503" s="104">
        <f>F503+800</f>
        <v>19249</v>
      </c>
      <c r="Q503" s="343">
        <f t="shared" si="1256"/>
        <v>19249</v>
      </c>
      <c r="R503" s="104">
        <f>F503+770</f>
        <v>19219</v>
      </c>
      <c r="S503" s="343">
        <f t="shared" si="1257"/>
        <v>19219</v>
      </c>
      <c r="T503" s="104">
        <f>F503+730</f>
        <v>19179</v>
      </c>
      <c r="U503" s="343">
        <f t="shared" si="1258"/>
        <v>19179</v>
      </c>
      <c r="V503" s="104">
        <f>F503+690</f>
        <v>19139</v>
      </c>
      <c r="W503" s="343">
        <f t="shared" si="1259"/>
        <v>19139</v>
      </c>
      <c r="X503" s="145"/>
      <c r="Y503" s="140"/>
      <c r="Z503" s="146"/>
      <c r="AA503" s="147"/>
      <c r="AB503" s="451">
        <v>899</v>
      </c>
    </row>
    <row r="504" spans="1:28" ht="12.6" customHeight="1" x14ac:dyDescent="0.2">
      <c r="A504" s="4"/>
      <c r="B504" s="714" t="s">
        <v>681</v>
      </c>
      <c r="C504" s="707"/>
      <c r="D504" s="707"/>
      <c r="E504" s="707"/>
      <c r="F504" s="417">
        <f>19*X2</f>
        <v>18449</v>
      </c>
      <c r="G504" s="306">
        <f t="shared" si="1251"/>
        <v>18449</v>
      </c>
      <c r="H504" s="105">
        <f>F504+3000</f>
        <v>21449</v>
      </c>
      <c r="I504" s="329">
        <f t="shared" si="1260"/>
        <v>21449</v>
      </c>
      <c r="J504" s="105">
        <f>F504+700</f>
        <v>19149</v>
      </c>
      <c r="K504" s="329">
        <f t="shared" si="1253"/>
        <v>19149</v>
      </c>
      <c r="L504" s="105">
        <f>F504+550</f>
        <v>18999</v>
      </c>
      <c r="M504" s="329">
        <f t="shared" si="1254"/>
        <v>18999</v>
      </c>
      <c r="N504" s="105">
        <f>F504+500</f>
        <v>18949</v>
      </c>
      <c r="O504" s="329">
        <f t="shared" si="1255"/>
        <v>18949</v>
      </c>
      <c r="P504" s="105">
        <f>F504+460</f>
        <v>18909</v>
      </c>
      <c r="Q504" s="329">
        <f t="shared" si="1256"/>
        <v>18909</v>
      </c>
      <c r="R504" s="105">
        <f>F504+440</f>
        <v>18889</v>
      </c>
      <c r="S504" s="329">
        <f t="shared" si="1257"/>
        <v>18889</v>
      </c>
      <c r="T504" s="105">
        <f>F504+400</f>
        <v>18849</v>
      </c>
      <c r="U504" s="329">
        <f t="shared" si="1258"/>
        <v>18849</v>
      </c>
      <c r="V504" s="105">
        <f>F504+370</f>
        <v>18819</v>
      </c>
      <c r="W504" s="329">
        <f t="shared" si="1259"/>
        <v>18819</v>
      </c>
      <c r="X504" s="145"/>
      <c r="Y504" s="140"/>
      <c r="Z504" s="146"/>
      <c r="AA504" s="147"/>
      <c r="AB504" s="451" t="s">
        <v>682</v>
      </c>
    </row>
    <row r="505" spans="1:28" ht="12.6" customHeight="1" x14ac:dyDescent="0.2">
      <c r="A505" s="4"/>
      <c r="B505" s="737" t="s">
        <v>526</v>
      </c>
      <c r="C505" s="741"/>
      <c r="D505" s="741"/>
      <c r="E505" s="741"/>
      <c r="F505" s="418">
        <f>20*X2</f>
        <v>19420</v>
      </c>
      <c r="G505" s="307">
        <f t="shared" ref="G505" si="1261">+F505*$X$1</f>
        <v>19420</v>
      </c>
      <c r="H505" s="104">
        <f>F505+4000</f>
        <v>23420</v>
      </c>
      <c r="I505" s="343">
        <f t="shared" ref="I505:I507" si="1262">+H505*$X$1</f>
        <v>23420</v>
      </c>
      <c r="J505" s="104">
        <f>F505+1000</f>
        <v>20420</v>
      </c>
      <c r="K505" s="343">
        <f t="shared" ref="K505:K507" si="1263">+J505*$X$1</f>
        <v>20420</v>
      </c>
      <c r="L505" s="104">
        <f>F505+900</f>
        <v>20320</v>
      </c>
      <c r="M505" s="343">
        <f t="shared" ref="M505:M507" si="1264">+L505*$X$1</f>
        <v>20320</v>
      </c>
      <c r="N505" s="104">
        <f>F505+850</f>
        <v>20270</v>
      </c>
      <c r="O505" s="343">
        <f t="shared" ref="O505:O507" si="1265">+N505*$X$1</f>
        <v>20270</v>
      </c>
      <c r="P505" s="104">
        <f>F505+800</f>
        <v>20220</v>
      </c>
      <c r="Q505" s="343">
        <f t="shared" ref="Q505:Q507" si="1266">+P505*$X$1</f>
        <v>20220</v>
      </c>
      <c r="R505" s="104">
        <f>F505+770</f>
        <v>20190</v>
      </c>
      <c r="S505" s="343">
        <f t="shared" ref="S505:S507" si="1267">+R505*$X$1</f>
        <v>20190</v>
      </c>
      <c r="T505" s="104">
        <f>F505+730</f>
        <v>20150</v>
      </c>
      <c r="U505" s="343">
        <f t="shared" ref="U505:U507" si="1268">+T505*$X$1</f>
        <v>20150</v>
      </c>
      <c r="V505" s="104">
        <f>F505+690</f>
        <v>20110</v>
      </c>
      <c r="W505" s="343">
        <f t="shared" ref="W505:W507" si="1269">+V505*$X$1</f>
        <v>20110</v>
      </c>
      <c r="X505" s="145"/>
      <c r="Y505" s="140"/>
      <c r="Z505" s="146"/>
      <c r="AA505" s="147"/>
      <c r="AB505" s="451">
        <v>900</v>
      </c>
    </row>
    <row r="506" spans="1:28" ht="12.6" customHeight="1" x14ac:dyDescent="0.2">
      <c r="A506" s="4"/>
      <c r="B506" s="758" t="s">
        <v>452</v>
      </c>
      <c r="C506" s="642"/>
      <c r="D506" s="642"/>
      <c r="E506" s="643"/>
      <c r="F506" s="347">
        <v>15100</v>
      </c>
      <c r="G506" s="306">
        <f>+F506*$X$1</f>
        <v>15100</v>
      </c>
      <c r="H506" s="105">
        <f>F506+4000</f>
        <v>19100</v>
      </c>
      <c r="I506" s="329">
        <f t="shared" si="1262"/>
        <v>19100</v>
      </c>
      <c r="J506" s="105">
        <f>F506+1000</f>
        <v>16100</v>
      </c>
      <c r="K506" s="329">
        <f t="shared" si="1263"/>
        <v>16100</v>
      </c>
      <c r="L506" s="105">
        <f>F506+900</f>
        <v>16000</v>
      </c>
      <c r="M506" s="329">
        <f t="shared" si="1264"/>
        <v>16000</v>
      </c>
      <c r="N506" s="105">
        <f>F506+850</f>
        <v>15950</v>
      </c>
      <c r="O506" s="329">
        <f t="shared" si="1265"/>
        <v>15950</v>
      </c>
      <c r="P506" s="105">
        <f>F506+800</f>
        <v>15900</v>
      </c>
      <c r="Q506" s="329">
        <f t="shared" si="1266"/>
        <v>15900</v>
      </c>
      <c r="R506" s="105">
        <f>F506+770</f>
        <v>15870</v>
      </c>
      <c r="S506" s="329">
        <f t="shared" si="1267"/>
        <v>15870</v>
      </c>
      <c r="T506" s="105">
        <f>F506+730</f>
        <v>15830</v>
      </c>
      <c r="U506" s="329">
        <f t="shared" si="1268"/>
        <v>15830</v>
      </c>
      <c r="V506" s="105">
        <f>F506+690</f>
        <v>15790</v>
      </c>
      <c r="W506" s="329">
        <f t="shared" si="1269"/>
        <v>15790</v>
      </c>
      <c r="X506" s="145"/>
      <c r="Y506" s="140"/>
      <c r="Z506" s="146"/>
      <c r="AA506" s="147"/>
      <c r="AB506" s="451">
        <v>902</v>
      </c>
    </row>
    <row r="507" spans="1:28" ht="12.6" customHeight="1" x14ac:dyDescent="0.2">
      <c r="A507" s="4"/>
      <c r="B507" s="737" t="s">
        <v>451</v>
      </c>
      <c r="C507" s="741"/>
      <c r="D507" s="741"/>
      <c r="E507" s="741"/>
      <c r="F507" s="307">
        <v>19495</v>
      </c>
      <c r="G507" s="307">
        <f>+F507*$X$1</f>
        <v>19495</v>
      </c>
      <c r="H507" s="104">
        <f>F507+3000</f>
        <v>22495</v>
      </c>
      <c r="I507" s="343">
        <f t="shared" si="1262"/>
        <v>22495</v>
      </c>
      <c r="J507" s="104">
        <f>F507+700</f>
        <v>20195</v>
      </c>
      <c r="K507" s="343">
        <f t="shared" si="1263"/>
        <v>20195</v>
      </c>
      <c r="L507" s="104">
        <f>F507+550</f>
        <v>20045</v>
      </c>
      <c r="M507" s="343">
        <f t="shared" si="1264"/>
        <v>20045</v>
      </c>
      <c r="N507" s="104">
        <f>F507+500</f>
        <v>19995</v>
      </c>
      <c r="O507" s="343">
        <f t="shared" si="1265"/>
        <v>19995</v>
      </c>
      <c r="P507" s="104">
        <f>F507+460</f>
        <v>19955</v>
      </c>
      <c r="Q507" s="343">
        <f t="shared" si="1266"/>
        <v>19955</v>
      </c>
      <c r="R507" s="104">
        <f>F507+440</f>
        <v>19935</v>
      </c>
      <c r="S507" s="343">
        <f t="shared" si="1267"/>
        <v>19935</v>
      </c>
      <c r="T507" s="104">
        <f>F507+400</f>
        <v>19895</v>
      </c>
      <c r="U507" s="343">
        <f t="shared" si="1268"/>
        <v>19895</v>
      </c>
      <c r="V507" s="104">
        <f>F507+370</f>
        <v>19865</v>
      </c>
      <c r="W507" s="343">
        <f t="shared" si="1269"/>
        <v>19865</v>
      </c>
      <c r="X507" s="145"/>
      <c r="Y507" s="140"/>
      <c r="Z507" s="146"/>
      <c r="AA507" s="147"/>
      <c r="AB507" s="451">
        <v>905</v>
      </c>
    </row>
    <row r="508" spans="1:28" ht="12.6" customHeight="1" x14ac:dyDescent="0.2">
      <c r="A508" s="4"/>
      <c r="B508" s="714" t="s">
        <v>730</v>
      </c>
      <c r="C508" s="649"/>
      <c r="D508" s="649"/>
      <c r="E508" s="649"/>
      <c r="F508" s="417">
        <f>21.3*X2</f>
        <v>20682.3</v>
      </c>
      <c r="G508" s="306">
        <f>+F508*$X$1</f>
        <v>20682.3</v>
      </c>
      <c r="H508" s="105">
        <f>F508+4000</f>
        <v>24682.3</v>
      </c>
      <c r="I508" s="329">
        <f t="shared" ref="I508" si="1270">+H508*$X$1</f>
        <v>24682.3</v>
      </c>
      <c r="J508" s="105">
        <f>F508+1000</f>
        <v>21682.3</v>
      </c>
      <c r="K508" s="329">
        <f t="shared" ref="K508" si="1271">+J508*$X$1</f>
        <v>21682.3</v>
      </c>
      <c r="L508" s="105">
        <f>F508+900</f>
        <v>21582.3</v>
      </c>
      <c r="M508" s="329">
        <f t="shared" ref="M508" si="1272">+L508*$X$1</f>
        <v>21582.3</v>
      </c>
      <c r="N508" s="105">
        <f>F508+850</f>
        <v>21532.3</v>
      </c>
      <c r="O508" s="329">
        <f t="shared" ref="O508" si="1273">+N508*$X$1</f>
        <v>21532.3</v>
      </c>
      <c r="P508" s="105">
        <f>F508+800</f>
        <v>21482.3</v>
      </c>
      <c r="Q508" s="329">
        <f t="shared" ref="Q508" si="1274">+P508*$X$1</f>
        <v>21482.3</v>
      </c>
      <c r="R508" s="105">
        <f>F508+770</f>
        <v>21452.3</v>
      </c>
      <c r="S508" s="329">
        <f t="shared" ref="S508" si="1275">+R508*$X$1</f>
        <v>21452.3</v>
      </c>
      <c r="T508" s="105">
        <f>F508+730</f>
        <v>21412.3</v>
      </c>
      <c r="U508" s="329">
        <f t="shared" ref="U508" si="1276">+T508*$X$1</f>
        <v>21412.3</v>
      </c>
      <c r="V508" s="105">
        <f>F508+690</f>
        <v>21372.3</v>
      </c>
      <c r="W508" s="329">
        <f t="shared" ref="W508" si="1277">+V508*$X$1</f>
        <v>21372.3</v>
      </c>
      <c r="X508" s="145"/>
      <c r="Y508" s="140"/>
      <c r="Z508" s="146"/>
      <c r="AA508" s="147"/>
      <c r="AB508" s="451">
        <v>906</v>
      </c>
    </row>
    <row r="509" spans="1:28" ht="12.6" customHeight="1" x14ac:dyDescent="0.2">
      <c r="A509" s="4"/>
      <c r="B509" s="737" t="s">
        <v>731</v>
      </c>
      <c r="C509" s="741"/>
      <c r="D509" s="741"/>
      <c r="E509" s="741"/>
      <c r="F509" s="418">
        <f>21.3*X2</f>
        <v>20682.3</v>
      </c>
      <c r="G509" s="307">
        <f>+F509*$X$1</f>
        <v>20682.3</v>
      </c>
      <c r="H509" s="104">
        <f>F509+3000</f>
        <v>23682.3</v>
      </c>
      <c r="I509" s="343">
        <f t="shared" ref="I509:I511" si="1278">+H509*$X$1</f>
        <v>23682.3</v>
      </c>
      <c r="J509" s="104">
        <f>F509+700</f>
        <v>21382.3</v>
      </c>
      <c r="K509" s="343">
        <f t="shared" ref="K509:K511" si="1279">+J509*$X$1</f>
        <v>21382.3</v>
      </c>
      <c r="L509" s="104">
        <f>F509+550</f>
        <v>21232.3</v>
      </c>
      <c r="M509" s="343">
        <f t="shared" ref="M509:M511" si="1280">+L509*$X$1</f>
        <v>21232.3</v>
      </c>
      <c r="N509" s="104">
        <f>F509+500</f>
        <v>21182.3</v>
      </c>
      <c r="O509" s="343">
        <f t="shared" ref="O509:O511" si="1281">+N509*$X$1</f>
        <v>21182.3</v>
      </c>
      <c r="P509" s="104">
        <f>F509+460</f>
        <v>21142.3</v>
      </c>
      <c r="Q509" s="343">
        <f t="shared" ref="Q509:Q510" si="1282">+P509*$X$1</f>
        <v>21142.3</v>
      </c>
      <c r="R509" s="104">
        <f>F509+440</f>
        <v>21122.3</v>
      </c>
      <c r="S509" s="343">
        <f t="shared" ref="S509:S510" si="1283">+R509*$X$1</f>
        <v>21122.3</v>
      </c>
      <c r="T509" s="104">
        <f>F509+400</f>
        <v>21082.3</v>
      </c>
      <c r="U509" s="343">
        <f t="shared" ref="U509:U510" si="1284">+T509*$X$1</f>
        <v>21082.3</v>
      </c>
      <c r="V509" s="104">
        <f>F509+370</f>
        <v>21052.3</v>
      </c>
      <c r="W509" s="343">
        <f t="shared" ref="W509:W510" si="1285">+V509*$X$1</f>
        <v>21052.3</v>
      </c>
      <c r="X509" s="145"/>
      <c r="Y509" s="140"/>
      <c r="Z509" s="146"/>
      <c r="AA509" s="147"/>
      <c r="AB509" s="451">
        <v>906</v>
      </c>
    </row>
    <row r="510" spans="1:28" ht="12.6" customHeight="1" x14ac:dyDescent="0.2">
      <c r="A510" s="4"/>
      <c r="B510" s="714" t="s">
        <v>668</v>
      </c>
      <c r="C510" s="626"/>
      <c r="D510" s="626"/>
      <c r="E510" s="626"/>
      <c r="F510" s="420">
        <f>21.16*X2</f>
        <v>20546.36</v>
      </c>
      <c r="G510" s="306">
        <f t="shared" ref="G510" si="1286">+F510*$X$1</f>
        <v>20546.36</v>
      </c>
      <c r="H510" s="105">
        <f>F510+4000</f>
        <v>24546.36</v>
      </c>
      <c r="I510" s="329">
        <f t="shared" si="1278"/>
        <v>24546.36</v>
      </c>
      <c r="J510" s="105">
        <f>F510+1000</f>
        <v>21546.36</v>
      </c>
      <c r="K510" s="329">
        <f t="shared" si="1279"/>
        <v>21546.36</v>
      </c>
      <c r="L510" s="105">
        <f>F510+900</f>
        <v>21446.36</v>
      </c>
      <c r="M510" s="329">
        <f t="shared" si="1280"/>
        <v>21446.36</v>
      </c>
      <c r="N510" s="105">
        <f>F510+850</f>
        <v>21396.36</v>
      </c>
      <c r="O510" s="329">
        <f t="shared" si="1281"/>
        <v>21396.36</v>
      </c>
      <c r="P510" s="105">
        <f>F510+800</f>
        <v>21346.36</v>
      </c>
      <c r="Q510" s="329">
        <f t="shared" si="1282"/>
        <v>21346.36</v>
      </c>
      <c r="R510" s="105">
        <f>F510+770</f>
        <v>21316.36</v>
      </c>
      <c r="S510" s="329">
        <f t="shared" si="1283"/>
        <v>21316.36</v>
      </c>
      <c r="T510" s="105">
        <f>F510+730</f>
        <v>21276.36</v>
      </c>
      <c r="U510" s="329">
        <f t="shared" si="1284"/>
        <v>21276.36</v>
      </c>
      <c r="V510" s="105">
        <f>F510+690</f>
        <v>21236.36</v>
      </c>
      <c r="W510" s="329">
        <f t="shared" si="1285"/>
        <v>21236.36</v>
      </c>
      <c r="X510" s="145"/>
      <c r="Y510" s="140"/>
      <c r="Z510" s="146"/>
      <c r="AA510" s="147"/>
      <c r="AB510" s="451" t="s">
        <v>683</v>
      </c>
    </row>
    <row r="511" spans="1:28" ht="12.6" customHeight="1" x14ac:dyDescent="0.2">
      <c r="A511" s="4"/>
      <c r="B511" s="737" t="s">
        <v>729</v>
      </c>
      <c r="C511" s="670"/>
      <c r="D511" s="670"/>
      <c r="E511" s="670"/>
      <c r="F511" s="419">
        <f>21.16*X2</f>
        <v>20546.36</v>
      </c>
      <c r="G511" s="307">
        <f t="shared" ref="G511" si="1287">+F511*$X$1</f>
        <v>20546.36</v>
      </c>
      <c r="H511" s="104">
        <f>F511+3000</f>
        <v>23546.36</v>
      </c>
      <c r="I511" s="343">
        <f t="shared" si="1278"/>
        <v>23546.36</v>
      </c>
      <c r="J511" s="104">
        <f>F511+700</f>
        <v>21246.36</v>
      </c>
      <c r="K511" s="343">
        <f t="shared" si="1279"/>
        <v>21246.36</v>
      </c>
      <c r="L511" s="104">
        <f>F511+550</f>
        <v>21096.36</v>
      </c>
      <c r="M511" s="343">
        <f t="shared" si="1280"/>
        <v>21096.36</v>
      </c>
      <c r="N511" s="104">
        <f>F511+500</f>
        <v>21046.36</v>
      </c>
      <c r="O511" s="343">
        <f t="shared" si="1281"/>
        <v>21046.36</v>
      </c>
      <c r="P511" s="104"/>
      <c r="Q511" s="343"/>
      <c r="R511" s="104"/>
      <c r="S511" s="343"/>
      <c r="T511" s="104"/>
      <c r="U511" s="343"/>
      <c r="V511" s="104"/>
      <c r="W511" s="343"/>
      <c r="X511" s="145"/>
      <c r="Y511" s="140"/>
      <c r="Z511" s="146"/>
      <c r="AA511" s="147"/>
      <c r="AB511" s="451">
        <v>907</v>
      </c>
    </row>
    <row r="512" spans="1:28" ht="12.6" customHeight="1" x14ac:dyDescent="0.2">
      <c r="A512" s="4"/>
      <c r="B512" s="1121" t="s">
        <v>637</v>
      </c>
      <c r="C512" s="1122"/>
      <c r="D512" s="1122"/>
      <c r="E512" s="1122"/>
      <c r="F512" s="306"/>
      <c r="G512" s="306"/>
      <c r="H512" s="340">
        <v>1900</v>
      </c>
      <c r="I512" s="306">
        <f t="shared" ref="I512" si="1288">+H512*$X$1</f>
        <v>1900</v>
      </c>
      <c r="J512" s="340">
        <v>800</v>
      </c>
      <c r="K512" s="306">
        <f t="shared" ref="K512" si="1289">+J512*$X$1</f>
        <v>800</v>
      </c>
      <c r="L512" s="340">
        <v>680</v>
      </c>
      <c r="M512" s="306">
        <f t="shared" ref="M512" si="1290">+L512*$X$1</f>
        <v>680</v>
      </c>
      <c r="N512" s="340">
        <v>620</v>
      </c>
      <c r="O512" s="306">
        <f t="shared" ref="O512" si="1291">+N512*$X$1</f>
        <v>620</v>
      </c>
      <c r="P512" s="340">
        <v>570</v>
      </c>
      <c r="Q512" s="306">
        <f t="shared" ref="Q512" si="1292">+P512*$X$1</f>
        <v>570</v>
      </c>
      <c r="R512" s="340">
        <v>520</v>
      </c>
      <c r="S512" s="306">
        <f t="shared" ref="S512" si="1293">+R512*$X$1</f>
        <v>520</v>
      </c>
      <c r="T512" s="340">
        <v>480</v>
      </c>
      <c r="U512" s="306">
        <f t="shared" ref="U512" si="1294">+T512*$X$1</f>
        <v>480</v>
      </c>
      <c r="V512" s="340">
        <v>450</v>
      </c>
      <c r="W512" s="306">
        <f t="shared" ref="W512" si="1295">+V512*$X$1</f>
        <v>450</v>
      </c>
      <c r="X512" s="145"/>
      <c r="Y512" s="140"/>
      <c r="Z512" s="146"/>
      <c r="AA512" s="147"/>
      <c r="AB512" s="32"/>
    </row>
    <row r="513" spans="1:34" ht="12.6" customHeight="1" x14ac:dyDescent="0.2">
      <c r="A513" s="4"/>
      <c r="B513" s="1119" t="s">
        <v>638</v>
      </c>
      <c r="C513" s="1120"/>
      <c r="D513" s="1120"/>
      <c r="E513" s="1120"/>
      <c r="F513" s="307"/>
      <c r="G513" s="307"/>
      <c r="H513" s="534">
        <v>900</v>
      </c>
      <c r="I513" s="307">
        <f t="shared" ref="I513" si="1296">+H513*$X$1</f>
        <v>900</v>
      </c>
      <c r="J513" s="534">
        <v>400</v>
      </c>
      <c r="K513" s="307">
        <f t="shared" ref="K513" si="1297">+J513*$X$1</f>
        <v>400</v>
      </c>
      <c r="L513" s="534">
        <v>340</v>
      </c>
      <c r="M513" s="307">
        <f t="shared" ref="M513" si="1298">+L513*$X$1</f>
        <v>340</v>
      </c>
      <c r="N513" s="534">
        <v>300</v>
      </c>
      <c r="O513" s="307">
        <f t="shared" ref="O513" si="1299">+N513*$X$1</f>
        <v>300</v>
      </c>
      <c r="P513" s="534">
        <v>270</v>
      </c>
      <c r="Q513" s="307">
        <f t="shared" ref="Q513" si="1300">+P513*$X$1</f>
        <v>270</v>
      </c>
      <c r="R513" s="534">
        <v>250</v>
      </c>
      <c r="S513" s="307">
        <f t="shared" ref="S513" si="1301">+R513*$X$1</f>
        <v>250</v>
      </c>
      <c r="T513" s="534">
        <v>240</v>
      </c>
      <c r="U513" s="307">
        <f t="shared" ref="U513" si="1302">+T513*$X$1</f>
        <v>240</v>
      </c>
      <c r="V513" s="534">
        <v>230</v>
      </c>
      <c r="W513" s="307">
        <f t="shared" ref="W513" si="1303">+V513*$X$1</f>
        <v>230</v>
      </c>
      <c r="X513" s="145"/>
      <c r="Y513" s="140"/>
      <c r="Z513" s="146"/>
      <c r="AA513" s="147"/>
      <c r="AB513" s="32"/>
    </row>
    <row r="514" spans="1:34" ht="9.75" customHeight="1" x14ac:dyDescent="0.2">
      <c r="A514" s="98"/>
      <c r="B514" s="78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80"/>
      <c r="W514" s="81"/>
      <c r="AB514" s="82"/>
    </row>
    <row r="515" spans="1:34" ht="14.25" customHeight="1" x14ac:dyDescent="0.2">
      <c r="B515" s="1057" t="s">
        <v>611</v>
      </c>
      <c r="C515" s="1058"/>
      <c r="D515" s="1058"/>
      <c r="E515" s="1058"/>
      <c r="F515" s="1058"/>
      <c r="G515" s="1058"/>
      <c r="H515" s="1058"/>
      <c r="I515" s="1058"/>
      <c r="J515" s="1058"/>
      <c r="K515" s="1058"/>
      <c r="L515" s="1058"/>
      <c r="M515" s="1058"/>
      <c r="N515" s="1058"/>
      <c r="O515" s="1058"/>
      <c r="P515" s="1058"/>
      <c r="Q515" s="1058"/>
      <c r="R515" s="1058"/>
      <c r="S515" s="1058"/>
      <c r="T515" s="1058"/>
      <c r="U515" s="1058"/>
      <c r="V515" s="1058"/>
      <c r="W515" s="1058"/>
      <c r="AB515" s="4"/>
      <c r="AF515" s="628"/>
      <c r="AG515" s="629"/>
      <c r="AH515" s="629"/>
    </row>
    <row r="516" spans="1:34" ht="14.25" customHeight="1" x14ac:dyDescent="0.2">
      <c r="B516" s="1101" t="s">
        <v>11</v>
      </c>
      <c r="C516" s="1123" t="s">
        <v>12</v>
      </c>
      <c r="D516" s="1124"/>
      <c r="E516" s="1124"/>
      <c r="F516" s="1063" t="s">
        <v>299</v>
      </c>
      <c r="G516" s="1063" t="s">
        <v>13</v>
      </c>
      <c r="H516" s="1117" t="s">
        <v>881</v>
      </c>
      <c r="I516" s="1117"/>
      <c r="J516" s="1118"/>
      <c r="K516" s="1118"/>
      <c r="L516" s="1118"/>
      <c r="M516" s="1118"/>
      <c r="N516" s="1118"/>
      <c r="O516" s="1118"/>
      <c r="P516" s="1118"/>
      <c r="Q516" s="1118"/>
      <c r="R516" s="1118"/>
      <c r="S516" s="1118"/>
      <c r="T516" s="1118"/>
      <c r="U516" s="1118"/>
      <c r="V516" s="1118"/>
      <c r="W516" s="985"/>
      <c r="X516" s="632" t="s">
        <v>14</v>
      </c>
      <c r="Y516" s="633"/>
      <c r="Z516" s="633"/>
      <c r="AA516" s="634"/>
      <c r="AB516" s="630" t="s">
        <v>15</v>
      </c>
      <c r="AF516" s="628" t="s">
        <v>3</v>
      </c>
      <c r="AG516" s="629"/>
      <c r="AH516" s="629"/>
    </row>
    <row r="517" spans="1:34" ht="12" customHeight="1" x14ac:dyDescent="0.2">
      <c r="B517" s="1102"/>
      <c r="C517" s="1125"/>
      <c r="D517" s="1125"/>
      <c r="E517" s="1125"/>
      <c r="F517" s="1064"/>
      <c r="G517" s="1064"/>
      <c r="H517" s="593"/>
      <c r="I517" s="594" t="s">
        <v>596</v>
      </c>
      <c r="J517" s="593"/>
      <c r="K517" s="594" t="s">
        <v>300</v>
      </c>
      <c r="L517" s="593"/>
      <c r="M517" s="594" t="s">
        <v>301</v>
      </c>
      <c r="N517" s="593"/>
      <c r="O517" s="594" t="s">
        <v>598</v>
      </c>
      <c r="P517" s="593"/>
      <c r="Q517" s="594" t="s">
        <v>17</v>
      </c>
      <c r="R517" s="593"/>
      <c r="S517" s="594" t="s">
        <v>18</v>
      </c>
      <c r="T517" s="593"/>
      <c r="U517" s="594" t="s">
        <v>19</v>
      </c>
      <c r="V517" s="593"/>
      <c r="W517" s="595" t="s">
        <v>599</v>
      </c>
      <c r="X517" s="635"/>
      <c r="Y517" s="636"/>
      <c r="Z517" s="636"/>
      <c r="AA517" s="637"/>
      <c r="AB517" s="631"/>
    </row>
    <row r="518" spans="1:34" ht="12" customHeight="1" x14ac:dyDescent="0.2">
      <c r="A518" s="4"/>
      <c r="B518" s="675" t="s">
        <v>804</v>
      </c>
      <c r="C518" s="890"/>
      <c r="D518" s="890"/>
      <c r="E518" s="890"/>
      <c r="F518" s="422">
        <f>31.2*X2</f>
        <v>30295.200000000001</v>
      </c>
      <c r="G518" s="343">
        <f t="shared" ref="G518:K532" si="1304">+F518*$X$1</f>
        <v>30295.200000000001</v>
      </c>
      <c r="H518" s="104">
        <f>F518+3000</f>
        <v>33295.199999999997</v>
      </c>
      <c r="I518" s="343">
        <f t="shared" si="1304"/>
        <v>33295.199999999997</v>
      </c>
      <c r="J518" s="104">
        <f>F518+600</f>
        <v>30895.200000000001</v>
      </c>
      <c r="K518" s="343">
        <f t="shared" si="1304"/>
        <v>30895.200000000001</v>
      </c>
      <c r="L518" s="104">
        <f>F518+450</f>
        <v>30745.200000000001</v>
      </c>
      <c r="M518" s="343">
        <f t="shared" ref="M518" si="1305">+L518*$X$1</f>
        <v>30745.200000000001</v>
      </c>
      <c r="N518" s="104">
        <f>F518+400</f>
        <v>30695.200000000001</v>
      </c>
      <c r="O518" s="343">
        <f t="shared" ref="O518" si="1306">+N518*$X$1</f>
        <v>30695.200000000001</v>
      </c>
      <c r="P518" s="104">
        <f>F518+370</f>
        <v>30665.200000000001</v>
      </c>
      <c r="Q518" s="343">
        <f t="shared" ref="Q518" si="1307">+P518*$X$1</f>
        <v>30665.200000000001</v>
      </c>
      <c r="R518" s="104">
        <f>F518+340</f>
        <v>30635.200000000001</v>
      </c>
      <c r="S518" s="343">
        <f t="shared" ref="S518" si="1308">+R518*$X$1</f>
        <v>30635.200000000001</v>
      </c>
      <c r="T518" s="104">
        <f>F518+300</f>
        <v>30595.200000000001</v>
      </c>
      <c r="U518" s="343">
        <f t="shared" ref="U518" si="1309">+T518*$X$1</f>
        <v>30595.200000000001</v>
      </c>
      <c r="V518" s="104">
        <f>F518+260</f>
        <v>30555.200000000001</v>
      </c>
      <c r="W518" s="343">
        <f t="shared" ref="W518" si="1310">+V518*$X$1</f>
        <v>30555.200000000001</v>
      </c>
      <c r="X518" s="145"/>
      <c r="Y518" s="140"/>
      <c r="Z518" s="146"/>
      <c r="AA518" s="147"/>
      <c r="AB518" s="466">
        <v>570</v>
      </c>
    </row>
    <row r="519" spans="1:34" ht="12" customHeight="1" x14ac:dyDescent="0.2">
      <c r="A519" s="4"/>
      <c r="B519" s="664" t="s">
        <v>813</v>
      </c>
      <c r="C519" s="1059"/>
      <c r="D519" s="1059"/>
      <c r="E519" s="1059"/>
      <c r="F519" s="423">
        <f>5.1*X2</f>
        <v>4952.0999999999995</v>
      </c>
      <c r="G519" s="329">
        <f t="shared" ref="G519" si="1311">+F519*$X$1</f>
        <v>4952.0999999999995</v>
      </c>
      <c r="H519" s="105"/>
      <c r="I519" s="329"/>
      <c r="J519" s="105">
        <f t="shared" ref="J519:J555" si="1312">F519+600</f>
        <v>5552.0999999999995</v>
      </c>
      <c r="K519" s="329">
        <f t="shared" ref="K519:K555" si="1313">+J519*$X$1</f>
        <v>5552.0999999999995</v>
      </c>
      <c r="L519" s="105">
        <f t="shared" ref="L519:L555" si="1314">F519+450</f>
        <v>5402.0999999999995</v>
      </c>
      <c r="M519" s="329">
        <f t="shared" ref="M519:M555" si="1315">+L519*$X$1</f>
        <v>5402.0999999999995</v>
      </c>
      <c r="N519" s="105">
        <f t="shared" ref="N519:N555" si="1316">F519+400</f>
        <v>5352.0999999999995</v>
      </c>
      <c r="O519" s="329">
        <f t="shared" ref="O519:O555" si="1317">+N519*$X$1</f>
        <v>5352.0999999999995</v>
      </c>
      <c r="P519" s="105">
        <f t="shared" ref="P519:P555" si="1318">F519+370</f>
        <v>5322.0999999999995</v>
      </c>
      <c r="Q519" s="329">
        <f t="shared" ref="Q519:Q555" si="1319">+P519*$X$1</f>
        <v>5322.0999999999995</v>
      </c>
      <c r="R519" s="105">
        <f t="shared" ref="R519:R555" si="1320">F519+340</f>
        <v>5292.0999999999995</v>
      </c>
      <c r="S519" s="329">
        <f t="shared" ref="S519:S555" si="1321">+R519*$X$1</f>
        <v>5292.0999999999995</v>
      </c>
      <c r="T519" s="105">
        <f t="shared" ref="T519:T555" si="1322">F519+300</f>
        <v>5252.0999999999995</v>
      </c>
      <c r="U519" s="329">
        <f t="shared" ref="U519:U555" si="1323">+T519*$X$1</f>
        <v>5252.0999999999995</v>
      </c>
      <c r="V519" s="105">
        <f t="shared" ref="V519:V555" si="1324">F519+260</f>
        <v>5212.0999999999995</v>
      </c>
      <c r="W519" s="329">
        <f t="shared" ref="W519:W555" si="1325">+V519*$X$1</f>
        <v>5212.0999999999995</v>
      </c>
      <c r="X519" s="145"/>
      <c r="Y519" s="140"/>
      <c r="Z519" s="146"/>
      <c r="AA519" s="147"/>
      <c r="AB519" s="451" t="s">
        <v>848</v>
      </c>
    </row>
    <row r="520" spans="1:34" ht="12" customHeight="1" x14ac:dyDescent="0.2">
      <c r="A520" s="4"/>
      <c r="B520" s="675" t="s">
        <v>794</v>
      </c>
      <c r="C520" s="890"/>
      <c r="D520" s="890"/>
      <c r="E520" s="890"/>
      <c r="F520" s="343">
        <v>22560</v>
      </c>
      <c r="G520" s="343">
        <f t="shared" ref="G520" si="1326">+F520*$X$1</f>
        <v>22560</v>
      </c>
      <c r="H520" s="104">
        <f>F520+3000</f>
        <v>25560</v>
      </c>
      <c r="I520" s="343">
        <f t="shared" ref="I520" si="1327">+H520*$X$1</f>
        <v>25560</v>
      </c>
      <c r="J520" s="104">
        <f t="shared" si="1312"/>
        <v>23160</v>
      </c>
      <c r="K520" s="343">
        <f t="shared" si="1313"/>
        <v>23160</v>
      </c>
      <c r="L520" s="104">
        <f t="shared" si="1314"/>
        <v>23010</v>
      </c>
      <c r="M520" s="343">
        <f t="shared" si="1315"/>
        <v>23010</v>
      </c>
      <c r="N520" s="104">
        <f t="shared" si="1316"/>
        <v>22960</v>
      </c>
      <c r="O520" s="343">
        <f t="shared" si="1317"/>
        <v>22960</v>
      </c>
      <c r="P520" s="104">
        <f t="shared" si="1318"/>
        <v>22930</v>
      </c>
      <c r="Q520" s="343">
        <f t="shared" si="1319"/>
        <v>22930</v>
      </c>
      <c r="R520" s="104">
        <f t="shared" si="1320"/>
        <v>22900</v>
      </c>
      <c r="S520" s="343">
        <f t="shared" si="1321"/>
        <v>22900</v>
      </c>
      <c r="T520" s="104">
        <f t="shared" si="1322"/>
        <v>22860</v>
      </c>
      <c r="U520" s="343">
        <f t="shared" si="1323"/>
        <v>22860</v>
      </c>
      <c r="V520" s="104">
        <f t="shared" si="1324"/>
        <v>22820</v>
      </c>
      <c r="W520" s="343">
        <f t="shared" si="1325"/>
        <v>22820</v>
      </c>
      <c r="X520" s="145"/>
      <c r="Y520" s="140"/>
      <c r="Z520" s="146"/>
      <c r="AA520" s="147"/>
      <c r="AB520" s="451">
        <v>577</v>
      </c>
    </row>
    <row r="521" spans="1:34" ht="12" customHeight="1" x14ac:dyDescent="0.2">
      <c r="A521" s="4"/>
      <c r="B521" s="625" t="s">
        <v>793</v>
      </c>
      <c r="C521" s="649"/>
      <c r="D521" s="649"/>
      <c r="E521" s="649"/>
      <c r="F521" s="423">
        <f>29.8*X2</f>
        <v>28935.8</v>
      </c>
      <c r="G521" s="329">
        <f t="shared" si="1304"/>
        <v>28935.8</v>
      </c>
      <c r="H521" s="105">
        <f t="shared" ref="H521:H524" si="1328">F521+3000</f>
        <v>31935.8</v>
      </c>
      <c r="I521" s="329">
        <f t="shared" ref="I521:I524" si="1329">+H521*$X$1</f>
        <v>31935.8</v>
      </c>
      <c r="J521" s="105">
        <f t="shared" si="1312"/>
        <v>29535.8</v>
      </c>
      <c r="K521" s="329">
        <f t="shared" si="1313"/>
        <v>29535.8</v>
      </c>
      <c r="L521" s="105">
        <f t="shared" si="1314"/>
        <v>29385.8</v>
      </c>
      <c r="M521" s="329">
        <f t="shared" si="1315"/>
        <v>29385.8</v>
      </c>
      <c r="N521" s="105">
        <f t="shared" si="1316"/>
        <v>29335.8</v>
      </c>
      <c r="O521" s="329">
        <f t="shared" si="1317"/>
        <v>29335.8</v>
      </c>
      <c r="P521" s="105">
        <f t="shared" si="1318"/>
        <v>29305.8</v>
      </c>
      <c r="Q521" s="329">
        <f t="shared" si="1319"/>
        <v>29305.8</v>
      </c>
      <c r="R521" s="105">
        <f t="shared" si="1320"/>
        <v>29275.8</v>
      </c>
      <c r="S521" s="329">
        <f t="shared" si="1321"/>
        <v>29275.8</v>
      </c>
      <c r="T521" s="105">
        <f t="shared" si="1322"/>
        <v>29235.8</v>
      </c>
      <c r="U521" s="329">
        <f t="shared" si="1323"/>
        <v>29235.8</v>
      </c>
      <c r="V521" s="105">
        <f t="shared" si="1324"/>
        <v>29195.8</v>
      </c>
      <c r="W521" s="329">
        <f t="shared" si="1325"/>
        <v>29195.8</v>
      </c>
      <c r="X521" s="145"/>
      <c r="Y521" s="140"/>
      <c r="Z521" s="146"/>
      <c r="AA521" s="147"/>
      <c r="AB521" s="451">
        <v>580</v>
      </c>
    </row>
    <row r="522" spans="1:34" ht="12" customHeight="1" x14ac:dyDescent="0.2">
      <c r="A522" s="4"/>
      <c r="B522" s="669" t="s">
        <v>792</v>
      </c>
      <c r="C522" s="741"/>
      <c r="D522" s="741"/>
      <c r="E522" s="741"/>
      <c r="F522" s="419">
        <f>31.1*X2</f>
        <v>30198.100000000002</v>
      </c>
      <c r="G522" s="307">
        <f t="shared" si="1304"/>
        <v>30198.100000000002</v>
      </c>
      <c r="H522" s="104">
        <f t="shared" si="1328"/>
        <v>33198.100000000006</v>
      </c>
      <c r="I522" s="343">
        <f t="shared" si="1329"/>
        <v>33198.100000000006</v>
      </c>
      <c r="J522" s="104">
        <f t="shared" si="1312"/>
        <v>30798.100000000002</v>
      </c>
      <c r="K522" s="343">
        <f t="shared" si="1313"/>
        <v>30798.100000000002</v>
      </c>
      <c r="L522" s="104">
        <f t="shared" si="1314"/>
        <v>30648.100000000002</v>
      </c>
      <c r="M522" s="343">
        <f t="shared" si="1315"/>
        <v>30648.100000000002</v>
      </c>
      <c r="N522" s="104">
        <f t="shared" si="1316"/>
        <v>30598.100000000002</v>
      </c>
      <c r="O522" s="343">
        <f t="shared" si="1317"/>
        <v>30598.100000000002</v>
      </c>
      <c r="P522" s="104">
        <f t="shared" si="1318"/>
        <v>30568.100000000002</v>
      </c>
      <c r="Q522" s="343">
        <f t="shared" si="1319"/>
        <v>30568.100000000002</v>
      </c>
      <c r="R522" s="104">
        <f t="shared" si="1320"/>
        <v>30538.100000000002</v>
      </c>
      <c r="S522" s="343">
        <f t="shared" si="1321"/>
        <v>30538.100000000002</v>
      </c>
      <c r="T522" s="104">
        <f t="shared" si="1322"/>
        <v>30498.100000000002</v>
      </c>
      <c r="U522" s="343">
        <f t="shared" si="1323"/>
        <v>30498.100000000002</v>
      </c>
      <c r="V522" s="104">
        <f t="shared" si="1324"/>
        <v>30458.100000000002</v>
      </c>
      <c r="W522" s="343">
        <f t="shared" si="1325"/>
        <v>30458.100000000002</v>
      </c>
      <c r="X522" s="145"/>
      <c r="Y522" s="140"/>
      <c r="Z522" s="146"/>
      <c r="AA522" s="147"/>
      <c r="AB522" s="451">
        <v>582</v>
      </c>
    </row>
    <row r="523" spans="1:34" ht="12" customHeight="1" x14ac:dyDescent="0.2">
      <c r="A523" s="4"/>
      <c r="B523" s="625" t="s">
        <v>791</v>
      </c>
      <c r="C523" s="649"/>
      <c r="D523" s="649"/>
      <c r="E523" s="649"/>
      <c r="F523" s="329">
        <v>45720</v>
      </c>
      <c r="G523" s="329">
        <f t="shared" si="1304"/>
        <v>45720</v>
      </c>
      <c r="H523" s="105">
        <f t="shared" si="1328"/>
        <v>48720</v>
      </c>
      <c r="I523" s="329">
        <f t="shared" si="1329"/>
        <v>48720</v>
      </c>
      <c r="J523" s="105">
        <f t="shared" si="1312"/>
        <v>46320</v>
      </c>
      <c r="K523" s="329">
        <f t="shared" si="1313"/>
        <v>46320</v>
      </c>
      <c r="L523" s="105">
        <f t="shared" si="1314"/>
        <v>46170</v>
      </c>
      <c r="M523" s="329">
        <f t="shared" si="1315"/>
        <v>46170</v>
      </c>
      <c r="N523" s="105">
        <f t="shared" si="1316"/>
        <v>46120</v>
      </c>
      <c r="O523" s="329">
        <f t="shared" si="1317"/>
        <v>46120</v>
      </c>
      <c r="P523" s="105">
        <f t="shared" si="1318"/>
        <v>46090</v>
      </c>
      <c r="Q523" s="329">
        <f t="shared" si="1319"/>
        <v>46090</v>
      </c>
      <c r="R523" s="105">
        <f t="shared" si="1320"/>
        <v>46060</v>
      </c>
      <c r="S523" s="329">
        <f t="shared" si="1321"/>
        <v>46060</v>
      </c>
      <c r="T523" s="105">
        <f t="shared" si="1322"/>
        <v>46020</v>
      </c>
      <c r="U523" s="329">
        <f t="shared" si="1323"/>
        <v>46020</v>
      </c>
      <c r="V523" s="105">
        <f t="shared" si="1324"/>
        <v>45980</v>
      </c>
      <c r="W523" s="329">
        <f t="shared" si="1325"/>
        <v>45980</v>
      </c>
      <c r="X523" s="145"/>
      <c r="Y523" s="140"/>
      <c r="Z523" s="146"/>
      <c r="AA523" s="147"/>
      <c r="AB523" s="451">
        <v>584</v>
      </c>
    </row>
    <row r="524" spans="1:34" ht="12" customHeight="1" x14ac:dyDescent="0.2">
      <c r="A524" s="4"/>
      <c r="B524" s="666" t="s">
        <v>849</v>
      </c>
      <c r="C524" s="667"/>
      <c r="D524" s="667"/>
      <c r="E524" s="668"/>
      <c r="F524" s="419">
        <f>33*X2</f>
        <v>32043</v>
      </c>
      <c r="G524" s="307">
        <f>+F524*$X$1</f>
        <v>32043</v>
      </c>
      <c r="H524" s="104">
        <f t="shared" si="1328"/>
        <v>35043</v>
      </c>
      <c r="I524" s="343">
        <f t="shared" si="1329"/>
        <v>35043</v>
      </c>
      <c r="J524" s="104">
        <f t="shared" si="1312"/>
        <v>32643</v>
      </c>
      <c r="K524" s="343">
        <f t="shared" si="1313"/>
        <v>32643</v>
      </c>
      <c r="L524" s="104">
        <f t="shared" si="1314"/>
        <v>32493</v>
      </c>
      <c r="M524" s="343">
        <f t="shared" si="1315"/>
        <v>32493</v>
      </c>
      <c r="N524" s="104">
        <f t="shared" si="1316"/>
        <v>32443</v>
      </c>
      <c r="O524" s="343">
        <f t="shared" si="1317"/>
        <v>32443</v>
      </c>
      <c r="P524" s="104">
        <f t="shared" si="1318"/>
        <v>32413</v>
      </c>
      <c r="Q524" s="343">
        <f t="shared" si="1319"/>
        <v>32413</v>
      </c>
      <c r="R524" s="104">
        <f t="shared" si="1320"/>
        <v>32383</v>
      </c>
      <c r="S524" s="343">
        <f t="shared" si="1321"/>
        <v>32383</v>
      </c>
      <c r="T524" s="104">
        <f t="shared" si="1322"/>
        <v>32343</v>
      </c>
      <c r="U524" s="343">
        <f t="shared" si="1323"/>
        <v>32343</v>
      </c>
      <c r="V524" s="104">
        <f t="shared" si="1324"/>
        <v>32303</v>
      </c>
      <c r="W524" s="343">
        <f t="shared" si="1325"/>
        <v>32303</v>
      </c>
      <c r="X524" s="145"/>
      <c r="Y524" s="140"/>
      <c r="Z524" s="146"/>
      <c r="AA524" s="147"/>
      <c r="AB524" s="451">
        <v>586</v>
      </c>
    </row>
    <row r="525" spans="1:34" ht="12" customHeight="1" x14ac:dyDescent="0.2">
      <c r="A525" s="4"/>
      <c r="B525" s="758" t="s">
        <v>803</v>
      </c>
      <c r="C525" s="759"/>
      <c r="D525" s="759"/>
      <c r="E525" s="760"/>
      <c r="F525" s="347">
        <v>32440</v>
      </c>
      <c r="G525" s="306">
        <f t="shared" si="1304"/>
        <v>32440</v>
      </c>
      <c r="H525" s="105"/>
      <c r="I525" s="329"/>
      <c r="J525" s="105">
        <f t="shared" si="1312"/>
        <v>33040</v>
      </c>
      <c r="K525" s="329">
        <f t="shared" si="1313"/>
        <v>33040</v>
      </c>
      <c r="L525" s="105">
        <f t="shared" si="1314"/>
        <v>32890</v>
      </c>
      <c r="M525" s="329">
        <f t="shared" si="1315"/>
        <v>32890</v>
      </c>
      <c r="N525" s="105">
        <f t="shared" si="1316"/>
        <v>32840</v>
      </c>
      <c r="O525" s="329">
        <f t="shared" si="1317"/>
        <v>32840</v>
      </c>
      <c r="P525" s="105">
        <f t="shared" si="1318"/>
        <v>32810</v>
      </c>
      <c r="Q525" s="329">
        <f t="shared" si="1319"/>
        <v>32810</v>
      </c>
      <c r="R525" s="105">
        <f t="shared" si="1320"/>
        <v>32780</v>
      </c>
      <c r="S525" s="329">
        <f t="shared" si="1321"/>
        <v>32780</v>
      </c>
      <c r="T525" s="105">
        <f t="shared" si="1322"/>
        <v>32740</v>
      </c>
      <c r="U525" s="329">
        <f t="shared" si="1323"/>
        <v>32740</v>
      </c>
      <c r="V525" s="105">
        <f t="shared" si="1324"/>
        <v>32700</v>
      </c>
      <c r="W525" s="329">
        <f t="shared" si="1325"/>
        <v>32700</v>
      </c>
      <c r="X525" s="145"/>
      <c r="Y525" s="140"/>
      <c r="Z525" s="146"/>
      <c r="AA525" s="147"/>
      <c r="AB525" s="451">
        <v>599</v>
      </c>
    </row>
    <row r="526" spans="1:34" ht="12" customHeight="1" x14ac:dyDescent="0.2">
      <c r="A526" s="4"/>
      <c r="B526" s="953" t="s">
        <v>790</v>
      </c>
      <c r="C526" s="1055"/>
      <c r="D526" s="1055"/>
      <c r="E526" s="1056"/>
      <c r="F526" s="418">
        <f>24.6*X2</f>
        <v>23886.600000000002</v>
      </c>
      <c r="G526" s="307">
        <f t="shared" si="1304"/>
        <v>23886.600000000002</v>
      </c>
      <c r="H526" s="104">
        <f t="shared" ref="H526" si="1330">F526+3000</f>
        <v>26886.600000000002</v>
      </c>
      <c r="I526" s="343">
        <f t="shared" ref="I526" si="1331">+H526*$X$1</f>
        <v>26886.600000000002</v>
      </c>
      <c r="J526" s="104">
        <f t="shared" si="1312"/>
        <v>24486.600000000002</v>
      </c>
      <c r="K526" s="343">
        <f t="shared" si="1313"/>
        <v>24486.600000000002</v>
      </c>
      <c r="L526" s="104">
        <f t="shared" si="1314"/>
        <v>24336.600000000002</v>
      </c>
      <c r="M526" s="343">
        <f t="shared" si="1315"/>
        <v>24336.600000000002</v>
      </c>
      <c r="N526" s="104">
        <f t="shared" si="1316"/>
        <v>24286.600000000002</v>
      </c>
      <c r="O526" s="343">
        <f t="shared" si="1317"/>
        <v>24286.600000000002</v>
      </c>
      <c r="P526" s="104">
        <f t="shared" si="1318"/>
        <v>24256.600000000002</v>
      </c>
      <c r="Q526" s="343">
        <f t="shared" si="1319"/>
        <v>24256.600000000002</v>
      </c>
      <c r="R526" s="104">
        <f t="shared" si="1320"/>
        <v>24226.600000000002</v>
      </c>
      <c r="S526" s="343">
        <f t="shared" si="1321"/>
        <v>24226.600000000002</v>
      </c>
      <c r="T526" s="104">
        <f t="shared" si="1322"/>
        <v>24186.600000000002</v>
      </c>
      <c r="U526" s="343">
        <f t="shared" si="1323"/>
        <v>24186.600000000002</v>
      </c>
      <c r="V526" s="104">
        <f t="shared" si="1324"/>
        <v>24146.600000000002</v>
      </c>
      <c r="W526" s="343">
        <f t="shared" si="1325"/>
        <v>24146.600000000002</v>
      </c>
      <c r="X526" s="145"/>
      <c r="Y526" s="140"/>
      <c r="Z526" s="146"/>
      <c r="AA526" s="147"/>
      <c r="AB526" s="451">
        <v>600</v>
      </c>
    </row>
    <row r="527" spans="1:34" ht="12" customHeight="1" x14ac:dyDescent="0.2">
      <c r="A527" s="4"/>
      <c r="B527" s="758" t="s">
        <v>795</v>
      </c>
      <c r="C527" s="759"/>
      <c r="D527" s="759"/>
      <c r="E527" s="760"/>
      <c r="F527" s="420">
        <f>47.2*X2</f>
        <v>45831.200000000004</v>
      </c>
      <c r="G527" s="306">
        <f t="shared" ref="G527:G528" si="1332">+F527*$X$1</f>
        <v>45831.200000000004</v>
      </c>
      <c r="H527" s="105">
        <f t="shared" ref="H527:H528" si="1333">F527+3000</f>
        <v>48831.200000000004</v>
      </c>
      <c r="I527" s="329">
        <f t="shared" ref="I527:I528" si="1334">+H527*$X$1</f>
        <v>48831.200000000004</v>
      </c>
      <c r="J527" s="105">
        <f t="shared" si="1312"/>
        <v>46431.200000000004</v>
      </c>
      <c r="K527" s="329">
        <f t="shared" si="1313"/>
        <v>46431.200000000004</v>
      </c>
      <c r="L527" s="105">
        <f t="shared" si="1314"/>
        <v>46281.200000000004</v>
      </c>
      <c r="M527" s="329">
        <f t="shared" si="1315"/>
        <v>46281.200000000004</v>
      </c>
      <c r="N527" s="105">
        <f t="shared" si="1316"/>
        <v>46231.200000000004</v>
      </c>
      <c r="O527" s="329">
        <f t="shared" si="1317"/>
        <v>46231.200000000004</v>
      </c>
      <c r="P527" s="105">
        <f t="shared" si="1318"/>
        <v>46201.200000000004</v>
      </c>
      <c r="Q527" s="329">
        <f t="shared" si="1319"/>
        <v>46201.200000000004</v>
      </c>
      <c r="R527" s="105">
        <f t="shared" si="1320"/>
        <v>46171.200000000004</v>
      </c>
      <c r="S527" s="329">
        <f t="shared" si="1321"/>
        <v>46171.200000000004</v>
      </c>
      <c r="T527" s="105">
        <f t="shared" si="1322"/>
        <v>46131.200000000004</v>
      </c>
      <c r="U527" s="329">
        <f t="shared" si="1323"/>
        <v>46131.200000000004</v>
      </c>
      <c r="V527" s="105">
        <f t="shared" si="1324"/>
        <v>46091.200000000004</v>
      </c>
      <c r="W527" s="329">
        <f t="shared" si="1325"/>
        <v>46091.200000000004</v>
      </c>
      <c r="X527" s="145"/>
      <c r="Y527" s="140"/>
      <c r="Z527" s="146"/>
      <c r="AA527" s="147"/>
      <c r="AB527" s="451">
        <v>609</v>
      </c>
    </row>
    <row r="528" spans="1:34" ht="12" customHeight="1" x14ac:dyDescent="0.2">
      <c r="A528" s="4"/>
      <c r="B528" s="666" t="s">
        <v>796</v>
      </c>
      <c r="C528" s="667"/>
      <c r="D528" s="667"/>
      <c r="E528" s="668"/>
      <c r="F528" s="419">
        <f>54.7*X2</f>
        <v>53113.700000000004</v>
      </c>
      <c r="G528" s="307">
        <f t="shared" si="1332"/>
        <v>53113.700000000004</v>
      </c>
      <c r="H528" s="104">
        <f t="shared" si="1333"/>
        <v>56113.700000000004</v>
      </c>
      <c r="I528" s="343">
        <f t="shared" si="1334"/>
        <v>56113.700000000004</v>
      </c>
      <c r="J528" s="104">
        <f t="shared" si="1312"/>
        <v>53713.700000000004</v>
      </c>
      <c r="K528" s="343">
        <f t="shared" si="1313"/>
        <v>53713.700000000004</v>
      </c>
      <c r="L528" s="104">
        <f t="shared" si="1314"/>
        <v>53563.700000000004</v>
      </c>
      <c r="M528" s="343">
        <f t="shared" si="1315"/>
        <v>53563.700000000004</v>
      </c>
      <c r="N528" s="104">
        <f t="shared" si="1316"/>
        <v>53513.700000000004</v>
      </c>
      <c r="O528" s="343">
        <f t="shared" si="1317"/>
        <v>53513.700000000004</v>
      </c>
      <c r="P528" s="104">
        <f t="shared" si="1318"/>
        <v>53483.700000000004</v>
      </c>
      <c r="Q528" s="343">
        <f t="shared" si="1319"/>
        <v>53483.700000000004</v>
      </c>
      <c r="R528" s="104">
        <f t="shared" si="1320"/>
        <v>53453.700000000004</v>
      </c>
      <c r="S528" s="343">
        <f t="shared" si="1321"/>
        <v>53453.700000000004</v>
      </c>
      <c r="T528" s="104">
        <f t="shared" si="1322"/>
        <v>53413.700000000004</v>
      </c>
      <c r="U528" s="343">
        <f t="shared" si="1323"/>
        <v>53413.700000000004</v>
      </c>
      <c r="V528" s="104">
        <f t="shared" si="1324"/>
        <v>53373.700000000004</v>
      </c>
      <c r="W528" s="343">
        <f t="shared" si="1325"/>
        <v>53373.700000000004</v>
      </c>
      <c r="X528" s="145"/>
      <c r="Y528" s="140"/>
      <c r="Z528" s="146"/>
      <c r="AA528" s="147"/>
      <c r="AB528" s="451">
        <v>611</v>
      </c>
    </row>
    <row r="529" spans="1:28" ht="12" customHeight="1" x14ac:dyDescent="0.2">
      <c r="A529" s="4"/>
      <c r="B529" s="758" t="s">
        <v>661</v>
      </c>
      <c r="C529" s="759"/>
      <c r="D529" s="759"/>
      <c r="E529" s="760"/>
      <c r="F529" s="306">
        <v>5140</v>
      </c>
      <c r="G529" s="306">
        <f>+F529*$X$1</f>
        <v>5140</v>
      </c>
      <c r="H529" s="105"/>
      <c r="I529" s="329"/>
      <c r="J529" s="105"/>
      <c r="K529" s="329"/>
      <c r="L529" s="105">
        <f t="shared" si="1314"/>
        <v>5590</v>
      </c>
      <c r="M529" s="329">
        <f t="shared" si="1315"/>
        <v>5590</v>
      </c>
      <c r="N529" s="105">
        <f t="shared" si="1316"/>
        <v>5540</v>
      </c>
      <c r="O529" s="329">
        <f t="shared" si="1317"/>
        <v>5540</v>
      </c>
      <c r="P529" s="105">
        <f t="shared" si="1318"/>
        <v>5510</v>
      </c>
      <c r="Q529" s="329">
        <f t="shared" si="1319"/>
        <v>5510</v>
      </c>
      <c r="R529" s="105">
        <f t="shared" si="1320"/>
        <v>5480</v>
      </c>
      <c r="S529" s="329">
        <f t="shared" si="1321"/>
        <v>5480</v>
      </c>
      <c r="T529" s="105">
        <f t="shared" si="1322"/>
        <v>5440</v>
      </c>
      <c r="U529" s="329">
        <f t="shared" si="1323"/>
        <v>5440</v>
      </c>
      <c r="V529" s="105">
        <f t="shared" si="1324"/>
        <v>5400</v>
      </c>
      <c r="W529" s="329">
        <f t="shared" si="1325"/>
        <v>5400</v>
      </c>
      <c r="X529" s="145"/>
      <c r="Y529" s="140"/>
      <c r="Z529" s="146"/>
      <c r="AA529" s="147"/>
      <c r="AB529" s="201">
        <v>641</v>
      </c>
    </row>
    <row r="530" spans="1:28" ht="12" customHeight="1" x14ac:dyDescent="0.2">
      <c r="A530" s="4"/>
      <c r="B530" s="666" t="s">
        <v>662</v>
      </c>
      <c r="C530" s="667"/>
      <c r="D530" s="667"/>
      <c r="E530" s="668"/>
      <c r="F530" s="419">
        <f>5.93*X2</f>
        <v>5758.03</v>
      </c>
      <c r="G530" s="307">
        <f t="shared" ref="G530" si="1335">+F530*$X$1</f>
        <v>5758.03</v>
      </c>
      <c r="H530" s="104">
        <f t="shared" ref="H530" si="1336">F530+3000</f>
        <v>8758.0299999999988</v>
      </c>
      <c r="I530" s="343">
        <f t="shared" ref="I530" si="1337">+H530*$X$1</f>
        <v>8758.0299999999988</v>
      </c>
      <c r="J530" s="104">
        <f t="shared" si="1312"/>
        <v>6358.03</v>
      </c>
      <c r="K530" s="343">
        <f t="shared" si="1313"/>
        <v>6358.03</v>
      </c>
      <c r="L530" s="104">
        <f t="shared" si="1314"/>
        <v>6208.03</v>
      </c>
      <c r="M530" s="343">
        <f t="shared" si="1315"/>
        <v>6208.03</v>
      </c>
      <c r="N530" s="104">
        <f t="shared" si="1316"/>
        <v>6158.03</v>
      </c>
      <c r="O530" s="343">
        <f t="shared" si="1317"/>
        <v>6158.03</v>
      </c>
      <c r="P530" s="104">
        <f t="shared" si="1318"/>
        <v>6128.03</v>
      </c>
      <c r="Q530" s="343">
        <f t="shared" si="1319"/>
        <v>6128.03</v>
      </c>
      <c r="R530" s="104">
        <f t="shared" si="1320"/>
        <v>6098.03</v>
      </c>
      <c r="S530" s="343">
        <f t="shared" si="1321"/>
        <v>6098.03</v>
      </c>
      <c r="T530" s="104">
        <f t="shared" si="1322"/>
        <v>6058.03</v>
      </c>
      <c r="U530" s="343">
        <f t="shared" si="1323"/>
        <v>6058.03</v>
      </c>
      <c r="V530" s="104">
        <f t="shared" si="1324"/>
        <v>6018.03</v>
      </c>
      <c r="W530" s="343">
        <f t="shared" si="1325"/>
        <v>6018.03</v>
      </c>
      <c r="X530" s="145"/>
      <c r="Y530" s="140"/>
      <c r="Z530" s="146"/>
      <c r="AA530" s="147"/>
      <c r="AB530" s="201">
        <v>642</v>
      </c>
    </row>
    <row r="531" spans="1:28" ht="12" customHeight="1" x14ac:dyDescent="0.2">
      <c r="A531" s="4"/>
      <c r="B531" s="758" t="s">
        <v>663</v>
      </c>
      <c r="C531" s="759"/>
      <c r="D531" s="759"/>
      <c r="E531" s="760"/>
      <c r="F531" s="420">
        <f>26.6*X2</f>
        <v>25828.600000000002</v>
      </c>
      <c r="G531" s="306">
        <f t="shared" ref="G531" si="1338">+F531*$X$1</f>
        <v>25828.600000000002</v>
      </c>
      <c r="H531" s="105">
        <f t="shared" ref="H531:H535" si="1339">F531+3000</f>
        <v>28828.600000000002</v>
      </c>
      <c r="I531" s="329">
        <f t="shared" ref="I531:I535" si="1340">+H531*$X$1</f>
        <v>28828.600000000002</v>
      </c>
      <c r="J531" s="105">
        <f t="shared" si="1312"/>
        <v>26428.600000000002</v>
      </c>
      <c r="K531" s="329">
        <f t="shared" si="1313"/>
        <v>26428.600000000002</v>
      </c>
      <c r="L531" s="105">
        <f t="shared" si="1314"/>
        <v>26278.600000000002</v>
      </c>
      <c r="M531" s="329">
        <f t="shared" si="1315"/>
        <v>26278.600000000002</v>
      </c>
      <c r="N531" s="105">
        <f t="shared" si="1316"/>
        <v>26228.600000000002</v>
      </c>
      <c r="O531" s="329">
        <f t="shared" si="1317"/>
        <v>26228.600000000002</v>
      </c>
      <c r="P531" s="105">
        <f t="shared" si="1318"/>
        <v>26198.600000000002</v>
      </c>
      <c r="Q531" s="329">
        <f t="shared" si="1319"/>
        <v>26198.600000000002</v>
      </c>
      <c r="R531" s="105">
        <f t="shared" si="1320"/>
        <v>26168.600000000002</v>
      </c>
      <c r="S531" s="329">
        <f t="shared" si="1321"/>
        <v>26168.600000000002</v>
      </c>
      <c r="T531" s="105">
        <f t="shared" si="1322"/>
        <v>26128.600000000002</v>
      </c>
      <c r="U531" s="329">
        <f t="shared" si="1323"/>
        <v>26128.600000000002</v>
      </c>
      <c r="V531" s="105">
        <f t="shared" si="1324"/>
        <v>26088.600000000002</v>
      </c>
      <c r="W531" s="329">
        <f t="shared" si="1325"/>
        <v>26088.600000000002</v>
      </c>
      <c r="X531" s="145"/>
      <c r="Y531" s="140"/>
      <c r="Z531" s="146"/>
      <c r="AA531" s="147"/>
      <c r="AB531" s="201">
        <v>643</v>
      </c>
    </row>
    <row r="532" spans="1:28" ht="12" customHeight="1" x14ac:dyDescent="0.2">
      <c r="A532" s="4"/>
      <c r="B532" s="666" t="s">
        <v>797</v>
      </c>
      <c r="C532" s="667"/>
      <c r="D532" s="667"/>
      <c r="E532" s="668"/>
      <c r="F532" s="418">
        <f>42.331*X2</f>
        <v>41103.401000000005</v>
      </c>
      <c r="G532" s="307">
        <f t="shared" si="1304"/>
        <v>41103.401000000005</v>
      </c>
      <c r="H532" s="104">
        <f t="shared" si="1339"/>
        <v>44103.401000000005</v>
      </c>
      <c r="I532" s="343">
        <f t="shared" si="1340"/>
        <v>44103.401000000005</v>
      </c>
      <c r="J532" s="104">
        <f t="shared" si="1312"/>
        <v>41703.401000000005</v>
      </c>
      <c r="K532" s="343">
        <f t="shared" si="1313"/>
        <v>41703.401000000005</v>
      </c>
      <c r="L532" s="104">
        <f t="shared" si="1314"/>
        <v>41553.401000000005</v>
      </c>
      <c r="M532" s="343">
        <f t="shared" si="1315"/>
        <v>41553.401000000005</v>
      </c>
      <c r="N532" s="104">
        <f t="shared" si="1316"/>
        <v>41503.401000000005</v>
      </c>
      <c r="O532" s="343">
        <f t="shared" si="1317"/>
        <v>41503.401000000005</v>
      </c>
      <c r="P532" s="104">
        <f t="shared" si="1318"/>
        <v>41473.401000000005</v>
      </c>
      <c r="Q532" s="343">
        <f t="shared" si="1319"/>
        <v>41473.401000000005</v>
      </c>
      <c r="R532" s="104">
        <f t="shared" si="1320"/>
        <v>41443.401000000005</v>
      </c>
      <c r="S532" s="343">
        <f t="shared" si="1321"/>
        <v>41443.401000000005</v>
      </c>
      <c r="T532" s="104">
        <f t="shared" si="1322"/>
        <v>41403.401000000005</v>
      </c>
      <c r="U532" s="343">
        <f t="shared" si="1323"/>
        <v>41403.401000000005</v>
      </c>
      <c r="V532" s="104">
        <f t="shared" si="1324"/>
        <v>41363.401000000005</v>
      </c>
      <c r="W532" s="343">
        <f t="shared" si="1325"/>
        <v>41363.401000000005</v>
      </c>
      <c r="X532" s="145"/>
      <c r="Y532" s="140"/>
      <c r="Z532" s="146"/>
      <c r="AA532" s="147"/>
      <c r="AB532" s="451">
        <v>657</v>
      </c>
    </row>
    <row r="533" spans="1:28" ht="12" customHeight="1" x14ac:dyDescent="0.2">
      <c r="A533" s="4"/>
      <c r="B533" s="758" t="s">
        <v>798</v>
      </c>
      <c r="C533" s="759"/>
      <c r="D533" s="759"/>
      <c r="E533" s="760"/>
      <c r="F533" s="417">
        <f>36.05*X2</f>
        <v>35004.549999999996</v>
      </c>
      <c r="G533" s="306">
        <f t="shared" ref="G533:G535" si="1341">+F533*$X$1</f>
        <v>35004.549999999996</v>
      </c>
      <c r="H533" s="105">
        <f t="shared" si="1339"/>
        <v>38004.549999999996</v>
      </c>
      <c r="I533" s="329">
        <f t="shared" si="1340"/>
        <v>38004.549999999996</v>
      </c>
      <c r="J533" s="105">
        <f t="shared" si="1312"/>
        <v>35604.549999999996</v>
      </c>
      <c r="K533" s="329">
        <f t="shared" si="1313"/>
        <v>35604.549999999996</v>
      </c>
      <c r="L533" s="105">
        <f t="shared" si="1314"/>
        <v>35454.549999999996</v>
      </c>
      <c r="M533" s="329">
        <f t="shared" si="1315"/>
        <v>35454.549999999996</v>
      </c>
      <c r="N533" s="105">
        <f t="shared" si="1316"/>
        <v>35404.549999999996</v>
      </c>
      <c r="O533" s="329">
        <f t="shared" si="1317"/>
        <v>35404.549999999996</v>
      </c>
      <c r="P533" s="105">
        <f t="shared" si="1318"/>
        <v>35374.549999999996</v>
      </c>
      <c r="Q533" s="329">
        <f t="shared" si="1319"/>
        <v>35374.549999999996</v>
      </c>
      <c r="R533" s="105">
        <f t="shared" si="1320"/>
        <v>35344.549999999996</v>
      </c>
      <c r="S533" s="329">
        <f t="shared" si="1321"/>
        <v>35344.549999999996</v>
      </c>
      <c r="T533" s="105">
        <f t="shared" si="1322"/>
        <v>35304.549999999996</v>
      </c>
      <c r="U533" s="329">
        <f t="shared" si="1323"/>
        <v>35304.549999999996</v>
      </c>
      <c r="V533" s="105">
        <f t="shared" si="1324"/>
        <v>35264.549999999996</v>
      </c>
      <c r="W533" s="329">
        <f t="shared" si="1325"/>
        <v>35264.549999999996</v>
      </c>
      <c r="X533" s="145"/>
      <c r="Y533" s="140"/>
      <c r="Z533" s="146"/>
      <c r="AA533" s="147"/>
      <c r="AB533" s="451">
        <v>658</v>
      </c>
    </row>
    <row r="534" spans="1:28" ht="12" customHeight="1" x14ac:dyDescent="0.2">
      <c r="A534" s="4"/>
      <c r="B534" s="666" t="s">
        <v>799</v>
      </c>
      <c r="C534" s="667"/>
      <c r="D534" s="667"/>
      <c r="E534" s="668"/>
      <c r="F534" s="418">
        <f>28.5*X2</f>
        <v>27673.5</v>
      </c>
      <c r="G534" s="307">
        <f t="shared" si="1341"/>
        <v>27673.5</v>
      </c>
      <c r="H534" s="104">
        <f t="shared" si="1339"/>
        <v>30673.5</v>
      </c>
      <c r="I534" s="343">
        <f t="shared" si="1340"/>
        <v>30673.5</v>
      </c>
      <c r="J534" s="104">
        <f t="shared" si="1312"/>
        <v>28273.5</v>
      </c>
      <c r="K534" s="343">
        <f t="shared" si="1313"/>
        <v>28273.5</v>
      </c>
      <c r="L534" s="104">
        <f t="shared" si="1314"/>
        <v>28123.5</v>
      </c>
      <c r="M534" s="343">
        <f t="shared" si="1315"/>
        <v>28123.5</v>
      </c>
      <c r="N534" s="104">
        <f t="shared" si="1316"/>
        <v>28073.5</v>
      </c>
      <c r="O534" s="343">
        <f t="shared" si="1317"/>
        <v>28073.5</v>
      </c>
      <c r="P534" s="104">
        <f t="shared" si="1318"/>
        <v>28043.5</v>
      </c>
      <c r="Q534" s="343">
        <f t="shared" si="1319"/>
        <v>28043.5</v>
      </c>
      <c r="R534" s="104">
        <f t="shared" si="1320"/>
        <v>28013.5</v>
      </c>
      <c r="S534" s="343">
        <f t="shared" si="1321"/>
        <v>28013.5</v>
      </c>
      <c r="T534" s="104">
        <f t="shared" si="1322"/>
        <v>27973.5</v>
      </c>
      <c r="U534" s="343">
        <f t="shared" si="1323"/>
        <v>27973.5</v>
      </c>
      <c r="V534" s="104">
        <f t="shared" si="1324"/>
        <v>27933.5</v>
      </c>
      <c r="W534" s="343">
        <f t="shared" si="1325"/>
        <v>27933.5</v>
      </c>
      <c r="X534" s="145"/>
      <c r="Y534" s="140"/>
      <c r="Z534" s="146"/>
      <c r="AA534" s="147"/>
      <c r="AB534" s="451">
        <v>659</v>
      </c>
    </row>
    <row r="535" spans="1:28" ht="12" customHeight="1" x14ac:dyDescent="0.2">
      <c r="A535" s="4"/>
      <c r="B535" s="758" t="s">
        <v>800</v>
      </c>
      <c r="C535" s="759"/>
      <c r="D535" s="759"/>
      <c r="E535" s="760"/>
      <c r="F535" s="417">
        <f>13.1*X2</f>
        <v>12720.1</v>
      </c>
      <c r="G535" s="306">
        <f t="shared" si="1341"/>
        <v>12720.1</v>
      </c>
      <c r="H535" s="105">
        <f t="shared" si="1339"/>
        <v>15720.1</v>
      </c>
      <c r="I535" s="329">
        <f t="shared" si="1340"/>
        <v>15720.1</v>
      </c>
      <c r="J535" s="105">
        <f t="shared" si="1312"/>
        <v>13320.1</v>
      </c>
      <c r="K535" s="329">
        <f t="shared" si="1313"/>
        <v>13320.1</v>
      </c>
      <c r="L535" s="105">
        <f t="shared" si="1314"/>
        <v>13170.1</v>
      </c>
      <c r="M535" s="329">
        <f t="shared" si="1315"/>
        <v>13170.1</v>
      </c>
      <c r="N535" s="105">
        <f t="shared" si="1316"/>
        <v>13120.1</v>
      </c>
      <c r="O535" s="329">
        <f t="shared" si="1317"/>
        <v>13120.1</v>
      </c>
      <c r="P535" s="105">
        <f t="shared" si="1318"/>
        <v>13090.1</v>
      </c>
      <c r="Q535" s="329">
        <f t="shared" si="1319"/>
        <v>13090.1</v>
      </c>
      <c r="R535" s="105">
        <f t="shared" si="1320"/>
        <v>13060.1</v>
      </c>
      <c r="S535" s="329">
        <f t="shared" si="1321"/>
        <v>13060.1</v>
      </c>
      <c r="T535" s="105">
        <f t="shared" si="1322"/>
        <v>13020.1</v>
      </c>
      <c r="U535" s="329">
        <f t="shared" si="1323"/>
        <v>13020.1</v>
      </c>
      <c r="V535" s="105">
        <f t="shared" si="1324"/>
        <v>12980.1</v>
      </c>
      <c r="W535" s="329">
        <f t="shared" si="1325"/>
        <v>12980.1</v>
      </c>
      <c r="X535" s="145"/>
      <c r="Y535" s="140"/>
      <c r="Z535" s="146"/>
      <c r="AA535" s="147"/>
      <c r="AB535" s="451">
        <v>660</v>
      </c>
    </row>
    <row r="536" spans="1:28" ht="12" customHeight="1" x14ac:dyDescent="0.2">
      <c r="A536" s="4"/>
      <c r="B536" s="666" t="s">
        <v>640</v>
      </c>
      <c r="C536" s="667"/>
      <c r="D536" s="667"/>
      <c r="E536" s="668"/>
      <c r="F536" s="354">
        <v>8060</v>
      </c>
      <c r="G536" s="307">
        <f t="shared" ref="G536:G543" si="1342">+F536*$X$1</f>
        <v>8060</v>
      </c>
      <c r="H536" s="104"/>
      <c r="I536" s="343"/>
      <c r="J536" s="104"/>
      <c r="K536" s="343"/>
      <c r="L536" s="104">
        <f t="shared" si="1314"/>
        <v>8510</v>
      </c>
      <c r="M536" s="343">
        <f t="shared" si="1315"/>
        <v>8510</v>
      </c>
      <c r="N536" s="104">
        <f t="shared" si="1316"/>
        <v>8460</v>
      </c>
      <c r="O536" s="343">
        <f t="shared" si="1317"/>
        <v>8460</v>
      </c>
      <c r="P536" s="104">
        <f t="shared" si="1318"/>
        <v>8430</v>
      </c>
      <c r="Q536" s="343">
        <f t="shared" si="1319"/>
        <v>8430</v>
      </c>
      <c r="R536" s="104">
        <f t="shared" si="1320"/>
        <v>8400</v>
      </c>
      <c r="S536" s="343">
        <f t="shared" si="1321"/>
        <v>8400</v>
      </c>
      <c r="T536" s="104">
        <f t="shared" si="1322"/>
        <v>8360</v>
      </c>
      <c r="U536" s="343">
        <f t="shared" si="1323"/>
        <v>8360</v>
      </c>
      <c r="V536" s="104">
        <f t="shared" si="1324"/>
        <v>8320</v>
      </c>
      <c r="W536" s="343">
        <f t="shared" si="1325"/>
        <v>8320</v>
      </c>
      <c r="X536" s="145"/>
      <c r="Y536" s="140"/>
      <c r="Z536" s="146"/>
      <c r="AA536" s="147"/>
      <c r="AB536" s="451">
        <v>661</v>
      </c>
    </row>
    <row r="537" spans="1:28" ht="12" customHeight="1" x14ac:dyDescent="0.2">
      <c r="A537" s="4"/>
      <c r="B537" s="758" t="s">
        <v>641</v>
      </c>
      <c r="C537" s="759"/>
      <c r="D537" s="759"/>
      <c r="E537" s="760"/>
      <c r="F537" s="355">
        <v>31556</v>
      </c>
      <c r="G537" s="306">
        <f t="shared" si="1342"/>
        <v>31556</v>
      </c>
      <c r="H537" s="105"/>
      <c r="I537" s="329"/>
      <c r="J537" s="105">
        <f t="shared" si="1312"/>
        <v>32156</v>
      </c>
      <c r="K537" s="329">
        <f t="shared" si="1313"/>
        <v>32156</v>
      </c>
      <c r="L537" s="105">
        <f t="shared" si="1314"/>
        <v>32006</v>
      </c>
      <c r="M537" s="329">
        <f t="shared" si="1315"/>
        <v>32006</v>
      </c>
      <c r="N537" s="105">
        <f t="shared" si="1316"/>
        <v>31956</v>
      </c>
      <c r="O537" s="329">
        <f t="shared" si="1317"/>
        <v>31956</v>
      </c>
      <c r="P537" s="105">
        <f t="shared" si="1318"/>
        <v>31926</v>
      </c>
      <c r="Q537" s="329">
        <f t="shared" si="1319"/>
        <v>31926</v>
      </c>
      <c r="R537" s="105">
        <f t="shared" si="1320"/>
        <v>31896</v>
      </c>
      <c r="S537" s="329">
        <f t="shared" si="1321"/>
        <v>31896</v>
      </c>
      <c r="T537" s="105">
        <f t="shared" si="1322"/>
        <v>31856</v>
      </c>
      <c r="U537" s="329">
        <f t="shared" si="1323"/>
        <v>31856</v>
      </c>
      <c r="V537" s="105">
        <f t="shared" si="1324"/>
        <v>31816</v>
      </c>
      <c r="W537" s="329">
        <f t="shared" si="1325"/>
        <v>31816</v>
      </c>
      <c r="X537" s="145"/>
      <c r="Y537" s="140"/>
      <c r="Z537" s="146"/>
      <c r="AA537" s="147"/>
      <c r="AB537" s="451">
        <v>664</v>
      </c>
    </row>
    <row r="538" spans="1:28" ht="12" customHeight="1" x14ac:dyDescent="0.2">
      <c r="A538" s="4"/>
      <c r="B538" s="666" t="s">
        <v>823</v>
      </c>
      <c r="C538" s="667"/>
      <c r="D538" s="667"/>
      <c r="E538" s="668"/>
      <c r="F538" s="418">
        <f>18.36*X2</f>
        <v>17827.559999999998</v>
      </c>
      <c r="G538" s="307">
        <f t="shared" si="1342"/>
        <v>17827.559999999998</v>
      </c>
      <c r="H538" s="104">
        <f t="shared" ref="H538" si="1343">F538+3000</f>
        <v>20827.559999999998</v>
      </c>
      <c r="I538" s="343">
        <f t="shared" ref="I538" si="1344">+H538*$X$1</f>
        <v>20827.559999999998</v>
      </c>
      <c r="J538" s="104">
        <f t="shared" si="1312"/>
        <v>18427.559999999998</v>
      </c>
      <c r="K538" s="343">
        <f t="shared" si="1313"/>
        <v>18427.559999999998</v>
      </c>
      <c r="L538" s="104">
        <f t="shared" si="1314"/>
        <v>18277.559999999998</v>
      </c>
      <c r="M538" s="343">
        <f t="shared" si="1315"/>
        <v>18277.559999999998</v>
      </c>
      <c r="N538" s="104">
        <f t="shared" si="1316"/>
        <v>18227.559999999998</v>
      </c>
      <c r="O538" s="343">
        <f t="shared" si="1317"/>
        <v>18227.559999999998</v>
      </c>
      <c r="P538" s="104">
        <f t="shared" si="1318"/>
        <v>18197.559999999998</v>
      </c>
      <c r="Q538" s="343">
        <f t="shared" si="1319"/>
        <v>18197.559999999998</v>
      </c>
      <c r="R538" s="104">
        <f t="shared" si="1320"/>
        <v>18167.559999999998</v>
      </c>
      <c r="S538" s="343">
        <f t="shared" si="1321"/>
        <v>18167.559999999998</v>
      </c>
      <c r="T538" s="104">
        <f t="shared" si="1322"/>
        <v>18127.559999999998</v>
      </c>
      <c r="U538" s="343">
        <f t="shared" si="1323"/>
        <v>18127.559999999998</v>
      </c>
      <c r="V538" s="104">
        <f t="shared" si="1324"/>
        <v>18087.559999999998</v>
      </c>
      <c r="W538" s="343">
        <f t="shared" si="1325"/>
        <v>18087.559999999998</v>
      </c>
      <c r="X538" s="145"/>
      <c r="Y538" s="140"/>
      <c r="Z538" s="146"/>
      <c r="AA538" s="147"/>
      <c r="AB538" s="451">
        <v>667</v>
      </c>
    </row>
    <row r="539" spans="1:28" ht="12" customHeight="1" x14ac:dyDescent="0.2">
      <c r="A539" s="4"/>
      <c r="B539" s="953" t="s">
        <v>822</v>
      </c>
      <c r="C539" s="1055"/>
      <c r="D539" s="1055"/>
      <c r="E539" s="1056"/>
      <c r="F539" s="417">
        <f>14.99*X2</f>
        <v>14555.29</v>
      </c>
      <c r="G539" s="306">
        <f t="shared" ref="G539:G540" si="1345">+F539*$X$1</f>
        <v>14555.29</v>
      </c>
      <c r="H539" s="105">
        <f t="shared" ref="H539:H555" si="1346">F539+3000</f>
        <v>17555.29</v>
      </c>
      <c r="I539" s="329">
        <f t="shared" ref="I539:I555" si="1347">+H539*$X$1</f>
        <v>17555.29</v>
      </c>
      <c r="J539" s="105">
        <f t="shared" si="1312"/>
        <v>15155.29</v>
      </c>
      <c r="K539" s="329">
        <f t="shared" si="1313"/>
        <v>15155.29</v>
      </c>
      <c r="L539" s="105">
        <f t="shared" si="1314"/>
        <v>15005.29</v>
      </c>
      <c r="M539" s="329">
        <f t="shared" si="1315"/>
        <v>15005.29</v>
      </c>
      <c r="N539" s="105">
        <f t="shared" si="1316"/>
        <v>14955.29</v>
      </c>
      <c r="O539" s="329">
        <f t="shared" si="1317"/>
        <v>14955.29</v>
      </c>
      <c r="P539" s="105">
        <f t="shared" si="1318"/>
        <v>14925.29</v>
      </c>
      <c r="Q539" s="329">
        <f t="shared" si="1319"/>
        <v>14925.29</v>
      </c>
      <c r="R539" s="105">
        <f t="shared" si="1320"/>
        <v>14895.29</v>
      </c>
      <c r="S539" s="329">
        <f t="shared" si="1321"/>
        <v>14895.29</v>
      </c>
      <c r="T539" s="105">
        <f t="shared" si="1322"/>
        <v>14855.29</v>
      </c>
      <c r="U539" s="329">
        <f t="shared" si="1323"/>
        <v>14855.29</v>
      </c>
      <c r="V539" s="105">
        <f t="shared" si="1324"/>
        <v>14815.29</v>
      </c>
      <c r="W539" s="329">
        <f t="shared" si="1325"/>
        <v>14815.29</v>
      </c>
      <c r="X539" s="145"/>
      <c r="Y539" s="140"/>
      <c r="Z539" s="146"/>
      <c r="AA539" s="147"/>
      <c r="AB539" s="451">
        <v>668</v>
      </c>
    </row>
    <row r="540" spans="1:28" ht="12" customHeight="1" x14ac:dyDescent="0.2">
      <c r="A540" s="4"/>
      <c r="B540" s="666" t="s">
        <v>912</v>
      </c>
      <c r="C540" s="667"/>
      <c r="D540" s="667"/>
      <c r="E540" s="668"/>
      <c r="F540" s="418">
        <f>15.28*X2</f>
        <v>14836.88</v>
      </c>
      <c r="G540" s="307">
        <f t="shared" si="1345"/>
        <v>14836.88</v>
      </c>
      <c r="H540" s="104">
        <f t="shared" si="1346"/>
        <v>17836.879999999997</v>
      </c>
      <c r="I540" s="343">
        <f t="shared" si="1347"/>
        <v>17836.879999999997</v>
      </c>
      <c r="J540" s="104">
        <f t="shared" si="1312"/>
        <v>15436.88</v>
      </c>
      <c r="K540" s="343">
        <f t="shared" si="1313"/>
        <v>15436.88</v>
      </c>
      <c r="L540" s="104">
        <f t="shared" si="1314"/>
        <v>15286.88</v>
      </c>
      <c r="M540" s="343">
        <f t="shared" si="1315"/>
        <v>15286.88</v>
      </c>
      <c r="N540" s="104">
        <f t="shared" si="1316"/>
        <v>15236.88</v>
      </c>
      <c r="O540" s="343">
        <f t="shared" si="1317"/>
        <v>15236.88</v>
      </c>
      <c r="P540" s="104">
        <f t="shared" si="1318"/>
        <v>15206.88</v>
      </c>
      <c r="Q540" s="343">
        <f t="shared" si="1319"/>
        <v>15206.88</v>
      </c>
      <c r="R540" s="104">
        <f t="shared" si="1320"/>
        <v>15176.88</v>
      </c>
      <c r="S540" s="343">
        <f t="shared" si="1321"/>
        <v>15176.88</v>
      </c>
      <c r="T540" s="104">
        <f t="shared" si="1322"/>
        <v>15136.88</v>
      </c>
      <c r="U540" s="343">
        <f t="shared" si="1323"/>
        <v>15136.88</v>
      </c>
      <c r="V540" s="104">
        <f t="shared" si="1324"/>
        <v>15096.88</v>
      </c>
      <c r="W540" s="343">
        <f t="shared" si="1325"/>
        <v>15096.88</v>
      </c>
      <c r="X540" s="145"/>
      <c r="Y540" s="140"/>
      <c r="Z540" s="146"/>
      <c r="AA540" s="147"/>
      <c r="AB540" s="201">
        <v>675</v>
      </c>
    </row>
    <row r="541" spans="1:28" ht="12" customHeight="1" x14ac:dyDescent="0.2">
      <c r="A541" s="4"/>
      <c r="B541" s="758" t="s">
        <v>557</v>
      </c>
      <c r="C541" s="759"/>
      <c r="D541" s="759"/>
      <c r="E541" s="760"/>
      <c r="F541" s="417">
        <f>10.4*X2</f>
        <v>10098.4</v>
      </c>
      <c r="G541" s="306">
        <f t="shared" si="1342"/>
        <v>10098.4</v>
      </c>
      <c r="H541" s="105">
        <f t="shared" si="1346"/>
        <v>13098.4</v>
      </c>
      <c r="I541" s="329">
        <f t="shared" si="1347"/>
        <v>13098.4</v>
      </c>
      <c r="J541" s="105">
        <f t="shared" si="1312"/>
        <v>10698.4</v>
      </c>
      <c r="K541" s="329">
        <f t="shared" si="1313"/>
        <v>10698.4</v>
      </c>
      <c r="L541" s="105">
        <f t="shared" si="1314"/>
        <v>10548.4</v>
      </c>
      <c r="M541" s="329">
        <f t="shared" si="1315"/>
        <v>10548.4</v>
      </c>
      <c r="N541" s="105">
        <f t="shared" si="1316"/>
        <v>10498.4</v>
      </c>
      <c r="O541" s="329">
        <f t="shared" si="1317"/>
        <v>10498.4</v>
      </c>
      <c r="P541" s="105">
        <f t="shared" si="1318"/>
        <v>10468.4</v>
      </c>
      <c r="Q541" s="329">
        <f t="shared" si="1319"/>
        <v>10468.4</v>
      </c>
      <c r="R541" s="105">
        <f t="shared" si="1320"/>
        <v>10438.4</v>
      </c>
      <c r="S541" s="329">
        <f t="shared" si="1321"/>
        <v>10438.4</v>
      </c>
      <c r="T541" s="105">
        <f t="shared" si="1322"/>
        <v>10398.4</v>
      </c>
      <c r="U541" s="329">
        <f t="shared" si="1323"/>
        <v>10398.4</v>
      </c>
      <c r="V541" s="105">
        <f t="shared" si="1324"/>
        <v>10358.4</v>
      </c>
      <c r="W541" s="329">
        <f t="shared" si="1325"/>
        <v>10358.4</v>
      </c>
      <c r="X541" s="145"/>
      <c r="Y541" s="140"/>
      <c r="Z541" s="146"/>
      <c r="AA541" s="147"/>
      <c r="AB541" s="201">
        <v>686</v>
      </c>
    </row>
    <row r="542" spans="1:28" ht="12" customHeight="1" x14ac:dyDescent="0.2">
      <c r="A542" s="4"/>
      <c r="B542" s="666" t="s">
        <v>597</v>
      </c>
      <c r="C542" s="667"/>
      <c r="D542" s="667"/>
      <c r="E542" s="668"/>
      <c r="F542" s="419">
        <f>33.4*X2</f>
        <v>32431.399999999998</v>
      </c>
      <c r="G542" s="307">
        <f t="shared" si="1342"/>
        <v>32431.399999999998</v>
      </c>
      <c r="H542" s="104">
        <f t="shared" si="1346"/>
        <v>35431.399999999994</v>
      </c>
      <c r="I542" s="343">
        <f t="shared" si="1347"/>
        <v>35431.399999999994</v>
      </c>
      <c r="J542" s="104">
        <f t="shared" si="1312"/>
        <v>33031.399999999994</v>
      </c>
      <c r="K542" s="343">
        <f t="shared" si="1313"/>
        <v>33031.399999999994</v>
      </c>
      <c r="L542" s="104">
        <f t="shared" si="1314"/>
        <v>32881.399999999994</v>
      </c>
      <c r="M542" s="343">
        <f t="shared" si="1315"/>
        <v>32881.399999999994</v>
      </c>
      <c r="N542" s="104">
        <f t="shared" si="1316"/>
        <v>32831.399999999994</v>
      </c>
      <c r="O542" s="343">
        <f t="shared" si="1317"/>
        <v>32831.399999999994</v>
      </c>
      <c r="P542" s="104">
        <f t="shared" si="1318"/>
        <v>32801.399999999994</v>
      </c>
      <c r="Q542" s="343">
        <f t="shared" si="1319"/>
        <v>32801.399999999994</v>
      </c>
      <c r="R542" s="104">
        <f t="shared" si="1320"/>
        <v>32771.399999999994</v>
      </c>
      <c r="S542" s="343">
        <f t="shared" si="1321"/>
        <v>32771.399999999994</v>
      </c>
      <c r="T542" s="104">
        <f t="shared" si="1322"/>
        <v>32731.399999999998</v>
      </c>
      <c r="U542" s="343">
        <f t="shared" si="1323"/>
        <v>32731.399999999998</v>
      </c>
      <c r="V542" s="104">
        <f t="shared" si="1324"/>
        <v>32691.399999999998</v>
      </c>
      <c r="W542" s="343">
        <f t="shared" si="1325"/>
        <v>32691.399999999998</v>
      </c>
      <c r="X542" s="145"/>
      <c r="Y542" s="140"/>
      <c r="Z542" s="146"/>
      <c r="AA542" s="147"/>
      <c r="AB542" s="451">
        <v>687</v>
      </c>
    </row>
    <row r="543" spans="1:28" ht="12" customHeight="1" x14ac:dyDescent="0.2">
      <c r="A543" s="4"/>
      <c r="B543" s="758" t="s">
        <v>801</v>
      </c>
      <c r="C543" s="759"/>
      <c r="D543" s="759"/>
      <c r="E543" s="760"/>
      <c r="F543" s="420">
        <f>17.8*X2</f>
        <v>17283.8</v>
      </c>
      <c r="G543" s="306">
        <f t="shared" si="1342"/>
        <v>17283.8</v>
      </c>
      <c r="H543" s="105">
        <f t="shared" si="1346"/>
        <v>20283.8</v>
      </c>
      <c r="I543" s="329">
        <f t="shared" si="1347"/>
        <v>20283.8</v>
      </c>
      <c r="J543" s="105">
        <f t="shared" si="1312"/>
        <v>17883.8</v>
      </c>
      <c r="K543" s="329">
        <f t="shared" si="1313"/>
        <v>17883.8</v>
      </c>
      <c r="L543" s="105">
        <f t="shared" si="1314"/>
        <v>17733.8</v>
      </c>
      <c r="M543" s="329">
        <f t="shared" si="1315"/>
        <v>17733.8</v>
      </c>
      <c r="N543" s="105">
        <f t="shared" si="1316"/>
        <v>17683.8</v>
      </c>
      <c r="O543" s="329">
        <f t="shared" si="1317"/>
        <v>17683.8</v>
      </c>
      <c r="P543" s="105">
        <f t="shared" si="1318"/>
        <v>17653.8</v>
      </c>
      <c r="Q543" s="329">
        <f t="shared" si="1319"/>
        <v>17653.8</v>
      </c>
      <c r="R543" s="105">
        <f t="shared" si="1320"/>
        <v>17623.8</v>
      </c>
      <c r="S543" s="329">
        <f t="shared" si="1321"/>
        <v>17623.8</v>
      </c>
      <c r="T543" s="105">
        <f t="shared" si="1322"/>
        <v>17583.8</v>
      </c>
      <c r="U543" s="329">
        <f t="shared" si="1323"/>
        <v>17583.8</v>
      </c>
      <c r="V543" s="105">
        <f t="shared" si="1324"/>
        <v>17543.8</v>
      </c>
      <c r="W543" s="329">
        <f t="shared" si="1325"/>
        <v>17543.8</v>
      </c>
      <c r="X543" s="145"/>
      <c r="Y543" s="140"/>
      <c r="Z543" s="146"/>
      <c r="AA543" s="147"/>
      <c r="AB543" s="451">
        <v>694</v>
      </c>
    </row>
    <row r="544" spans="1:28" ht="12" customHeight="1" x14ac:dyDescent="0.2">
      <c r="A544" s="4"/>
      <c r="B544" s="666" t="s">
        <v>802</v>
      </c>
      <c r="C544" s="667"/>
      <c r="D544" s="667"/>
      <c r="E544" s="668"/>
      <c r="F544" s="418">
        <f>39.1*X2</f>
        <v>37966.1</v>
      </c>
      <c r="G544" s="307">
        <f t="shared" ref="G544" si="1348">+F544*$X$1</f>
        <v>37966.1</v>
      </c>
      <c r="H544" s="104">
        <f t="shared" si="1346"/>
        <v>40966.1</v>
      </c>
      <c r="I544" s="343">
        <f t="shared" si="1347"/>
        <v>40966.1</v>
      </c>
      <c r="J544" s="104">
        <f t="shared" si="1312"/>
        <v>38566.1</v>
      </c>
      <c r="K544" s="343">
        <f t="shared" si="1313"/>
        <v>38566.1</v>
      </c>
      <c r="L544" s="104">
        <f t="shared" si="1314"/>
        <v>38416.1</v>
      </c>
      <c r="M544" s="343">
        <f t="shared" si="1315"/>
        <v>38416.1</v>
      </c>
      <c r="N544" s="104">
        <f t="shared" si="1316"/>
        <v>38366.1</v>
      </c>
      <c r="O544" s="343">
        <f t="shared" si="1317"/>
        <v>38366.1</v>
      </c>
      <c r="P544" s="104">
        <f t="shared" si="1318"/>
        <v>38336.1</v>
      </c>
      <c r="Q544" s="343">
        <f t="shared" si="1319"/>
        <v>38336.1</v>
      </c>
      <c r="R544" s="104">
        <f t="shared" si="1320"/>
        <v>38306.1</v>
      </c>
      <c r="S544" s="343">
        <f t="shared" si="1321"/>
        <v>38306.1</v>
      </c>
      <c r="T544" s="104">
        <f t="shared" si="1322"/>
        <v>38266.1</v>
      </c>
      <c r="U544" s="343">
        <f t="shared" si="1323"/>
        <v>38266.1</v>
      </c>
      <c r="V544" s="104">
        <f t="shared" si="1324"/>
        <v>38226.1</v>
      </c>
      <c r="W544" s="343">
        <f t="shared" si="1325"/>
        <v>38226.1</v>
      </c>
      <c r="X544" s="145"/>
      <c r="Y544" s="140"/>
      <c r="Z544" s="146"/>
      <c r="AA544" s="147"/>
      <c r="AB544" s="451">
        <v>698</v>
      </c>
    </row>
    <row r="545" spans="1:34" ht="12" customHeight="1" x14ac:dyDescent="0.2">
      <c r="A545" s="4"/>
      <c r="B545" s="758" t="s">
        <v>633</v>
      </c>
      <c r="C545" s="759"/>
      <c r="D545" s="759"/>
      <c r="E545" s="760"/>
      <c r="F545" s="417">
        <f>56.84*X2</f>
        <v>55191.640000000007</v>
      </c>
      <c r="G545" s="306">
        <f>+F545*$X$1</f>
        <v>55191.640000000007</v>
      </c>
      <c r="H545" s="105">
        <f t="shared" si="1346"/>
        <v>58191.640000000007</v>
      </c>
      <c r="I545" s="329">
        <f t="shared" si="1347"/>
        <v>58191.640000000007</v>
      </c>
      <c r="J545" s="105">
        <f t="shared" si="1312"/>
        <v>55791.640000000007</v>
      </c>
      <c r="K545" s="329">
        <f t="shared" si="1313"/>
        <v>55791.640000000007</v>
      </c>
      <c r="L545" s="105">
        <f t="shared" si="1314"/>
        <v>55641.640000000007</v>
      </c>
      <c r="M545" s="329">
        <f t="shared" si="1315"/>
        <v>55641.640000000007</v>
      </c>
      <c r="N545" s="105">
        <f t="shared" si="1316"/>
        <v>55591.640000000007</v>
      </c>
      <c r="O545" s="329">
        <f t="shared" si="1317"/>
        <v>55591.640000000007</v>
      </c>
      <c r="P545" s="105">
        <f t="shared" si="1318"/>
        <v>55561.640000000007</v>
      </c>
      <c r="Q545" s="329">
        <f t="shared" si="1319"/>
        <v>55561.640000000007</v>
      </c>
      <c r="R545" s="105">
        <f t="shared" si="1320"/>
        <v>55531.640000000007</v>
      </c>
      <c r="S545" s="329">
        <f t="shared" si="1321"/>
        <v>55531.640000000007</v>
      </c>
      <c r="T545" s="105">
        <f t="shared" si="1322"/>
        <v>55491.640000000007</v>
      </c>
      <c r="U545" s="329">
        <f t="shared" si="1323"/>
        <v>55491.640000000007</v>
      </c>
      <c r="V545" s="105">
        <f t="shared" si="1324"/>
        <v>55451.640000000007</v>
      </c>
      <c r="W545" s="329">
        <f t="shared" si="1325"/>
        <v>55451.640000000007</v>
      </c>
      <c r="X545" s="145"/>
      <c r="Y545" s="140"/>
      <c r="Z545" s="146"/>
      <c r="AA545" s="147"/>
      <c r="AB545" s="451">
        <v>710</v>
      </c>
    </row>
    <row r="546" spans="1:34" ht="12" customHeight="1" x14ac:dyDescent="0.2">
      <c r="A546" s="4"/>
      <c r="B546" s="666" t="s">
        <v>604</v>
      </c>
      <c r="C546" s="667"/>
      <c r="D546" s="667"/>
      <c r="E546" s="668"/>
      <c r="F546" s="418">
        <f>65.703*X2</f>
        <v>63797.613000000005</v>
      </c>
      <c r="G546" s="307">
        <f t="shared" ref="G546" si="1349">+F546*$X$1</f>
        <v>63797.613000000005</v>
      </c>
      <c r="H546" s="104">
        <f t="shared" si="1346"/>
        <v>66797.613000000012</v>
      </c>
      <c r="I546" s="343">
        <f t="shared" si="1347"/>
        <v>66797.613000000012</v>
      </c>
      <c r="J546" s="104">
        <f t="shared" si="1312"/>
        <v>64397.613000000005</v>
      </c>
      <c r="K546" s="343">
        <f t="shared" si="1313"/>
        <v>64397.613000000005</v>
      </c>
      <c r="L546" s="104">
        <f t="shared" si="1314"/>
        <v>64247.613000000005</v>
      </c>
      <c r="M546" s="343">
        <f t="shared" si="1315"/>
        <v>64247.613000000005</v>
      </c>
      <c r="N546" s="104">
        <f t="shared" si="1316"/>
        <v>64197.613000000005</v>
      </c>
      <c r="O546" s="343">
        <f t="shared" si="1317"/>
        <v>64197.613000000005</v>
      </c>
      <c r="P546" s="104">
        <f t="shared" si="1318"/>
        <v>64167.613000000005</v>
      </c>
      <c r="Q546" s="343">
        <f t="shared" si="1319"/>
        <v>64167.613000000005</v>
      </c>
      <c r="R546" s="104">
        <f t="shared" si="1320"/>
        <v>64137.613000000005</v>
      </c>
      <c r="S546" s="343">
        <f t="shared" si="1321"/>
        <v>64137.613000000005</v>
      </c>
      <c r="T546" s="104">
        <f t="shared" si="1322"/>
        <v>64097.613000000005</v>
      </c>
      <c r="U546" s="343">
        <f t="shared" si="1323"/>
        <v>64097.613000000005</v>
      </c>
      <c r="V546" s="104">
        <f t="shared" si="1324"/>
        <v>64057.613000000005</v>
      </c>
      <c r="W546" s="343">
        <f t="shared" si="1325"/>
        <v>64057.613000000005</v>
      </c>
      <c r="X546" s="145"/>
      <c r="Y546" s="140"/>
      <c r="Z546" s="146"/>
      <c r="AA546" s="147"/>
      <c r="AB546" s="451">
        <v>711</v>
      </c>
    </row>
    <row r="547" spans="1:34" ht="12" customHeight="1" x14ac:dyDescent="0.2">
      <c r="A547" s="4"/>
      <c r="B547" s="758" t="s">
        <v>636</v>
      </c>
      <c r="C547" s="759"/>
      <c r="D547" s="759"/>
      <c r="E547" s="760"/>
      <c r="F547" s="417">
        <f>62.17*X2</f>
        <v>60367.07</v>
      </c>
      <c r="G547" s="306">
        <f t="shared" ref="G547:G554" si="1350">+F547*$X$1</f>
        <v>60367.07</v>
      </c>
      <c r="H547" s="105">
        <f t="shared" si="1346"/>
        <v>63367.07</v>
      </c>
      <c r="I547" s="329">
        <f t="shared" si="1347"/>
        <v>63367.07</v>
      </c>
      <c r="J547" s="105">
        <f t="shared" si="1312"/>
        <v>60967.07</v>
      </c>
      <c r="K547" s="329">
        <f t="shared" si="1313"/>
        <v>60967.07</v>
      </c>
      <c r="L547" s="105">
        <f t="shared" si="1314"/>
        <v>60817.07</v>
      </c>
      <c r="M547" s="329">
        <f t="shared" si="1315"/>
        <v>60817.07</v>
      </c>
      <c r="N547" s="105">
        <f t="shared" si="1316"/>
        <v>60767.07</v>
      </c>
      <c r="O547" s="329">
        <f t="shared" si="1317"/>
        <v>60767.07</v>
      </c>
      <c r="P547" s="105">
        <f t="shared" si="1318"/>
        <v>60737.07</v>
      </c>
      <c r="Q547" s="329">
        <f t="shared" si="1319"/>
        <v>60737.07</v>
      </c>
      <c r="R547" s="105">
        <f t="shared" si="1320"/>
        <v>60707.07</v>
      </c>
      <c r="S547" s="329">
        <f t="shared" si="1321"/>
        <v>60707.07</v>
      </c>
      <c r="T547" s="105">
        <f t="shared" si="1322"/>
        <v>60667.07</v>
      </c>
      <c r="U547" s="329">
        <f t="shared" si="1323"/>
        <v>60667.07</v>
      </c>
      <c r="V547" s="105">
        <f t="shared" si="1324"/>
        <v>60627.07</v>
      </c>
      <c r="W547" s="329">
        <f t="shared" si="1325"/>
        <v>60627.07</v>
      </c>
      <c r="X547" s="145"/>
      <c r="Y547" s="140"/>
      <c r="Z547" s="146"/>
      <c r="AA547" s="147"/>
      <c r="AB547" s="451">
        <v>714</v>
      </c>
    </row>
    <row r="548" spans="1:34" ht="12" customHeight="1" x14ac:dyDescent="0.2">
      <c r="A548" s="4"/>
      <c r="B548" s="953" t="s">
        <v>787</v>
      </c>
      <c r="C548" s="1055"/>
      <c r="D548" s="1055"/>
      <c r="E548" s="1056"/>
      <c r="F548" s="418">
        <f>15.7*X2</f>
        <v>15244.699999999999</v>
      </c>
      <c r="G548" s="307">
        <f t="shared" ref="G548" si="1351">+F548*$X$1</f>
        <v>15244.699999999999</v>
      </c>
      <c r="H548" s="104">
        <f t="shared" si="1346"/>
        <v>18244.699999999997</v>
      </c>
      <c r="I548" s="343">
        <f t="shared" si="1347"/>
        <v>18244.699999999997</v>
      </c>
      <c r="J548" s="104">
        <f t="shared" si="1312"/>
        <v>15844.699999999999</v>
      </c>
      <c r="K548" s="343">
        <f t="shared" si="1313"/>
        <v>15844.699999999999</v>
      </c>
      <c r="L548" s="104">
        <f t="shared" si="1314"/>
        <v>15694.699999999999</v>
      </c>
      <c r="M548" s="343">
        <f t="shared" si="1315"/>
        <v>15694.699999999999</v>
      </c>
      <c r="N548" s="104">
        <f t="shared" si="1316"/>
        <v>15644.699999999999</v>
      </c>
      <c r="O548" s="343">
        <f t="shared" si="1317"/>
        <v>15644.699999999999</v>
      </c>
      <c r="P548" s="104">
        <f t="shared" si="1318"/>
        <v>15614.699999999999</v>
      </c>
      <c r="Q548" s="343">
        <f t="shared" si="1319"/>
        <v>15614.699999999999</v>
      </c>
      <c r="R548" s="104">
        <f t="shared" si="1320"/>
        <v>15584.699999999999</v>
      </c>
      <c r="S548" s="343">
        <f t="shared" si="1321"/>
        <v>15584.699999999999</v>
      </c>
      <c r="T548" s="104">
        <f t="shared" si="1322"/>
        <v>15544.699999999999</v>
      </c>
      <c r="U548" s="343">
        <f t="shared" si="1323"/>
        <v>15544.699999999999</v>
      </c>
      <c r="V548" s="104">
        <f t="shared" si="1324"/>
        <v>15504.699999999999</v>
      </c>
      <c r="W548" s="343">
        <f t="shared" si="1325"/>
        <v>15504.699999999999</v>
      </c>
      <c r="X548" s="145"/>
      <c r="Y548" s="140"/>
      <c r="Z548" s="146"/>
      <c r="AA548" s="147"/>
      <c r="AB548" s="451">
        <v>716</v>
      </c>
    </row>
    <row r="549" spans="1:34" ht="12" customHeight="1" x14ac:dyDescent="0.2">
      <c r="A549" s="4"/>
      <c r="B549" s="953" t="s">
        <v>789</v>
      </c>
      <c r="C549" s="1055"/>
      <c r="D549" s="1055"/>
      <c r="E549" s="1056"/>
      <c r="F549" s="417">
        <f>83.8*X2</f>
        <v>81369.8</v>
      </c>
      <c r="G549" s="306">
        <f t="shared" ref="G549" si="1352">+F549*$X$1</f>
        <v>81369.8</v>
      </c>
      <c r="H549" s="105">
        <f t="shared" si="1346"/>
        <v>84369.8</v>
      </c>
      <c r="I549" s="329">
        <f t="shared" si="1347"/>
        <v>84369.8</v>
      </c>
      <c r="J549" s="105">
        <f t="shared" si="1312"/>
        <v>81969.8</v>
      </c>
      <c r="K549" s="329">
        <f t="shared" si="1313"/>
        <v>81969.8</v>
      </c>
      <c r="L549" s="105">
        <f t="shared" si="1314"/>
        <v>81819.8</v>
      </c>
      <c r="M549" s="329">
        <f t="shared" si="1315"/>
        <v>81819.8</v>
      </c>
      <c r="N549" s="105">
        <f t="shared" si="1316"/>
        <v>81769.8</v>
      </c>
      <c r="O549" s="329">
        <f t="shared" si="1317"/>
        <v>81769.8</v>
      </c>
      <c r="P549" s="105">
        <f t="shared" si="1318"/>
        <v>81739.8</v>
      </c>
      <c r="Q549" s="329">
        <f t="shared" si="1319"/>
        <v>81739.8</v>
      </c>
      <c r="R549" s="105">
        <f t="shared" si="1320"/>
        <v>81709.8</v>
      </c>
      <c r="S549" s="329">
        <f t="shared" si="1321"/>
        <v>81709.8</v>
      </c>
      <c r="T549" s="105">
        <f t="shared" si="1322"/>
        <v>81669.8</v>
      </c>
      <c r="U549" s="329">
        <f t="shared" si="1323"/>
        <v>81669.8</v>
      </c>
      <c r="V549" s="105">
        <f t="shared" si="1324"/>
        <v>81629.8</v>
      </c>
      <c r="W549" s="329">
        <f t="shared" si="1325"/>
        <v>81629.8</v>
      </c>
      <c r="X549" s="145"/>
      <c r="Y549" s="140"/>
      <c r="Z549" s="146"/>
      <c r="AA549" s="147"/>
      <c r="AB549" s="451">
        <v>717</v>
      </c>
    </row>
    <row r="550" spans="1:34" ht="12" customHeight="1" x14ac:dyDescent="0.2">
      <c r="A550" s="4"/>
      <c r="B550" s="953" t="s">
        <v>788</v>
      </c>
      <c r="C550" s="1055"/>
      <c r="D550" s="1055"/>
      <c r="E550" s="1056"/>
      <c r="F550" s="418">
        <f>101*X2</f>
        <v>98071</v>
      </c>
      <c r="G550" s="307">
        <f t="shared" ref="G550" si="1353">+F550*$X$1</f>
        <v>98071</v>
      </c>
      <c r="H550" s="104">
        <f t="shared" si="1346"/>
        <v>101071</v>
      </c>
      <c r="I550" s="343">
        <f t="shared" si="1347"/>
        <v>101071</v>
      </c>
      <c r="J550" s="104">
        <f t="shared" si="1312"/>
        <v>98671</v>
      </c>
      <c r="K550" s="343">
        <f t="shared" si="1313"/>
        <v>98671</v>
      </c>
      <c r="L550" s="104">
        <f t="shared" si="1314"/>
        <v>98521</v>
      </c>
      <c r="M550" s="343">
        <f t="shared" si="1315"/>
        <v>98521</v>
      </c>
      <c r="N550" s="104">
        <f t="shared" si="1316"/>
        <v>98471</v>
      </c>
      <c r="O550" s="343">
        <f t="shared" si="1317"/>
        <v>98471</v>
      </c>
      <c r="P550" s="104">
        <f t="shared" si="1318"/>
        <v>98441</v>
      </c>
      <c r="Q550" s="343">
        <f t="shared" si="1319"/>
        <v>98441</v>
      </c>
      <c r="R550" s="104">
        <f t="shared" si="1320"/>
        <v>98411</v>
      </c>
      <c r="S550" s="343">
        <f t="shared" si="1321"/>
        <v>98411</v>
      </c>
      <c r="T550" s="104">
        <f t="shared" si="1322"/>
        <v>98371</v>
      </c>
      <c r="U550" s="343">
        <f t="shared" si="1323"/>
        <v>98371</v>
      </c>
      <c r="V550" s="104">
        <f t="shared" si="1324"/>
        <v>98331</v>
      </c>
      <c r="W550" s="343">
        <f t="shared" si="1325"/>
        <v>98331</v>
      </c>
      <c r="X550" s="145"/>
      <c r="Y550" s="140"/>
      <c r="Z550" s="146"/>
      <c r="AA550" s="147"/>
      <c r="AB550" s="451">
        <v>718</v>
      </c>
    </row>
    <row r="551" spans="1:34" ht="12" customHeight="1" x14ac:dyDescent="0.2">
      <c r="A551" s="4"/>
      <c r="B551" s="758" t="s">
        <v>786</v>
      </c>
      <c r="C551" s="759"/>
      <c r="D551" s="759"/>
      <c r="E551" s="760"/>
      <c r="F551" s="417">
        <f>14.4*X2</f>
        <v>13982.4</v>
      </c>
      <c r="G551" s="306">
        <f t="shared" ref="G551" si="1354">+F551*$X$1</f>
        <v>13982.4</v>
      </c>
      <c r="H551" s="105">
        <f t="shared" si="1346"/>
        <v>16982.400000000001</v>
      </c>
      <c r="I551" s="329">
        <f t="shared" si="1347"/>
        <v>16982.400000000001</v>
      </c>
      <c r="J551" s="105">
        <f t="shared" si="1312"/>
        <v>14582.4</v>
      </c>
      <c r="K551" s="329">
        <f t="shared" si="1313"/>
        <v>14582.4</v>
      </c>
      <c r="L551" s="105">
        <f t="shared" si="1314"/>
        <v>14432.4</v>
      </c>
      <c r="M551" s="329">
        <f t="shared" si="1315"/>
        <v>14432.4</v>
      </c>
      <c r="N551" s="105">
        <f t="shared" si="1316"/>
        <v>14382.4</v>
      </c>
      <c r="O551" s="329">
        <f t="shared" si="1317"/>
        <v>14382.4</v>
      </c>
      <c r="P551" s="105">
        <f t="shared" si="1318"/>
        <v>14352.4</v>
      </c>
      <c r="Q551" s="329">
        <f t="shared" si="1319"/>
        <v>14352.4</v>
      </c>
      <c r="R551" s="105">
        <f t="shared" si="1320"/>
        <v>14322.4</v>
      </c>
      <c r="S551" s="329">
        <f t="shared" si="1321"/>
        <v>14322.4</v>
      </c>
      <c r="T551" s="105">
        <f t="shared" si="1322"/>
        <v>14282.4</v>
      </c>
      <c r="U551" s="329">
        <f t="shared" si="1323"/>
        <v>14282.4</v>
      </c>
      <c r="V551" s="105">
        <f t="shared" si="1324"/>
        <v>14242.4</v>
      </c>
      <c r="W551" s="329">
        <f t="shared" si="1325"/>
        <v>14242.4</v>
      </c>
      <c r="X551" s="145"/>
      <c r="Y551" s="140"/>
      <c r="Z551" s="146"/>
      <c r="AA551" s="147"/>
      <c r="AB551" s="451">
        <v>720</v>
      </c>
    </row>
    <row r="552" spans="1:34" ht="12" customHeight="1" x14ac:dyDescent="0.2">
      <c r="A552" s="4"/>
      <c r="B552" s="666" t="s">
        <v>785</v>
      </c>
      <c r="C552" s="667"/>
      <c r="D552" s="667"/>
      <c r="E552" s="668"/>
      <c r="F552" s="418">
        <f>40.98*X2</f>
        <v>39791.579999999994</v>
      </c>
      <c r="G552" s="307">
        <f t="shared" ref="G552" si="1355">+F552*$X$1</f>
        <v>39791.579999999994</v>
      </c>
      <c r="H552" s="104">
        <f t="shared" si="1346"/>
        <v>42791.579999999994</v>
      </c>
      <c r="I552" s="343">
        <f t="shared" si="1347"/>
        <v>42791.579999999994</v>
      </c>
      <c r="J552" s="104">
        <f t="shared" si="1312"/>
        <v>40391.579999999994</v>
      </c>
      <c r="K552" s="343">
        <f t="shared" si="1313"/>
        <v>40391.579999999994</v>
      </c>
      <c r="L552" s="104">
        <f t="shared" si="1314"/>
        <v>40241.579999999994</v>
      </c>
      <c r="M552" s="343">
        <f t="shared" si="1315"/>
        <v>40241.579999999994</v>
      </c>
      <c r="N552" s="104">
        <f t="shared" si="1316"/>
        <v>40191.579999999994</v>
      </c>
      <c r="O552" s="343">
        <f t="shared" si="1317"/>
        <v>40191.579999999994</v>
      </c>
      <c r="P552" s="104">
        <f t="shared" si="1318"/>
        <v>40161.579999999994</v>
      </c>
      <c r="Q552" s="343">
        <f t="shared" si="1319"/>
        <v>40161.579999999994</v>
      </c>
      <c r="R552" s="104">
        <f t="shared" si="1320"/>
        <v>40131.579999999994</v>
      </c>
      <c r="S552" s="343">
        <f t="shared" si="1321"/>
        <v>40131.579999999994</v>
      </c>
      <c r="T552" s="104">
        <f t="shared" si="1322"/>
        <v>40091.579999999994</v>
      </c>
      <c r="U552" s="343">
        <f t="shared" si="1323"/>
        <v>40091.579999999994</v>
      </c>
      <c r="V552" s="104">
        <f t="shared" si="1324"/>
        <v>40051.579999999994</v>
      </c>
      <c r="W552" s="343">
        <f t="shared" si="1325"/>
        <v>40051.579999999994</v>
      </c>
      <c r="X552" s="145"/>
      <c r="Y552" s="140"/>
      <c r="Z552" s="146"/>
      <c r="AA552" s="147"/>
      <c r="AB552" s="451">
        <v>721</v>
      </c>
    </row>
    <row r="553" spans="1:34" ht="12" customHeight="1" x14ac:dyDescent="0.2">
      <c r="A553" s="4"/>
      <c r="B553" s="758" t="s">
        <v>666</v>
      </c>
      <c r="C553" s="759"/>
      <c r="D553" s="759"/>
      <c r="E553" s="760"/>
      <c r="F553" s="417">
        <f>29.2*X2</f>
        <v>28353.200000000001</v>
      </c>
      <c r="G553" s="306">
        <f t="shared" si="1350"/>
        <v>28353.200000000001</v>
      </c>
      <c r="H553" s="105">
        <f t="shared" si="1346"/>
        <v>31353.200000000001</v>
      </c>
      <c r="I553" s="329">
        <f t="shared" si="1347"/>
        <v>31353.200000000001</v>
      </c>
      <c r="J553" s="105">
        <f t="shared" si="1312"/>
        <v>28953.200000000001</v>
      </c>
      <c r="K553" s="329">
        <f t="shared" si="1313"/>
        <v>28953.200000000001</v>
      </c>
      <c r="L553" s="105">
        <f t="shared" si="1314"/>
        <v>28803.200000000001</v>
      </c>
      <c r="M553" s="329">
        <f t="shared" si="1315"/>
        <v>28803.200000000001</v>
      </c>
      <c r="N553" s="105">
        <f t="shared" si="1316"/>
        <v>28753.200000000001</v>
      </c>
      <c r="O553" s="329">
        <f t="shared" si="1317"/>
        <v>28753.200000000001</v>
      </c>
      <c r="P553" s="105">
        <f t="shared" si="1318"/>
        <v>28723.200000000001</v>
      </c>
      <c r="Q553" s="329">
        <f t="shared" si="1319"/>
        <v>28723.200000000001</v>
      </c>
      <c r="R553" s="105">
        <f t="shared" si="1320"/>
        <v>28693.200000000001</v>
      </c>
      <c r="S553" s="329">
        <f t="shared" si="1321"/>
        <v>28693.200000000001</v>
      </c>
      <c r="T553" s="105">
        <f t="shared" si="1322"/>
        <v>28653.200000000001</v>
      </c>
      <c r="U553" s="329">
        <f t="shared" si="1323"/>
        <v>28653.200000000001</v>
      </c>
      <c r="V553" s="105">
        <f t="shared" si="1324"/>
        <v>28613.200000000001</v>
      </c>
      <c r="W553" s="329">
        <f t="shared" si="1325"/>
        <v>28613.200000000001</v>
      </c>
      <c r="X553" s="145"/>
      <c r="Y553" s="140"/>
      <c r="Z553" s="146"/>
      <c r="AA553" s="147"/>
      <c r="AB553" s="201">
        <v>742</v>
      </c>
    </row>
    <row r="554" spans="1:34" ht="12" customHeight="1" x14ac:dyDescent="0.2">
      <c r="A554" s="4"/>
      <c r="B554" s="666" t="s">
        <v>667</v>
      </c>
      <c r="C554" s="667"/>
      <c r="D554" s="667"/>
      <c r="E554" s="668"/>
      <c r="F554" s="418">
        <f>29.74*X2</f>
        <v>28877.539999999997</v>
      </c>
      <c r="G554" s="307">
        <f t="shared" si="1350"/>
        <v>28877.539999999997</v>
      </c>
      <c r="H554" s="104">
        <f t="shared" si="1346"/>
        <v>31877.539999999997</v>
      </c>
      <c r="I554" s="343">
        <f t="shared" si="1347"/>
        <v>31877.539999999997</v>
      </c>
      <c r="J554" s="104">
        <f t="shared" si="1312"/>
        <v>29477.539999999997</v>
      </c>
      <c r="K554" s="343">
        <f t="shared" si="1313"/>
        <v>29477.539999999997</v>
      </c>
      <c r="L554" s="104">
        <f t="shared" si="1314"/>
        <v>29327.539999999997</v>
      </c>
      <c r="M554" s="343">
        <f t="shared" si="1315"/>
        <v>29327.539999999997</v>
      </c>
      <c r="N554" s="104">
        <f t="shared" si="1316"/>
        <v>29277.539999999997</v>
      </c>
      <c r="O554" s="343">
        <f t="shared" si="1317"/>
        <v>29277.539999999997</v>
      </c>
      <c r="P554" s="104">
        <f t="shared" si="1318"/>
        <v>29247.539999999997</v>
      </c>
      <c r="Q554" s="343">
        <f t="shared" si="1319"/>
        <v>29247.539999999997</v>
      </c>
      <c r="R554" s="104">
        <f t="shared" si="1320"/>
        <v>29217.539999999997</v>
      </c>
      <c r="S554" s="343">
        <f t="shared" si="1321"/>
        <v>29217.539999999997</v>
      </c>
      <c r="T554" s="104">
        <f t="shared" si="1322"/>
        <v>29177.539999999997</v>
      </c>
      <c r="U554" s="343">
        <f t="shared" si="1323"/>
        <v>29177.539999999997</v>
      </c>
      <c r="V554" s="104">
        <f t="shared" si="1324"/>
        <v>29137.539999999997</v>
      </c>
      <c r="W554" s="343">
        <f t="shared" si="1325"/>
        <v>29137.539999999997</v>
      </c>
      <c r="X554" s="145"/>
      <c r="Y554" s="140"/>
      <c r="Z554" s="146"/>
      <c r="AA554" s="147"/>
      <c r="AB554" s="201">
        <v>743</v>
      </c>
    </row>
    <row r="555" spans="1:34" ht="12" customHeight="1" x14ac:dyDescent="0.2">
      <c r="A555" s="4"/>
      <c r="B555" s="953" t="s">
        <v>754</v>
      </c>
      <c r="C555" s="1055"/>
      <c r="D555" s="1055"/>
      <c r="E555" s="1056"/>
      <c r="F555" s="417">
        <f>27.3*X2</f>
        <v>26508.3</v>
      </c>
      <c r="G555" s="306">
        <f t="shared" ref="G555" si="1356">+F555*$X$1</f>
        <v>26508.3</v>
      </c>
      <c r="H555" s="105">
        <f t="shared" si="1346"/>
        <v>29508.3</v>
      </c>
      <c r="I555" s="329">
        <f t="shared" si="1347"/>
        <v>29508.3</v>
      </c>
      <c r="J555" s="105">
        <f t="shared" si="1312"/>
        <v>27108.3</v>
      </c>
      <c r="K555" s="329">
        <f t="shared" si="1313"/>
        <v>27108.3</v>
      </c>
      <c r="L555" s="105">
        <f t="shared" si="1314"/>
        <v>26958.3</v>
      </c>
      <c r="M555" s="329">
        <f t="shared" si="1315"/>
        <v>26958.3</v>
      </c>
      <c r="N555" s="105">
        <f t="shared" si="1316"/>
        <v>26908.3</v>
      </c>
      <c r="O555" s="329">
        <f t="shared" si="1317"/>
        <v>26908.3</v>
      </c>
      <c r="P555" s="105">
        <f t="shared" si="1318"/>
        <v>26878.3</v>
      </c>
      <c r="Q555" s="329">
        <f t="shared" si="1319"/>
        <v>26878.3</v>
      </c>
      <c r="R555" s="105">
        <f t="shared" si="1320"/>
        <v>26848.3</v>
      </c>
      <c r="S555" s="329">
        <f t="shared" si="1321"/>
        <v>26848.3</v>
      </c>
      <c r="T555" s="105">
        <f t="shared" si="1322"/>
        <v>26808.3</v>
      </c>
      <c r="U555" s="329">
        <f t="shared" si="1323"/>
        <v>26808.3</v>
      </c>
      <c r="V555" s="105">
        <f t="shared" si="1324"/>
        <v>26768.3</v>
      </c>
      <c r="W555" s="329">
        <f t="shared" si="1325"/>
        <v>26768.3</v>
      </c>
      <c r="X555" s="145"/>
      <c r="Y555" s="140"/>
      <c r="Z555" s="146"/>
      <c r="AA555" s="147"/>
      <c r="AB555" s="201">
        <v>744</v>
      </c>
    </row>
    <row r="556" spans="1:34" ht="12" customHeight="1" x14ac:dyDescent="0.2">
      <c r="A556" s="4"/>
      <c r="B556" s="1115" t="s">
        <v>639</v>
      </c>
      <c r="C556" s="1116"/>
      <c r="D556" s="1116"/>
      <c r="E556" s="1116"/>
      <c r="F556" s="437"/>
      <c r="G556" s="437"/>
      <c r="H556" s="548">
        <v>1700</v>
      </c>
      <c r="I556" s="307">
        <f t="shared" ref="I556:K556" si="1357">+H556*$X$1</f>
        <v>1700</v>
      </c>
      <c r="J556" s="548">
        <v>700</v>
      </c>
      <c r="K556" s="307">
        <f t="shared" si="1357"/>
        <v>700</v>
      </c>
      <c r="L556" s="548">
        <v>600</v>
      </c>
      <c r="M556" s="307">
        <f t="shared" ref="M556" si="1358">+L556*$X$1</f>
        <v>600</v>
      </c>
      <c r="N556" s="548">
        <v>520</v>
      </c>
      <c r="O556" s="307">
        <f t="shared" ref="O556" si="1359">+N556*$X$1</f>
        <v>520</v>
      </c>
      <c r="P556" s="548">
        <v>480</v>
      </c>
      <c r="Q556" s="307">
        <f t="shared" ref="Q556" si="1360">+P556*$X$1</f>
        <v>480</v>
      </c>
      <c r="R556" s="548">
        <v>430</v>
      </c>
      <c r="S556" s="307">
        <f t="shared" ref="S556" si="1361">+R556*$X$1</f>
        <v>430</v>
      </c>
      <c r="T556" s="548">
        <v>390</v>
      </c>
      <c r="U556" s="307">
        <f t="shared" ref="U556" si="1362">+T556*$X$1</f>
        <v>390</v>
      </c>
      <c r="V556" s="548">
        <v>360</v>
      </c>
      <c r="W556" s="307">
        <f t="shared" ref="W556" si="1363">+V556*$X$1</f>
        <v>360</v>
      </c>
      <c r="X556" s="145"/>
      <c r="Y556" s="140"/>
      <c r="Z556" s="146"/>
      <c r="AA556" s="147"/>
      <c r="AB556" s="32"/>
    </row>
    <row r="557" spans="1:34" ht="10.5" customHeight="1" x14ac:dyDescent="0.2">
      <c r="A557" s="76"/>
      <c r="B557" s="112"/>
      <c r="C557" s="359"/>
      <c r="D557" s="359"/>
      <c r="E557" s="359"/>
      <c r="F557" s="360"/>
      <c r="G557" s="360"/>
      <c r="H557" s="122"/>
      <c r="I557" s="360"/>
      <c r="J557" s="122"/>
      <c r="K557" s="360"/>
      <c r="L557" s="122"/>
      <c r="M557" s="360"/>
      <c r="N557" s="122"/>
      <c r="O557" s="360"/>
      <c r="P557" s="122"/>
      <c r="Q557" s="360"/>
      <c r="R557" s="122"/>
      <c r="S557" s="360"/>
      <c r="T557" s="122"/>
      <c r="U557" s="360"/>
      <c r="V557" s="122"/>
      <c r="W557" s="360"/>
      <c r="X557" s="209"/>
      <c r="Y557" s="76"/>
      <c r="Z557" s="210"/>
      <c r="AA557" s="210"/>
      <c r="AB557" s="211"/>
    </row>
    <row r="558" spans="1:34" ht="10.5" customHeight="1" x14ac:dyDescent="0.2">
      <c r="A558" s="76"/>
      <c r="B558" s="112"/>
      <c r="C558" s="565"/>
      <c r="D558" s="565"/>
      <c r="E558" s="565"/>
      <c r="F558" s="360"/>
      <c r="G558" s="360"/>
      <c r="H558" s="122"/>
      <c r="I558" s="360"/>
      <c r="J558" s="122"/>
      <c r="K558" s="360"/>
      <c r="L558" s="122"/>
      <c r="M558" s="360"/>
      <c r="N558" s="122"/>
      <c r="O558" s="360"/>
      <c r="P558" s="122"/>
      <c r="Q558" s="360"/>
      <c r="R558" s="122"/>
      <c r="S558" s="360"/>
      <c r="T558" s="122"/>
      <c r="U558" s="360"/>
      <c r="V558" s="122"/>
      <c r="W558" s="360"/>
      <c r="X558" s="209"/>
      <c r="Y558" s="76"/>
      <c r="Z558" s="210"/>
      <c r="AA558" s="210"/>
      <c r="AB558" s="211"/>
    </row>
    <row r="559" spans="1:34" ht="10.5" customHeight="1" x14ac:dyDescent="0.2">
      <c r="A559" s="76"/>
      <c r="B559" s="112"/>
      <c r="C559" s="556"/>
      <c r="D559" s="556"/>
      <c r="E559" s="556"/>
      <c r="F559" s="360"/>
      <c r="G559" s="360"/>
      <c r="H559" s="122"/>
      <c r="I559" s="360"/>
      <c r="J559" s="122"/>
      <c r="K559" s="360"/>
      <c r="L559" s="122"/>
      <c r="M559" s="360"/>
      <c r="N559" s="122"/>
      <c r="O559" s="360"/>
      <c r="P559" s="122"/>
      <c r="Q559" s="360"/>
      <c r="R559" s="122"/>
      <c r="S559" s="360"/>
      <c r="T559" s="122"/>
      <c r="U559" s="360"/>
      <c r="V559" s="122"/>
      <c r="W559" s="360"/>
      <c r="X559" s="209"/>
      <c r="Y559" s="76"/>
      <c r="Z559" s="210"/>
      <c r="AA559" s="210"/>
      <c r="AB559" s="211"/>
    </row>
    <row r="560" spans="1:34" ht="14.25" customHeight="1" x14ac:dyDescent="0.2">
      <c r="B560" s="1057" t="s">
        <v>882</v>
      </c>
      <c r="C560" s="1058"/>
      <c r="D560" s="1058"/>
      <c r="E560" s="1058"/>
      <c r="F560" s="1058"/>
      <c r="G560" s="1058"/>
      <c r="H560" s="1058"/>
      <c r="I560" s="1058"/>
      <c r="J560" s="1058"/>
      <c r="K560" s="1058"/>
      <c r="L560" s="1058"/>
      <c r="M560" s="1058"/>
      <c r="N560" s="1058"/>
      <c r="O560" s="1058"/>
      <c r="P560" s="1058"/>
      <c r="Q560" s="1058"/>
      <c r="R560" s="1058"/>
      <c r="S560" s="1058"/>
      <c r="T560" s="1058"/>
      <c r="U560" s="1058"/>
      <c r="V560" s="1058"/>
      <c r="W560" s="1058"/>
      <c r="AB560" s="4"/>
      <c r="AF560" s="628" t="s">
        <v>3</v>
      </c>
      <c r="AG560" s="629"/>
      <c r="AH560" s="629"/>
    </row>
    <row r="561" spans="1:34" ht="12" customHeight="1" x14ac:dyDescent="0.2">
      <c r="B561" s="925" t="s">
        <v>11</v>
      </c>
      <c r="C561" s="925" t="s">
        <v>12</v>
      </c>
      <c r="D561" s="926"/>
      <c r="E561" s="926"/>
      <c r="F561" s="813" t="s">
        <v>299</v>
      </c>
      <c r="G561" s="813" t="s">
        <v>13</v>
      </c>
      <c r="H561" s="660" t="s">
        <v>871</v>
      </c>
      <c r="I561" s="660"/>
      <c r="J561" s="661"/>
      <c r="K561" s="661"/>
      <c r="L561" s="661"/>
      <c r="M561" s="661"/>
      <c r="N561" s="661"/>
      <c r="O561" s="661"/>
      <c r="P561" s="661"/>
      <c r="Q561" s="661"/>
      <c r="R561" s="661"/>
      <c r="S561" s="661"/>
      <c r="T561" s="661"/>
      <c r="U561" s="661"/>
      <c r="V561" s="661"/>
      <c r="W561" s="661"/>
      <c r="X561" s="632" t="s">
        <v>14</v>
      </c>
      <c r="Y561" s="633"/>
      <c r="Z561" s="633"/>
      <c r="AA561" s="633"/>
      <c r="AB561" s="630" t="s">
        <v>15</v>
      </c>
      <c r="AF561" s="628"/>
      <c r="AG561" s="629"/>
      <c r="AH561" s="629"/>
    </row>
    <row r="562" spans="1:34" ht="11.25" customHeight="1" x14ac:dyDescent="0.2">
      <c r="B562" s="926"/>
      <c r="C562" s="926"/>
      <c r="D562" s="926"/>
      <c r="E562" s="926"/>
      <c r="F562" s="814"/>
      <c r="G562" s="814"/>
      <c r="H562" s="584"/>
      <c r="I562" s="583" t="s">
        <v>300</v>
      </c>
      <c r="J562" s="584"/>
      <c r="K562" s="583" t="s">
        <v>301</v>
      </c>
      <c r="L562" s="584"/>
      <c r="M562" s="583" t="s">
        <v>598</v>
      </c>
      <c r="N562" s="584"/>
      <c r="O562" s="583" t="s">
        <v>17</v>
      </c>
      <c r="P562" s="584"/>
      <c r="Q562" s="583" t="s">
        <v>18</v>
      </c>
      <c r="R562" s="584"/>
      <c r="S562" s="583" t="s">
        <v>19</v>
      </c>
      <c r="T562" s="584"/>
      <c r="U562" s="583" t="s">
        <v>303</v>
      </c>
      <c r="V562" s="584"/>
      <c r="W562" s="583" t="s">
        <v>20</v>
      </c>
      <c r="X562" s="635"/>
      <c r="Y562" s="636"/>
      <c r="Z562" s="636"/>
      <c r="AA562" s="636"/>
      <c r="AB562" s="631"/>
    </row>
    <row r="563" spans="1:34" ht="12.6" customHeight="1" x14ac:dyDescent="0.2">
      <c r="A563" s="18"/>
      <c r="B563" s="711" t="s">
        <v>577</v>
      </c>
      <c r="C563" s="712"/>
      <c r="D563" s="712"/>
      <c r="E563" s="713"/>
      <c r="F563" s="343">
        <v>2835</v>
      </c>
      <c r="G563" s="328"/>
      <c r="H563" s="104"/>
      <c r="I563" s="343"/>
      <c r="J563" s="104">
        <f>F563+290</f>
        <v>3125</v>
      </c>
      <c r="K563" s="343">
        <f t="shared" ref="K563" si="1364">+J563*$X$1</f>
        <v>3125</v>
      </c>
      <c r="L563" s="104">
        <f t="shared" ref="L563:L574" si="1365">F563+240</f>
        <v>3075</v>
      </c>
      <c r="M563" s="343">
        <f t="shared" ref="M563" si="1366">+L563*$X$1</f>
        <v>3075</v>
      </c>
      <c r="N563" s="104">
        <f t="shared" ref="N563:N574" si="1367">F563+190</f>
        <v>3025</v>
      </c>
      <c r="O563" s="343">
        <f t="shared" ref="O563" si="1368">+N563*$X$1</f>
        <v>3025</v>
      </c>
      <c r="P563" s="104">
        <f t="shared" ref="P563:P574" si="1369">F563+150</f>
        <v>2985</v>
      </c>
      <c r="Q563" s="343">
        <f t="shared" ref="Q563" si="1370">+P563*$X$1</f>
        <v>2985</v>
      </c>
      <c r="R563" s="104">
        <f t="shared" ref="R563:R574" si="1371">F563+130</f>
        <v>2965</v>
      </c>
      <c r="S563" s="343">
        <f t="shared" ref="S563" si="1372">+R563*$X$1</f>
        <v>2965</v>
      </c>
      <c r="T563" s="104">
        <f t="shared" ref="T563:T574" si="1373">F563+115</f>
        <v>2950</v>
      </c>
      <c r="U563" s="343">
        <f t="shared" ref="U563" si="1374">+T563*$X$1</f>
        <v>2950</v>
      </c>
      <c r="V563" s="104">
        <f t="shared" ref="V563:V574" si="1375">F563+105</f>
        <v>2940</v>
      </c>
      <c r="W563" s="343">
        <f t="shared" ref="W563" si="1376">+V563*$X$1</f>
        <v>2940</v>
      </c>
      <c r="X563" s="151"/>
      <c r="Y563" s="152"/>
      <c r="Z563" s="152"/>
      <c r="AA563" s="152"/>
      <c r="AB563" s="466" t="s">
        <v>842</v>
      </c>
    </row>
    <row r="564" spans="1:34" ht="12.6" customHeight="1" x14ac:dyDescent="0.2">
      <c r="A564" s="18"/>
      <c r="B564" s="641" t="s">
        <v>419</v>
      </c>
      <c r="C564" s="651"/>
      <c r="D564" s="651"/>
      <c r="E564" s="652"/>
      <c r="F564" s="306">
        <v>1315</v>
      </c>
      <c r="G564" s="271"/>
      <c r="H564" s="340"/>
      <c r="I564" s="306"/>
      <c r="J564" s="340"/>
      <c r="K564" s="306"/>
      <c r="L564" s="340">
        <f t="shared" si="1365"/>
        <v>1555</v>
      </c>
      <c r="M564" s="306">
        <f t="shared" ref="M564" si="1377">+L564*$X$1</f>
        <v>1555</v>
      </c>
      <c r="N564" s="340">
        <f t="shared" si="1367"/>
        <v>1505</v>
      </c>
      <c r="O564" s="306">
        <f t="shared" ref="O564" si="1378">+N564*$X$1</f>
        <v>1505</v>
      </c>
      <c r="P564" s="340">
        <f t="shared" si="1369"/>
        <v>1465</v>
      </c>
      <c r="Q564" s="306">
        <f t="shared" ref="Q564" si="1379">+P564*$X$1</f>
        <v>1465</v>
      </c>
      <c r="R564" s="340">
        <f t="shared" si="1371"/>
        <v>1445</v>
      </c>
      <c r="S564" s="306">
        <f t="shared" ref="S564" si="1380">+R564*$X$1</f>
        <v>1445</v>
      </c>
      <c r="T564" s="340">
        <f t="shared" si="1373"/>
        <v>1430</v>
      </c>
      <c r="U564" s="306">
        <f t="shared" ref="U564" si="1381">+T564*$X$1</f>
        <v>1430</v>
      </c>
      <c r="V564" s="340">
        <f t="shared" si="1375"/>
        <v>1420</v>
      </c>
      <c r="W564" s="306">
        <f t="shared" ref="W564" si="1382">+V564*$X$1</f>
        <v>1420</v>
      </c>
      <c r="X564" s="151"/>
      <c r="Y564" s="152"/>
      <c r="Z564" s="152"/>
      <c r="AA564" s="152"/>
      <c r="AB564" s="32"/>
    </row>
    <row r="565" spans="1:34" ht="12.6" customHeight="1" x14ac:dyDescent="0.2">
      <c r="A565" s="18"/>
      <c r="B565" s="682" t="s">
        <v>471</v>
      </c>
      <c r="C565" s="683"/>
      <c r="D565" s="683"/>
      <c r="E565" s="684"/>
      <c r="F565" s="343">
        <v>2625</v>
      </c>
      <c r="G565" s="328"/>
      <c r="H565" s="496">
        <f t="shared" ref="H565:H571" si="1383">F565+570</f>
        <v>3195</v>
      </c>
      <c r="I565" s="307">
        <f t="shared" ref="I565:I571" si="1384">+H565*$X$1</f>
        <v>3195</v>
      </c>
      <c r="J565" s="496">
        <f t="shared" ref="J565:J574" si="1385">F565+290</f>
        <v>2915</v>
      </c>
      <c r="K565" s="307">
        <f t="shared" ref="K565:K567" si="1386">+J565*$X$1</f>
        <v>2915</v>
      </c>
      <c r="L565" s="496">
        <f t="shared" si="1365"/>
        <v>2865</v>
      </c>
      <c r="M565" s="307">
        <f t="shared" ref="M565:M567" si="1387">+L565*$X$1</f>
        <v>2865</v>
      </c>
      <c r="N565" s="496">
        <f t="shared" si="1367"/>
        <v>2815</v>
      </c>
      <c r="O565" s="307">
        <f t="shared" ref="O565:O567" si="1388">+N565*$X$1</f>
        <v>2815</v>
      </c>
      <c r="P565" s="496">
        <f t="shared" si="1369"/>
        <v>2775</v>
      </c>
      <c r="Q565" s="307">
        <f t="shared" ref="Q565:Q567" si="1389">+P565*$X$1</f>
        <v>2775</v>
      </c>
      <c r="R565" s="496">
        <f t="shared" si="1371"/>
        <v>2755</v>
      </c>
      <c r="S565" s="307">
        <f t="shared" ref="S565:S567" si="1390">+R565*$X$1</f>
        <v>2755</v>
      </c>
      <c r="T565" s="496">
        <f t="shared" si="1373"/>
        <v>2740</v>
      </c>
      <c r="U565" s="307">
        <f t="shared" ref="U565:U567" si="1391">+T565*$X$1</f>
        <v>2740</v>
      </c>
      <c r="V565" s="496">
        <f t="shared" si="1375"/>
        <v>2730</v>
      </c>
      <c r="W565" s="307">
        <f t="shared" ref="W565:W567" si="1392">+V565*$X$1</f>
        <v>2730</v>
      </c>
      <c r="X565" s="151"/>
      <c r="Y565" s="152"/>
      <c r="Z565" s="152"/>
      <c r="AA565" s="152"/>
      <c r="AB565" s="451" t="s">
        <v>843</v>
      </c>
    </row>
    <row r="566" spans="1:34" ht="12.6" customHeight="1" x14ac:dyDescent="0.2">
      <c r="A566" s="18"/>
      <c r="B566" s="641" t="s">
        <v>304</v>
      </c>
      <c r="C566" s="644"/>
      <c r="D566" s="644"/>
      <c r="E566" s="645"/>
      <c r="F566" s="329">
        <v>5090</v>
      </c>
      <c r="G566" s="271"/>
      <c r="H566" s="340">
        <f t="shared" si="1383"/>
        <v>5660</v>
      </c>
      <c r="I566" s="306">
        <f t="shared" si="1384"/>
        <v>5660</v>
      </c>
      <c r="J566" s="340">
        <f t="shared" si="1385"/>
        <v>5380</v>
      </c>
      <c r="K566" s="306">
        <f t="shared" si="1386"/>
        <v>5380</v>
      </c>
      <c r="L566" s="340">
        <f t="shared" si="1365"/>
        <v>5330</v>
      </c>
      <c r="M566" s="306">
        <f t="shared" si="1387"/>
        <v>5330</v>
      </c>
      <c r="N566" s="340">
        <f t="shared" si="1367"/>
        <v>5280</v>
      </c>
      <c r="O566" s="306">
        <f t="shared" si="1388"/>
        <v>5280</v>
      </c>
      <c r="P566" s="340">
        <f t="shared" si="1369"/>
        <v>5240</v>
      </c>
      <c r="Q566" s="306">
        <f t="shared" si="1389"/>
        <v>5240</v>
      </c>
      <c r="R566" s="340">
        <f t="shared" si="1371"/>
        <v>5220</v>
      </c>
      <c r="S566" s="306">
        <f t="shared" si="1390"/>
        <v>5220</v>
      </c>
      <c r="T566" s="340">
        <f t="shared" si="1373"/>
        <v>5205</v>
      </c>
      <c r="U566" s="306">
        <f t="shared" si="1391"/>
        <v>5205</v>
      </c>
      <c r="V566" s="340">
        <f t="shared" si="1375"/>
        <v>5195</v>
      </c>
      <c r="W566" s="306">
        <f t="shared" si="1392"/>
        <v>5195</v>
      </c>
      <c r="X566" s="151"/>
      <c r="Y566" s="152"/>
      <c r="Z566" s="152"/>
      <c r="AA566" s="152"/>
      <c r="AB566" s="451" t="s">
        <v>844</v>
      </c>
    </row>
    <row r="567" spans="1:34" ht="12.6" customHeight="1" x14ac:dyDescent="0.2">
      <c r="A567" s="18"/>
      <c r="B567" s="928" t="s">
        <v>305</v>
      </c>
      <c r="C567" s="929"/>
      <c r="D567" s="929"/>
      <c r="E567" s="930"/>
      <c r="F567" s="450">
        <v>2646</v>
      </c>
      <c r="G567" s="328"/>
      <c r="H567" s="511">
        <f t="shared" si="1383"/>
        <v>3216</v>
      </c>
      <c r="I567" s="307">
        <f t="shared" si="1384"/>
        <v>3216</v>
      </c>
      <c r="J567" s="511">
        <f t="shared" si="1385"/>
        <v>2936</v>
      </c>
      <c r="K567" s="307">
        <f t="shared" si="1386"/>
        <v>2936</v>
      </c>
      <c r="L567" s="511">
        <f t="shared" si="1365"/>
        <v>2886</v>
      </c>
      <c r="M567" s="307">
        <f t="shared" si="1387"/>
        <v>2886</v>
      </c>
      <c r="N567" s="511">
        <f t="shared" si="1367"/>
        <v>2836</v>
      </c>
      <c r="O567" s="307">
        <f t="shared" si="1388"/>
        <v>2836</v>
      </c>
      <c r="P567" s="511">
        <f t="shared" si="1369"/>
        <v>2796</v>
      </c>
      <c r="Q567" s="307">
        <f t="shared" si="1389"/>
        <v>2796</v>
      </c>
      <c r="R567" s="511">
        <f t="shared" si="1371"/>
        <v>2776</v>
      </c>
      <c r="S567" s="307">
        <f t="shared" si="1390"/>
        <v>2776</v>
      </c>
      <c r="T567" s="511">
        <f t="shared" si="1373"/>
        <v>2761</v>
      </c>
      <c r="U567" s="307">
        <f t="shared" si="1391"/>
        <v>2761</v>
      </c>
      <c r="V567" s="511">
        <f t="shared" si="1375"/>
        <v>2751</v>
      </c>
      <c r="W567" s="307">
        <f t="shared" si="1392"/>
        <v>2751</v>
      </c>
      <c r="X567" s="151"/>
      <c r="Y567" s="152"/>
      <c r="Z567" s="152"/>
      <c r="AA567" s="152"/>
      <c r="AB567" s="32"/>
    </row>
    <row r="568" spans="1:34" ht="12.6" customHeight="1" x14ac:dyDescent="0.2">
      <c r="A568" s="18"/>
      <c r="B568" s="951" t="s">
        <v>306</v>
      </c>
      <c r="C568" s="952"/>
      <c r="D568" s="952"/>
      <c r="E568" s="952"/>
      <c r="F568" s="306">
        <v>2415</v>
      </c>
      <c r="G568" s="271"/>
      <c r="H568" s="340">
        <f t="shared" si="1383"/>
        <v>2985</v>
      </c>
      <c r="I568" s="306">
        <f t="shared" si="1384"/>
        <v>2985</v>
      </c>
      <c r="J568" s="340">
        <f t="shared" si="1385"/>
        <v>2705</v>
      </c>
      <c r="K568" s="306">
        <f t="shared" ref="K568:K569" si="1393">+J568*$X$1</f>
        <v>2705</v>
      </c>
      <c r="L568" s="340">
        <f t="shared" si="1365"/>
        <v>2655</v>
      </c>
      <c r="M568" s="306">
        <f t="shared" ref="M568:M569" si="1394">+L568*$X$1</f>
        <v>2655</v>
      </c>
      <c r="N568" s="340">
        <f t="shared" si="1367"/>
        <v>2605</v>
      </c>
      <c r="O568" s="306">
        <f t="shared" ref="O568:O569" si="1395">+N568*$X$1</f>
        <v>2605</v>
      </c>
      <c r="P568" s="340">
        <f t="shared" si="1369"/>
        <v>2565</v>
      </c>
      <c r="Q568" s="306">
        <f t="shared" ref="Q568:Q569" si="1396">+P568*$X$1</f>
        <v>2565</v>
      </c>
      <c r="R568" s="340">
        <f t="shared" si="1371"/>
        <v>2545</v>
      </c>
      <c r="S568" s="306">
        <f t="shared" ref="S568:S569" si="1397">+R568*$X$1</f>
        <v>2545</v>
      </c>
      <c r="T568" s="340">
        <f t="shared" si="1373"/>
        <v>2530</v>
      </c>
      <c r="U568" s="306">
        <f t="shared" ref="U568:U569" si="1398">+T568*$X$1</f>
        <v>2530</v>
      </c>
      <c r="V568" s="340">
        <f t="shared" si="1375"/>
        <v>2520</v>
      </c>
      <c r="W568" s="306">
        <f t="shared" ref="W568:W569" si="1399">+V568*$X$1</f>
        <v>2520</v>
      </c>
      <c r="X568" s="151"/>
      <c r="Y568" s="152"/>
      <c r="Z568" s="152"/>
      <c r="AA568" s="152"/>
      <c r="AB568" s="451" t="s">
        <v>846</v>
      </c>
    </row>
    <row r="569" spans="1:34" ht="12.6" customHeight="1" x14ac:dyDescent="0.2">
      <c r="A569" s="18"/>
      <c r="B569" s="1126" t="s">
        <v>546</v>
      </c>
      <c r="C569" s="1127"/>
      <c r="D569" s="1127"/>
      <c r="E569" s="1128"/>
      <c r="F569" s="343">
        <v>4305</v>
      </c>
      <c r="G569" s="328"/>
      <c r="H569" s="511">
        <f t="shared" si="1383"/>
        <v>4875</v>
      </c>
      <c r="I569" s="307">
        <f t="shared" si="1384"/>
        <v>4875</v>
      </c>
      <c r="J569" s="511">
        <f t="shared" si="1385"/>
        <v>4595</v>
      </c>
      <c r="K569" s="307">
        <f t="shared" si="1393"/>
        <v>4595</v>
      </c>
      <c r="L569" s="511">
        <f t="shared" si="1365"/>
        <v>4545</v>
      </c>
      <c r="M569" s="307">
        <f t="shared" si="1394"/>
        <v>4545</v>
      </c>
      <c r="N569" s="511">
        <f t="shared" si="1367"/>
        <v>4495</v>
      </c>
      <c r="O569" s="307">
        <f t="shared" si="1395"/>
        <v>4495</v>
      </c>
      <c r="P569" s="511">
        <f t="shared" si="1369"/>
        <v>4455</v>
      </c>
      <c r="Q569" s="307">
        <f t="shared" si="1396"/>
        <v>4455</v>
      </c>
      <c r="R569" s="511">
        <f t="shared" si="1371"/>
        <v>4435</v>
      </c>
      <c r="S569" s="307">
        <f t="shared" si="1397"/>
        <v>4435</v>
      </c>
      <c r="T569" s="511">
        <f t="shared" si="1373"/>
        <v>4420</v>
      </c>
      <c r="U569" s="307">
        <f t="shared" si="1398"/>
        <v>4420</v>
      </c>
      <c r="V569" s="511">
        <f t="shared" si="1375"/>
        <v>4410</v>
      </c>
      <c r="W569" s="307">
        <f t="shared" si="1399"/>
        <v>4410</v>
      </c>
      <c r="X569" s="151"/>
      <c r="Y569" s="152"/>
      <c r="Z569" s="152"/>
      <c r="AA569" s="152"/>
      <c r="AB569" s="451" t="s">
        <v>845</v>
      </c>
    </row>
    <row r="570" spans="1:34" ht="12.6" customHeight="1" x14ac:dyDescent="0.2">
      <c r="A570" s="18"/>
      <c r="B570" s="931" t="s">
        <v>827</v>
      </c>
      <c r="C570" s="932"/>
      <c r="D570" s="932"/>
      <c r="E570" s="933"/>
      <c r="F570" s="329">
        <v>6466</v>
      </c>
      <c r="G570" s="271"/>
      <c r="H570" s="340">
        <f t="shared" si="1383"/>
        <v>7036</v>
      </c>
      <c r="I570" s="306">
        <f t="shared" si="1384"/>
        <v>7036</v>
      </c>
      <c r="J570" s="340">
        <f t="shared" si="1385"/>
        <v>6756</v>
      </c>
      <c r="K570" s="306">
        <f t="shared" ref="K570:K574" si="1400">+J570*$X$1</f>
        <v>6756</v>
      </c>
      <c r="L570" s="340">
        <f t="shared" si="1365"/>
        <v>6706</v>
      </c>
      <c r="M570" s="306">
        <f t="shared" ref="M570:M574" si="1401">+L570*$X$1</f>
        <v>6706</v>
      </c>
      <c r="N570" s="340">
        <f t="shared" si="1367"/>
        <v>6656</v>
      </c>
      <c r="O570" s="306">
        <f t="shared" ref="O570:O574" si="1402">+N570*$X$1</f>
        <v>6656</v>
      </c>
      <c r="P570" s="340">
        <f t="shared" si="1369"/>
        <v>6616</v>
      </c>
      <c r="Q570" s="306">
        <f t="shared" ref="Q570:Q574" si="1403">+P570*$X$1</f>
        <v>6616</v>
      </c>
      <c r="R570" s="340">
        <f t="shared" si="1371"/>
        <v>6596</v>
      </c>
      <c r="S570" s="306">
        <f t="shared" ref="S570:S574" si="1404">+R570*$X$1</f>
        <v>6596</v>
      </c>
      <c r="T570" s="340">
        <f t="shared" si="1373"/>
        <v>6581</v>
      </c>
      <c r="U570" s="306">
        <f t="shared" ref="U570:U574" si="1405">+T570*$X$1</f>
        <v>6581</v>
      </c>
      <c r="V570" s="340">
        <f t="shared" si="1375"/>
        <v>6571</v>
      </c>
      <c r="W570" s="306">
        <f t="shared" ref="W570:W574" si="1406">+V570*$X$1</f>
        <v>6571</v>
      </c>
      <c r="X570" s="151"/>
      <c r="Y570" s="152"/>
      <c r="Z570" s="152"/>
      <c r="AA570" s="152"/>
      <c r="AB570" s="32"/>
    </row>
    <row r="571" spans="1:34" ht="12.6" customHeight="1" x14ac:dyDescent="0.2">
      <c r="A571" s="18"/>
      <c r="B571" s="682" t="s">
        <v>532</v>
      </c>
      <c r="C571" s="683"/>
      <c r="D571" s="683"/>
      <c r="E571" s="684"/>
      <c r="F571" s="343">
        <v>6254</v>
      </c>
      <c r="G571" s="328"/>
      <c r="H571" s="496">
        <f t="shared" si="1383"/>
        <v>6824</v>
      </c>
      <c r="I571" s="307">
        <f t="shared" si="1384"/>
        <v>6824</v>
      </c>
      <c r="J571" s="496">
        <f t="shared" si="1385"/>
        <v>6544</v>
      </c>
      <c r="K571" s="307">
        <f t="shared" si="1400"/>
        <v>6544</v>
      </c>
      <c r="L571" s="496">
        <f t="shared" si="1365"/>
        <v>6494</v>
      </c>
      <c r="M571" s="307">
        <f t="shared" si="1401"/>
        <v>6494</v>
      </c>
      <c r="N571" s="496">
        <f t="shared" si="1367"/>
        <v>6444</v>
      </c>
      <c r="O571" s="307">
        <f t="shared" si="1402"/>
        <v>6444</v>
      </c>
      <c r="P571" s="496">
        <f t="shared" si="1369"/>
        <v>6404</v>
      </c>
      <c r="Q571" s="307">
        <f t="shared" si="1403"/>
        <v>6404</v>
      </c>
      <c r="R571" s="496">
        <f t="shared" si="1371"/>
        <v>6384</v>
      </c>
      <c r="S571" s="307">
        <f t="shared" si="1404"/>
        <v>6384</v>
      </c>
      <c r="T571" s="496">
        <f t="shared" si="1373"/>
        <v>6369</v>
      </c>
      <c r="U571" s="307">
        <f t="shared" si="1405"/>
        <v>6369</v>
      </c>
      <c r="V571" s="496">
        <f t="shared" si="1375"/>
        <v>6359</v>
      </c>
      <c r="W571" s="307">
        <f t="shared" si="1406"/>
        <v>6359</v>
      </c>
      <c r="X571" s="151"/>
      <c r="Y571" s="152"/>
      <c r="Z571" s="152"/>
      <c r="AA571" s="152"/>
      <c r="AB571" s="32"/>
    </row>
    <row r="572" spans="1:34" ht="12.6" customHeight="1" x14ac:dyDescent="0.2">
      <c r="A572" s="4"/>
      <c r="B572" s="758" t="s">
        <v>477</v>
      </c>
      <c r="C572" s="644"/>
      <c r="D572" s="644"/>
      <c r="E572" s="645"/>
      <c r="F572" s="306">
        <v>1785</v>
      </c>
      <c r="G572" s="271"/>
      <c r="H572" s="340"/>
      <c r="I572" s="306"/>
      <c r="J572" s="340">
        <f t="shared" si="1385"/>
        <v>2075</v>
      </c>
      <c r="K572" s="306">
        <f t="shared" si="1400"/>
        <v>2075</v>
      </c>
      <c r="L572" s="340">
        <f t="shared" si="1365"/>
        <v>2025</v>
      </c>
      <c r="M572" s="306">
        <f t="shared" si="1401"/>
        <v>2025</v>
      </c>
      <c r="N572" s="340">
        <f t="shared" si="1367"/>
        <v>1975</v>
      </c>
      <c r="O572" s="306">
        <f t="shared" si="1402"/>
        <v>1975</v>
      </c>
      <c r="P572" s="340">
        <f t="shared" si="1369"/>
        <v>1935</v>
      </c>
      <c r="Q572" s="306">
        <f t="shared" si="1403"/>
        <v>1935</v>
      </c>
      <c r="R572" s="340">
        <f t="shared" si="1371"/>
        <v>1915</v>
      </c>
      <c r="S572" s="306">
        <f t="shared" si="1404"/>
        <v>1915</v>
      </c>
      <c r="T572" s="340">
        <f t="shared" si="1373"/>
        <v>1900</v>
      </c>
      <c r="U572" s="306">
        <f t="shared" si="1405"/>
        <v>1900</v>
      </c>
      <c r="V572" s="340">
        <f t="shared" si="1375"/>
        <v>1890</v>
      </c>
      <c r="W572" s="306">
        <f t="shared" si="1406"/>
        <v>1890</v>
      </c>
      <c r="X572" s="151"/>
      <c r="Y572" s="136"/>
      <c r="Z572" s="153"/>
      <c r="AA572" s="153"/>
      <c r="AB572" s="451" t="s">
        <v>476</v>
      </c>
    </row>
    <row r="573" spans="1:34" ht="12.6" customHeight="1" x14ac:dyDescent="0.2">
      <c r="A573" s="4"/>
      <c r="B573" s="666" t="s">
        <v>475</v>
      </c>
      <c r="C573" s="683"/>
      <c r="D573" s="683"/>
      <c r="E573" s="684"/>
      <c r="F573" s="307">
        <v>1785</v>
      </c>
      <c r="G573" s="328"/>
      <c r="H573" s="496"/>
      <c r="I573" s="307"/>
      <c r="J573" s="496">
        <f t="shared" si="1385"/>
        <v>2075</v>
      </c>
      <c r="K573" s="307">
        <f t="shared" si="1400"/>
        <v>2075</v>
      </c>
      <c r="L573" s="496">
        <f t="shared" si="1365"/>
        <v>2025</v>
      </c>
      <c r="M573" s="307">
        <f t="shared" si="1401"/>
        <v>2025</v>
      </c>
      <c r="N573" s="496">
        <f t="shared" si="1367"/>
        <v>1975</v>
      </c>
      <c r="O573" s="307">
        <f t="shared" si="1402"/>
        <v>1975</v>
      </c>
      <c r="P573" s="496">
        <f t="shared" si="1369"/>
        <v>1935</v>
      </c>
      <c r="Q573" s="307">
        <f t="shared" si="1403"/>
        <v>1935</v>
      </c>
      <c r="R573" s="496">
        <f t="shared" si="1371"/>
        <v>1915</v>
      </c>
      <c r="S573" s="307">
        <f t="shared" si="1404"/>
        <v>1915</v>
      </c>
      <c r="T573" s="496">
        <f t="shared" si="1373"/>
        <v>1900</v>
      </c>
      <c r="U573" s="307">
        <f t="shared" si="1405"/>
        <v>1900</v>
      </c>
      <c r="V573" s="496">
        <f t="shared" si="1375"/>
        <v>1890</v>
      </c>
      <c r="W573" s="307">
        <f t="shared" si="1406"/>
        <v>1890</v>
      </c>
      <c r="X573" s="151"/>
      <c r="Y573" s="136"/>
      <c r="Z573" s="153"/>
      <c r="AA573" s="153"/>
      <c r="AB573" s="451" t="s">
        <v>472</v>
      </c>
    </row>
    <row r="574" spans="1:34" ht="12.6" customHeight="1" x14ac:dyDescent="0.2">
      <c r="A574" s="4"/>
      <c r="B574" s="758" t="s">
        <v>473</v>
      </c>
      <c r="C574" s="644"/>
      <c r="D574" s="644"/>
      <c r="E574" s="645"/>
      <c r="F574" s="306">
        <v>2625</v>
      </c>
      <c r="G574" s="271"/>
      <c r="H574" s="340"/>
      <c r="I574" s="306"/>
      <c r="J574" s="340">
        <f t="shared" si="1385"/>
        <v>2915</v>
      </c>
      <c r="K574" s="306">
        <f t="shared" si="1400"/>
        <v>2915</v>
      </c>
      <c r="L574" s="340">
        <f t="shared" si="1365"/>
        <v>2865</v>
      </c>
      <c r="M574" s="306">
        <f t="shared" si="1401"/>
        <v>2865</v>
      </c>
      <c r="N574" s="340">
        <f t="shared" si="1367"/>
        <v>2815</v>
      </c>
      <c r="O574" s="306">
        <f t="shared" si="1402"/>
        <v>2815</v>
      </c>
      <c r="P574" s="340">
        <f t="shared" si="1369"/>
        <v>2775</v>
      </c>
      <c r="Q574" s="306">
        <f t="shared" si="1403"/>
        <v>2775</v>
      </c>
      <c r="R574" s="340">
        <f t="shared" si="1371"/>
        <v>2755</v>
      </c>
      <c r="S574" s="306">
        <f t="shared" si="1404"/>
        <v>2755</v>
      </c>
      <c r="T574" s="340">
        <f t="shared" si="1373"/>
        <v>2740</v>
      </c>
      <c r="U574" s="306">
        <f t="shared" si="1405"/>
        <v>2740</v>
      </c>
      <c r="V574" s="340">
        <f t="shared" si="1375"/>
        <v>2730</v>
      </c>
      <c r="W574" s="306">
        <f t="shared" si="1406"/>
        <v>2730</v>
      </c>
      <c r="X574" s="151"/>
      <c r="Y574" s="136"/>
      <c r="Z574" s="153"/>
      <c r="AA574" s="153"/>
      <c r="AB574" s="451" t="s">
        <v>474</v>
      </c>
    </row>
    <row r="575" spans="1:34" ht="12.6" customHeight="1" x14ac:dyDescent="0.2">
      <c r="A575" s="4"/>
      <c r="B575" s="666" t="s">
        <v>307</v>
      </c>
      <c r="C575" s="683"/>
      <c r="D575" s="683"/>
      <c r="E575" s="684"/>
      <c r="F575" s="344"/>
      <c r="G575" s="95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151"/>
      <c r="Y575" s="136"/>
      <c r="Z575" s="153"/>
      <c r="AA575" s="153"/>
      <c r="AB575" s="451" t="s">
        <v>308</v>
      </c>
    </row>
    <row r="576" spans="1:34" ht="12.6" customHeight="1" x14ac:dyDescent="0.2">
      <c r="A576" s="4"/>
      <c r="B576" s="758" t="s">
        <v>309</v>
      </c>
      <c r="C576" s="644"/>
      <c r="D576" s="644"/>
      <c r="E576" s="645"/>
      <c r="F576" s="245"/>
      <c r="G576" s="97"/>
      <c r="H576" s="245"/>
      <c r="I576" s="245"/>
      <c r="J576" s="245"/>
      <c r="K576" s="245"/>
      <c r="L576" s="245"/>
      <c r="M576" s="245"/>
      <c r="N576" s="245"/>
      <c r="O576" s="245"/>
      <c r="P576" s="245"/>
      <c r="Q576" s="245"/>
      <c r="R576" s="245"/>
      <c r="S576" s="245"/>
      <c r="T576" s="245"/>
      <c r="U576" s="245"/>
      <c r="V576" s="245"/>
      <c r="W576" s="245"/>
      <c r="X576" s="151"/>
      <c r="Y576" s="136"/>
      <c r="Z576" s="153"/>
      <c r="AA576" s="153"/>
      <c r="AB576" s="451"/>
    </row>
    <row r="577" spans="1:34" ht="12.6" customHeight="1" x14ac:dyDescent="0.2">
      <c r="A577" s="4"/>
      <c r="B577" s="737" t="s">
        <v>310</v>
      </c>
      <c r="C577" s="670"/>
      <c r="D577" s="670"/>
      <c r="E577" s="670"/>
      <c r="F577" s="94"/>
      <c r="G577" s="95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151"/>
      <c r="Y577" s="136"/>
      <c r="Z577" s="153"/>
      <c r="AA577" s="153"/>
      <c r="AB577" s="451">
        <v>730</v>
      </c>
    </row>
    <row r="578" spans="1:34" ht="12.6" customHeight="1" x14ac:dyDescent="0.2">
      <c r="A578" s="4"/>
      <c r="B578" s="714" t="s">
        <v>311</v>
      </c>
      <c r="C578" s="626"/>
      <c r="D578" s="626"/>
      <c r="E578" s="626"/>
      <c r="F578" s="245"/>
      <c r="G578" s="97"/>
      <c r="H578" s="245"/>
      <c r="I578" s="245"/>
      <c r="J578" s="245"/>
      <c r="K578" s="245"/>
      <c r="L578" s="245"/>
      <c r="M578" s="245"/>
      <c r="N578" s="245"/>
      <c r="O578" s="245"/>
      <c r="P578" s="245"/>
      <c r="Q578" s="245"/>
      <c r="R578" s="245"/>
      <c r="S578" s="245"/>
      <c r="T578" s="245"/>
      <c r="U578" s="245"/>
      <c r="V578" s="245"/>
      <c r="W578" s="245"/>
      <c r="X578" s="151"/>
      <c r="Y578" s="136"/>
      <c r="Z578" s="153"/>
      <c r="AA578" s="153"/>
      <c r="AB578" s="451">
        <v>731</v>
      </c>
    </row>
    <row r="579" spans="1:34" ht="12.6" customHeight="1" x14ac:dyDescent="0.2">
      <c r="A579" s="4"/>
      <c r="B579" s="737" t="s">
        <v>421</v>
      </c>
      <c r="C579" s="670"/>
      <c r="D579" s="670"/>
      <c r="E579" s="670"/>
      <c r="F579" s="94"/>
      <c r="G579" s="95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145"/>
      <c r="Y579" s="140"/>
      <c r="Z579" s="146"/>
      <c r="AA579" s="147"/>
      <c r="AB579" s="451">
        <v>735</v>
      </c>
    </row>
    <row r="580" spans="1:34" ht="12.6" customHeight="1" x14ac:dyDescent="0.2">
      <c r="A580" s="4"/>
      <c r="B580" s="714" t="s">
        <v>420</v>
      </c>
      <c r="C580" s="626"/>
      <c r="D580" s="626"/>
      <c r="E580" s="626"/>
      <c r="F580" s="245"/>
      <c r="G580" s="97"/>
      <c r="H580" s="245"/>
      <c r="I580" s="245"/>
      <c r="J580" s="245"/>
      <c r="K580" s="245"/>
      <c r="L580" s="245"/>
      <c r="M580" s="245"/>
      <c r="N580" s="245"/>
      <c r="O580" s="245"/>
      <c r="P580" s="245"/>
      <c r="Q580" s="245"/>
      <c r="R580" s="245"/>
      <c r="S580" s="245"/>
      <c r="T580" s="245"/>
      <c r="U580" s="245"/>
      <c r="V580" s="245"/>
      <c r="W580" s="245"/>
      <c r="X580" s="145"/>
      <c r="Y580" s="140"/>
      <c r="Z580" s="146"/>
      <c r="AA580" s="147"/>
      <c r="AB580" s="451">
        <v>736</v>
      </c>
    </row>
    <row r="581" spans="1:34" ht="12.6" customHeight="1" x14ac:dyDescent="0.2">
      <c r="A581" s="4"/>
      <c r="B581" s="737" t="s">
        <v>312</v>
      </c>
      <c r="C581" s="741"/>
      <c r="D581" s="741"/>
      <c r="E581" s="741"/>
      <c r="F581" s="102"/>
      <c r="G581" s="95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145"/>
      <c r="Y581" s="140"/>
      <c r="Z581" s="146"/>
      <c r="AA581" s="147"/>
      <c r="AB581" s="451">
        <v>986</v>
      </c>
    </row>
    <row r="582" spans="1:34" ht="12.6" customHeight="1" x14ac:dyDescent="0.2">
      <c r="A582" s="4"/>
      <c r="B582" s="714" t="s">
        <v>437</v>
      </c>
      <c r="C582" s="649"/>
      <c r="D582" s="649"/>
      <c r="E582" s="649"/>
      <c r="F582" s="245"/>
      <c r="G582" s="97"/>
      <c r="H582" s="245"/>
      <c r="I582" s="245"/>
      <c r="J582" s="245"/>
      <c r="K582" s="245"/>
      <c r="L582" s="245"/>
      <c r="M582" s="245"/>
      <c r="N582" s="245"/>
      <c r="O582" s="245"/>
      <c r="P582" s="245"/>
      <c r="Q582" s="245"/>
      <c r="R582" s="245"/>
      <c r="S582" s="245"/>
      <c r="T582" s="245"/>
      <c r="U582" s="245"/>
      <c r="V582" s="245"/>
      <c r="W582" s="245"/>
      <c r="X582" s="145"/>
      <c r="Y582" s="140"/>
      <c r="Z582" s="146"/>
      <c r="AA582" s="147"/>
      <c r="AB582" s="451"/>
    </row>
    <row r="583" spans="1:34" ht="12.6" customHeight="1" x14ac:dyDescent="0.2">
      <c r="A583" s="4"/>
      <c r="B583" s="737" t="s">
        <v>382</v>
      </c>
      <c r="C583" s="741"/>
      <c r="D583" s="741"/>
      <c r="E583" s="741"/>
      <c r="F583" s="102"/>
      <c r="G583" s="95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145"/>
      <c r="Y583" s="140"/>
      <c r="Z583" s="146"/>
      <c r="AA583" s="147"/>
      <c r="AB583" s="451">
        <v>987</v>
      </c>
    </row>
    <row r="584" spans="1:34" ht="12.6" customHeight="1" x14ac:dyDescent="0.2">
      <c r="A584" s="4"/>
      <c r="B584" s="714" t="s">
        <v>438</v>
      </c>
      <c r="C584" s="649"/>
      <c r="D584" s="649"/>
      <c r="E584" s="649"/>
      <c r="F584" s="245"/>
      <c r="G584" s="97"/>
      <c r="H584" s="245"/>
      <c r="I584" s="245"/>
      <c r="J584" s="245"/>
      <c r="K584" s="245"/>
      <c r="L584" s="245"/>
      <c r="M584" s="245"/>
      <c r="N584" s="245"/>
      <c r="O584" s="245"/>
      <c r="P584" s="245"/>
      <c r="Q584" s="245"/>
      <c r="R584" s="245"/>
      <c r="S584" s="245"/>
      <c r="T584" s="245"/>
      <c r="U584" s="245"/>
      <c r="V584" s="245"/>
      <c r="W584" s="245"/>
      <c r="X584" s="145"/>
      <c r="Y584" s="140"/>
      <c r="Z584" s="146"/>
      <c r="AA584" s="147"/>
      <c r="AB584" s="451"/>
    </row>
    <row r="585" spans="1:34" ht="12.6" customHeight="1" x14ac:dyDescent="0.2">
      <c r="A585" s="4"/>
      <c r="B585" s="737" t="s">
        <v>313</v>
      </c>
      <c r="C585" s="670"/>
      <c r="D585" s="670"/>
      <c r="E585" s="670"/>
      <c r="F585" s="94"/>
      <c r="G585" s="95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145"/>
      <c r="Y585" s="140"/>
      <c r="Z585" s="146"/>
      <c r="AA585" s="147"/>
      <c r="AB585" s="451">
        <v>989</v>
      </c>
    </row>
    <row r="586" spans="1:34" ht="12.6" customHeight="1" x14ac:dyDescent="0.2">
      <c r="A586" s="4"/>
      <c r="B586" s="714" t="s">
        <v>314</v>
      </c>
      <c r="C586" s="626"/>
      <c r="D586" s="626"/>
      <c r="E586" s="626"/>
      <c r="F586" s="245"/>
      <c r="G586" s="97"/>
      <c r="H586" s="245"/>
      <c r="I586" s="245"/>
      <c r="J586" s="245"/>
      <c r="K586" s="245"/>
      <c r="L586" s="245"/>
      <c r="M586" s="245"/>
      <c r="N586" s="245"/>
      <c r="O586" s="245"/>
      <c r="P586" s="245"/>
      <c r="Q586" s="245"/>
      <c r="R586" s="245"/>
      <c r="S586" s="245"/>
      <c r="T586" s="245"/>
      <c r="U586" s="245"/>
      <c r="V586" s="245"/>
      <c r="W586" s="245"/>
      <c r="X586" s="145"/>
      <c r="Y586" s="140"/>
      <c r="Z586" s="146"/>
      <c r="AA586" s="147"/>
      <c r="AB586" s="471" t="s">
        <v>315</v>
      </c>
    </row>
    <row r="587" spans="1:34" ht="12.6" customHeight="1" x14ac:dyDescent="0.2">
      <c r="A587" s="4"/>
      <c r="B587" s="737" t="s">
        <v>316</v>
      </c>
      <c r="C587" s="741"/>
      <c r="D587" s="741"/>
      <c r="E587" s="741"/>
      <c r="F587" s="94"/>
      <c r="G587" s="95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148"/>
      <c r="Y587" s="138"/>
      <c r="Z587" s="149"/>
      <c r="AA587" s="150"/>
      <c r="AB587" s="32"/>
    </row>
    <row r="588" spans="1:34" ht="9" customHeight="1" x14ac:dyDescent="0.2">
      <c r="A588" s="76"/>
      <c r="B588" s="112"/>
      <c r="C588" s="208"/>
      <c r="D588" s="208"/>
      <c r="E588" s="208"/>
      <c r="F588" s="134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209"/>
      <c r="Y588" s="76"/>
      <c r="Z588" s="210"/>
      <c r="AA588" s="210"/>
      <c r="AB588" s="211"/>
    </row>
    <row r="589" spans="1:34" ht="13.5" customHeight="1" x14ac:dyDescent="0.2">
      <c r="B589" s="1057" t="s">
        <v>317</v>
      </c>
      <c r="C589" s="1058"/>
      <c r="D589" s="1058"/>
      <c r="E589" s="1058"/>
      <c r="F589" s="1058"/>
      <c r="G589" s="1058"/>
      <c r="H589" s="1058"/>
      <c r="I589" s="1058"/>
      <c r="J589" s="1058"/>
      <c r="K589" s="1058"/>
      <c r="L589" s="1058"/>
      <c r="M589" s="1058"/>
      <c r="N589" s="1058"/>
      <c r="O589" s="1058"/>
      <c r="P589" s="1058"/>
      <c r="Q589" s="1058"/>
      <c r="R589" s="1058"/>
      <c r="S589" s="1058"/>
      <c r="T589" s="1075"/>
      <c r="U589" s="1075"/>
      <c r="V589" s="1076"/>
      <c r="W589" s="1076"/>
      <c r="AB589" s="4"/>
    </row>
    <row r="590" spans="1:34" ht="12" customHeight="1" x14ac:dyDescent="0.2">
      <c r="B590" s="925" t="s">
        <v>11</v>
      </c>
      <c r="C590" s="925" t="s">
        <v>12</v>
      </c>
      <c r="D590" s="926"/>
      <c r="E590" s="926"/>
      <c r="F590" s="813" t="s">
        <v>299</v>
      </c>
      <c r="G590" s="813" t="s">
        <v>13</v>
      </c>
      <c r="H590" s="660" t="s">
        <v>870</v>
      </c>
      <c r="I590" s="660"/>
      <c r="J590" s="661"/>
      <c r="K590" s="661"/>
      <c r="L590" s="661"/>
      <c r="M590" s="661"/>
      <c r="N590" s="661"/>
      <c r="O590" s="661"/>
      <c r="P590" s="661"/>
      <c r="Q590" s="661"/>
      <c r="R590" s="661"/>
      <c r="S590" s="661"/>
      <c r="T590" s="661"/>
      <c r="U590" s="661"/>
      <c r="V590" s="661"/>
      <c r="W590" s="661"/>
      <c r="X590" s="632" t="s">
        <v>14</v>
      </c>
      <c r="Y590" s="821"/>
      <c r="Z590" s="821"/>
      <c r="AA590" s="822"/>
      <c r="AB590" s="630" t="s">
        <v>15</v>
      </c>
      <c r="AF590" s="628" t="s">
        <v>3</v>
      </c>
      <c r="AG590" s="629"/>
      <c r="AH590" s="629"/>
    </row>
    <row r="591" spans="1:34" ht="12" customHeight="1" x14ac:dyDescent="0.2">
      <c r="B591" s="926"/>
      <c r="C591" s="926"/>
      <c r="D591" s="926"/>
      <c r="E591" s="926"/>
      <c r="F591" s="814"/>
      <c r="G591" s="814"/>
      <c r="H591" s="582"/>
      <c r="I591" s="583" t="s">
        <v>596</v>
      </c>
      <c r="J591" s="582"/>
      <c r="K591" s="583" t="s">
        <v>300</v>
      </c>
      <c r="L591" s="583"/>
      <c r="M591" s="583" t="s">
        <v>301</v>
      </c>
      <c r="N591" s="583"/>
      <c r="O591" s="583" t="s">
        <v>302</v>
      </c>
      <c r="P591" s="583"/>
      <c r="Q591" s="583" t="s">
        <v>18</v>
      </c>
      <c r="R591" s="583"/>
      <c r="S591" s="583" t="s">
        <v>19</v>
      </c>
      <c r="T591" s="583"/>
      <c r="U591" s="583" t="s">
        <v>303</v>
      </c>
      <c r="V591" s="583"/>
      <c r="W591" s="583" t="s">
        <v>20</v>
      </c>
      <c r="X591" s="823"/>
      <c r="Y591" s="824"/>
      <c r="Z591" s="824"/>
      <c r="AA591" s="825"/>
      <c r="AB591" s="631"/>
    </row>
    <row r="592" spans="1:34" ht="12.6" customHeight="1" x14ac:dyDescent="0.2">
      <c r="B592" s="861" t="s">
        <v>810</v>
      </c>
      <c r="C592" s="861"/>
      <c r="D592" s="861"/>
      <c r="E592" s="861"/>
      <c r="F592" s="617">
        <f>21.73*X2</f>
        <v>21099.83</v>
      </c>
      <c r="G592" s="343">
        <f>+F592*$X$1</f>
        <v>21099.83</v>
      </c>
      <c r="H592" s="104">
        <f>F592+2400</f>
        <v>23499.83</v>
      </c>
      <c r="I592" s="343">
        <f t="shared" ref="I592" si="1407">+H592*$X$1</f>
        <v>23499.83</v>
      </c>
      <c r="J592" s="104">
        <f>F592+600</f>
        <v>21699.83</v>
      </c>
      <c r="K592" s="343">
        <f t="shared" ref="K592" si="1408">+J592*$X$1</f>
        <v>21699.83</v>
      </c>
      <c r="L592" s="104">
        <f>F592+350</f>
        <v>21449.83</v>
      </c>
      <c r="M592" s="343">
        <f t="shared" ref="M592" si="1409">+L592*$X$1</f>
        <v>21449.83</v>
      </c>
      <c r="N592" s="104">
        <f>F592+170</f>
        <v>21269.83</v>
      </c>
      <c r="O592" s="343">
        <f t="shared" ref="O592" si="1410">+N592*$X$1</f>
        <v>21269.83</v>
      </c>
      <c r="P592" s="104">
        <f>F592+130</f>
        <v>21229.83</v>
      </c>
      <c r="Q592" s="343">
        <f t="shared" ref="Q592" si="1411">+P592*$X$1</f>
        <v>21229.83</v>
      </c>
      <c r="R592" s="104">
        <f>F592+90</f>
        <v>21189.83</v>
      </c>
      <c r="S592" s="343">
        <f t="shared" ref="S592" si="1412">+R592*$X$1</f>
        <v>21189.83</v>
      </c>
      <c r="T592" s="104">
        <f>F592+75</f>
        <v>21174.83</v>
      </c>
      <c r="U592" s="343">
        <f t="shared" ref="U592" si="1413">+T592*$X$1</f>
        <v>21174.83</v>
      </c>
      <c r="V592" s="104">
        <f>F592+64</f>
        <v>21163.83</v>
      </c>
      <c r="W592" s="343">
        <f t="shared" ref="W592" si="1414">+V592*$X$1</f>
        <v>21163.83</v>
      </c>
      <c r="X592" s="533"/>
      <c r="Y592" s="142"/>
      <c r="Z592" s="140"/>
      <c r="AA592" s="143"/>
      <c r="AB592" s="472" t="s">
        <v>811</v>
      </c>
    </row>
    <row r="593" spans="1:38" ht="12.6" customHeight="1" x14ac:dyDescent="0.2">
      <c r="B593" s="714" t="s">
        <v>318</v>
      </c>
      <c r="C593" s="714"/>
      <c r="D593" s="714"/>
      <c r="E593" s="714"/>
      <c r="F593" s="121"/>
      <c r="G593" s="340"/>
      <c r="H593" s="103"/>
      <c r="I593" s="103"/>
      <c r="J593" s="340"/>
      <c r="K593" s="340"/>
      <c r="L593" s="340"/>
      <c r="M593" s="340"/>
      <c r="N593" s="119"/>
      <c r="O593" s="340"/>
      <c r="P593" s="340"/>
      <c r="Q593" s="340"/>
      <c r="R593" s="340"/>
      <c r="S593" s="340"/>
      <c r="T593" s="340"/>
      <c r="U593" s="340"/>
      <c r="V593" s="523"/>
      <c r="W593" s="524"/>
      <c r="X593" s="140"/>
      <c r="Y593" s="140"/>
      <c r="Z593" s="140"/>
      <c r="AA593" s="143"/>
      <c r="AB593" s="471" t="s">
        <v>319</v>
      </c>
    </row>
    <row r="594" spans="1:38" ht="12.6" customHeight="1" x14ac:dyDescent="0.2">
      <c r="B594" s="737" t="s">
        <v>320</v>
      </c>
      <c r="C594" s="737"/>
      <c r="D594" s="737"/>
      <c r="E594" s="737"/>
      <c r="F594" s="520"/>
      <c r="G594" s="515"/>
      <c r="H594" s="109"/>
      <c r="I594" s="109"/>
      <c r="J594" s="515"/>
      <c r="K594" s="515"/>
      <c r="L594" s="515"/>
      <c r="M594" s="515"/>
      <c r="N594" s="120"/>
      <c r="O594" s="515"/>
      <c r="P594" s="515"/>
      <c r="Q594" s="515"/>
      <c r="R594" s="515"/>
      <c r="S594" s="515"/>
      <c r="T594" s="515"/>
      <c r="U594" s="515"/>
      <c r="V594" s="529"/>
      <c r="W594" s="530"/>
      <c r="X594" s="140"/>
      <c r="Y594" s="140"/>
      <c r="Z594" s="140"/>
      <c r="AA594" s="143"/>
      <c r="AB594" s="471" t="s">
        <v>321</v>
      </c>
    </row>
    <row r="595" spans="1:38" ht="12.6" customHeight="1" x14ac:dyDescent="0.2">
      <c r="B595" s="927" t="s">
        <v>770</v>
      </c>
      <c r="C595" s="927"/>
      <c r="D595" s="927"/>
      <c r="E595" s="927"/>
      <c r="F595" s="521">
        <f>20.583*X2</f>
        <v>19986.092999999997</v>
      </c>
      <c r="G595" s="306">
        <f>+F595*$X$1</f>
        <v>19986.092999999997</v>
      </c>
      <c r="H595" s="340">
        <f>F595+2400</f>
        <v>22386.092999999997</v>
      </c>
      <c r="I595" s="306">
        <f t="shared" ref="I595" si="1415">+H595*$X$1</f>
        <v>22386.092999999997</v>
      </c>
      <c r="J595" s="340">
        <f>F595+600</f>
        <v>20586.092999999997</v>
      </c>
      <c r="K595" s="306">
        <f t="shared" ref="K595" si="1416">+J595*$X$1</f>
        <v>20586.092999999997</v>
      </c>
      <c r="L595" s="340">
        <f>F595+350</f>
        <v>20336.092999999997</v>
      </c>
      <c r="M595" s="306">
        <f t="shared" ref="M595" si="1417">+L595*$X$1</f>
        <v>20336.092999999997</v>
      </c>
      <c r="N595" s="340">
        <f>F595+170</f>
        <v>20156.092999999997</v>
      </c>
      <c r="O595" s="306">
        <f t="shared" ref="O595" si="1418">+N595*$X$1</f>
        <v>20156.092999999997</v>
      </c>
      <c r="P595" s="340">
        <f>F595+130</f>
        <v>20116.092999999997</v>
      </c>
      <c r="Q595" s="306">
        <f t="shared" ref="Q595" si="1419">+P595*$X$1</f>
        <v>20116.092999999997</v>
      </c>
      <c r="R595" s="340">
        <f>F595+90</f>
        <v>20076.092999999997</v>
      </c>
      <c r="S595" s="306">
        <f t="shared" ref="S595" si="1420">+R595*$X$1</f>
        <v>20076.092999999997</v>
      </c>
      <c r="T595" s="340">
        <f>F595+75</f>
        <v>20061.092999999997</v>
      </c>
      <c r="U595" s="306">
        <f t="shared" ref="U595" si="1421">+T595*$X$1</f>
        <v>20061.092999999997</v>
      </c>
      <c r="V595" s="340">
        <f>F595+64</f>
        <v>20050.092999999997</v>
      </c>
      <c r="W595" s="306">
        <f t="shared" ref="W595" si="1422">+V595*$X$1</f>
        <v>20050.092999999997</v>
      </c>
      <c r="X595" s="510"/>
      <c r="Y595" s="142"/>
      <c r="Z595" s="140"/>
      <c r="AA595" s="143"/>
      <c r="AB595" s="471" t="s">
        <v>771</v>
      </c>
    </row>
    <row r="596" spans="1:38" ht="12.6" customHeight="1" x14ac:dyDescent="0.2">
      <c r="B596" s="927" t="s">
        <v>773</v>
      </c>
      <c r="C596" s="927"/>
      <c r="D596" s="927"/>
      <c r="E596" s="927"/>
      <c r="F596" s="522">
        <f>22.35*X2</f>
        <v>21701.850000000002</v>
      </c>
      <c r="G596" s="307">
        <f>+F596*$X$1</f>
        <v>21701.850000000002</v>
      </c>
      <c r="H596" s="531">
        <f>F596+2200</f>
        <v>23901.850000000002</v>
      </c>
      <c r="I596" s="307">
        <f t="shared" ref="I596:I597" si="1423">+H596*$X$1</f>
        <v>23901.850000000002</v>
      </c>
      <c r="J596" s="531">
        <f>F596+500</f>
        <v>22201.850000000002</v>
      </c>
      <c r="K596" s="307">
        <f t="shared" ref="K596" si="1424">+J596*$X$1</f>
        <v>22201.850000000002</v>
      </c>
      <c r="L596" s="515"/>
      <c r="M596" s="307"/>
      <c r="N596" s="515"/>
      <c r="O596" s="307"/>
      <c r="P596" s="515"/>
      <c r="Q596" s="307"/>
      <c r="R596" s="515"/>
      <c r="S596" s="307"/>
      <c r="T596" s="515"/>
      <c r="U596" s="307"/>
      <c r="V596" s="515"/>
      <c r="W596" s="307"/>
      <c r="X596" s="510"/>
      <c r="Y596" s="142"/>
      <c r="Z596" s="140"/>
      <c r="AA596" s="143"/>
      <c r="AB596" s="471" t="s">
        <v>772</v>
      </c>
    </row>
    <row r="597" spans="1:38" ht="12.6" customHeight="1" x14ac:dyDescent="0.2">
      <c r="B597" s="927" t="s">
        <v>774</v>
      </c>
      <c r="C597" s="927"/>
      <c r="D597" s="927"/>
      <c r="E597" s="927"/>
      <c r="F597" s="521">
        <f>40.973*X2</f>
        <v>39784.782999999996</v>
      </c>
      <c r="G597" s="306">
        <f>+F597*$X$1</f>
        <v>39784.782999999996</v>
      </c>
      <c r="H597" s="340">
        <f>F597+2400</f>
        <v>42184.782999999996</v>
      </c>
      <c r="I597" s="306">
        <f t="shared" si="1423"/>
        <v>42184.782999999996</v>
      </c>
      <c r="J597" s="340">
        <f>F597+600</f>
        <v>40384.782999999996</v>
      </c>
      <c r="K597" s="306">
        <f t="shared" ref="K597" si="1425">+J597*$X$1</f>
        <v>40384.782999999996</v>
      </c>
      <c r="L597" s="340">
        <f>F597+350</f>
        <v>40134.782999999996</v>
      </c>
      <c r="M597" s="306">
        <f t="shared" ref="M597" si="1426">+L597*$X$1</f>
        <v>40134.782999999996</v>
      </c>
      <c r="N597" s="340">
        <f>F597+170</f>
        <v>39954.782999999996</v>
      </c>
      <c r="O597" s="306">
        <f t="shared" ref="O597" si="1427">+N597*$X$1</f>
        <v>39954.782999999996</v>
      </c>
      <c r="P597" s="340">
        <f>F597+130</f>
        <v>39914.782999999996</v>
      </c>
      <c r="Q597" s="306">
        <f t="shared" ref="Q597" si="1428">+P597*$X$1</f>
        <v>39914.782999999996</v>
      </c>
      <c r="R597" s="340">
        <f>F597+90</f>
        <v>39874.782999999996</v>
      </c>
      <c r="S597" s="306">
        <f t="shared" ref="S597" si="1429">+R597*$X$1</f>
        <v>39874.782999999996</v>
      </c>
      <c r="T597" s="340">
        <f>F597+75</f>
        <v>39859.782999999996</v>
      </c>
      <c r="U597" s="306">
        <f t="shared" ref="U597" si="1430">+T597*$X$1</f>
        <v>39859.782999999996</v>
      </c>
      <c r="V597" s="340">
        <f>F597+64</f>
        <v>39848.782999999996</v>
      </c>
      <c r="W597" s="306">
        <f t="shared" ref="W597" si="1431">+V597*$X$1</f>
        <v>39848.782999999996</v>
      </c>
      <c r="X597" s="510"/>
      <c r="Y597" s="142"/>
      <c r="Z597" s="140"/>
      <c r="AA597" s="143"/>
      <c r="AB597" s="471" t="s">
        <v>775</v>
      </c>
    </row>
    <row r="598" spans="1:38" ht="12.6" customHeight="1" x14ac:dyDescent="0.2">
      <c r="B598" s="737" t="s">
        <v>322</v>
      </c>
      <c r="C598" s="737"/>
      <c r="D598" s="737"/>
      <c r="E598" s="737"/>
      <c r="F598" s="520"/>
      <c r="G598" s="515"/>
      <c r="H598" s="109"/>
      <c r="I598" s="109"/>
      <c r="J598" s="515"/>
      <c r="K598" s="515"/>
      <c r="L598" s="515"/>
      <c r="M598" s="515"/>
      <c r="N598" s="515"/>
      <c r="O598" s="515"/>
      <c r="P598" s="120"/>
      <c r="Q598" s="515"/>
      <c r="R598" s="120"/>
      <c r="S598" s="515"/>
      <c r="T598" s="120"/>
      <c r="U598" s="515"/>
      <c r="V598" s="276"/>
      <c r="W598" s="528"/>
      <c r="X598" s="171"/>
      <c r="Y598" s="171"/>
      <c r="Z598" s="171"/>
      <c r="AA598" s="172"/>
      <c r="AB598" s="471" t="s">
        <v>323</v>
      </c>
    </row>
    <row r="599" spans="1:38" ht="12.6" customHeight="1" x14ac:dyDescent="0.2">
      <c r="B599" s="714" t="s">
        <v>324</v>
      </c>
      <c r="C599" s="714"/>
      <c r="D599" s="714"/>
      <c r="E599" s="714"/>
      <c r="F599" s="121"/>
      <c r="G599" s="340"/>
      <c r="H599" s="103"/>
      <c r="I599" s="103"/>
      <c r="J599" s="340"/>
      <c r="K599" s="340"/>
      <c r="L599" s="340"/>
      <c r="M599" s="340"/>
      <c r="N599" s="340"/>
      <c r="O599" s="340"/>
      <c r="P599" s="119"/>
      <c r="Q599" s="340"/>
      <c r="R599" s="119"/>
      <c r="S599" s="340"/>
      <c r="T599" s="119"/>
      <c r="U599" s="340"/>
      <c r="V599" s="523"/>
      <c r="W599" s="525"/>
      <c r="X599" s="171"/>
      <c r="Y599" s="171"/>
      <c r="Z599" s="171"/>
      <c r="AA599" s="172"/>
      <c r="AB599" s="471" t="s">
        <v>325</v>
      </c>
    </row>
    <row r="600" spans="1:38" ht="12.6" customHeight="1" x14ac:dyDescent="0.2">
      <c r="B600" s="737" t="s">
        <v>326</v>
      </c>
      <c r="C600" s="737"/>
      <c r="D600" s="737"/>
      <c r="E600" s="737"/>
      <c r="F600" s="520"/>
      <c r="G600" s="515"/>
      <c r="H600" s="109"/>
      <c r="I600" s="109"/>
      <c r="J600" s="515"/>
      <c r="K600" s="515"/>
      <c r="L600" s="515"/>
      <c r="M600" s="515"/>
      <c r="N600" s="515"/>
      <c r="O600" s="515"/>
      <c r="P600" s="120"/>
      <c r="Q600" s="515"/>
      <c r="R600" s="120"/>
      <c r="S600" s="515"/>
      <c r="T600" s="120"/>
      <c r="U600" s="515"/>
      <c r="V600" s="276"/>
      <c r="W600" s="528"/>
      <c r="X600" s="142"/>
      <c r="Y600" s="142"/>
      <c r="Z600" s="142"/>
      <c r="AA600" s="142"/>
      <c r="AB600" s="471" t="s">
        <v>456</v>
      </c>
    </row>
    <row r="601" spans="1:38" ht="12.6" customHeight="1" x14ac:dyDescent="0.2">
      <c r="B601" s="927" t="s">
        <v>783</v>
      </c>
      <c r="C601" s="927"/>
      <c r="D601" s="927"/>
      <c r="E601" s="927"/>
      <c r="F601" s="521">
        <f>33.523*X2</f>
        <v>32550.833000000002</v>
      </c>
      <c r="G601" s="306">
        <f t="shared" ref="G601:G620" si="1432">+F601*$X$1</f>
        <v>32550.833000000002</v>
      </c>
      <c r="H601" s="340">
        <f>F601+2200</f>
        <v>34750.832999999999</v>
      </c>
      <c r="I601" s="306">
        <f t="shared" ref="I601" si="1433">+H601*$X$1</f>
        <v>34750.832999999999</v>
      </c>
      <c r="J601" s="340">
        <f>F601+500</f>
        <v>33050.832999999999</v>
      </c>
      <c r="K601" s="306">
        <f t="shared" ref="K601" si="1434">+J601*$X$1</f>
        <v>33050.832999999999</v>
      </c>
      <c r="L601" s="105">
        <f>F601+410</f>
        <v>32960.832999999999</v>
      </c>
      <c r="M601" s="329">
        <f>+L601*$X$1</f>
        <v>32960.832999999999</v>
      </c>
      <c r="N601" s="105">
        <f>F601+370</f>
        <v>32920.832999999999</v>
      </c>
      <c r="O601" s="329">
        <f>+N601*$X$1</f>
        <v>32920.832999999999</v>
      </c>
      <c r="P601" s="105">
        <f>F601+330</f>
        <v>32880.832999999999</v>
      </c>
      <c r="Q601" s="329">
        <f>+P601*$X$1</f>
        <v>32880.832999999999</v>
      </c>
      <c r="R601" s="105">
        <f>F601+290</f>
        <v>32840.832999999999</v>
      </c>
      <c r="S601" s="329">
        <f>+R601*$X$1</f>
        <v>32840.832999999999</v>
      </c>
      <c r="T601" s="340">
        <f>F601+240</f>
        <v>32790.832999999999</v>
      </c>
      <c r="U601" s="306">
        <f t="shared" ref="U601" si="1435">+T601*$X$1</f>
        <v>32790.832999999999</v>
      </c>
      <c r="V601" s="340">
        <f>F601+220</f>
        <v>32770.832999999999</v>
      </c>
      <c r="W601" s="306">
        <f t="shared" ref="W601" si="1436">+V601*$X$1</f>
        <v>32770.832999999999</v>
      </c>
      <c r="X601" s="514"/>
      <c r="Y601" s="142"/>
      <c r="Z601" s="140"/>
      <c r="AA601" s="143"/>
      <c r="AB601" s="471" t="s">
        <v>784</v>
      </c>
    </row>
    <row r="602" spans="1:38" s="1" customFormat="1" ht="12.6" customHeight="1" x14ac:dyDescent="0.2">
      <c r="A602" s="19"/>
      <c r="B602" s="669" t="s">
        <v>209</v>
      </c>
      <c r="C602" s="670"/>
      <c r="D602" s="670"/>
      <c r="E602" s="670"/>
      <c r="F602" s="307"/>
      <c r="G602" s="307"/>
      <c r="H602" s="548"/>
      <c r="I602" s="307"/>
      <c r="J602" s="90"/>
      <c r="K602" s="307"/>
      <c r="L602" s="548"/>
      <c r="M602" s="307"/>
      <c r="N602" s="548"/>
      <c r="O602" s="307"/>
      <c r="P602" s="548"/>
      <c r="Q602" s="307"/>
      <c r="R602" s="548"/>
      <c r="S602" s="307"/>
      <c r="T602" s="548"/>
      <c r="U602" s="307"/>
      <c r="V602" s="548"/>
      <c r="W602" s="307"/>
      <c r="X602" s="638"/>
      <c r="Y602" s="650"/>
      <c r="Z602" s="650"/>
      <c r="AA602" s="640"/>
      <c r="AB602" s="201">
        <v>965</v>
      </c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spans="1:38" s="1" customFormat="1" ht="12.6" customHeight="1" x14ac:dyDescent="0.2">
      <c r="A603" s="19"/>
      <c r="B603" s="641" t="s">
        <v>210</v>
      </c>
      <c r="C603" s="644"/>
      <c r="D603" s="644"/>
      <c r="E603" s="645"/>
      <c r="F603" s="306"/>
      <c r="G603" s="306"/>
      <c r="H603" s="303"/>
      <c r="I603" s="372"/>
      <c r="J603" s="72"/>
      <c r="K603" s="306"/>
      <c r="L603" s="340"/>
      <c r="M603" s="306"/>
      <c r="N603" s="340"/>
      <c r="O603" s="306"/>
      <c r="P603" s="340"/>
      <c r="Q603" s="306"/>
      <c r="R603" s="340"/>
      <c r="S603" s="306"/>
      <c r="T603" s="340"/>
      <c r="U603" s="306"/>
      <c r="V603" s="340"/>
      <c r="W603" s="306"/>
      <c r="X603" s="162"/>
      <c r="Y603" s="163"/>
      <c r="Z603" s="163"/>
      <c r="AA603" s="164"/>
      <c r="AB603" s="463">
        <v>967</v>
      </c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spans="1:38" s="1" customFormat="1" ht="12.6" customHeight="1" x14ac:dyDescent="0.2">
      <c r="A604" s="19"/>
      <c r="B604" s="682" t="s">
        <v>375</v>
      </c>
      <c r="C604" s="683"/>
      <c r="D604" s="683"/>
      <c r="E604" s="684"/>
      <c r="F604" s="307"/>
      <c r="G604" s="307"/>
      <c r="H604" s="495"/>
      <c r="I604" s="307"/>
      <c r="J604" s="90"/>
      <c r="K604" s="307"/>
      <c r="L604" s="495"/>
      <c r="M604" s="307"/>
      <c r="N604" s="495"/>
      <c r="O604" s="307"/>
      <c r="P604" s="495"/>
      <c r="Q604" s="307"/>
      <c r="R604" s="495"/>
      <c r="S604" s="307"/>
      <c r="T604" s="495"/>
      <c r="U604" s="307"/>
      <c r="V604" s="495"/>
      <c r="W604" s="307"/>
      <c r="X604" s="638"/>
      <c r="Y604" s="650"/>
      <c r="Z604" s="650"/>
      <c r="AA604" s="640"/>
      <c r="AB604" s="463">
        <v>968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spans="1:38" s="1" customFormat="1" ht="12.6" customHeight="1" x14ac:dyDescent="0.2">
      <c r="A605" s="19"/>
      <c r="B605" s="625" t="s">
        <v>211</v>
      </c>
      <c r="C605" s="626"/>
      <c r="D605" s="626"/>
      <c r="E605" s="626"/>
      <c r="F605" s="306"/>
      <c r="G605" s="306"/>
      <c r="H605" s="340"/>
      <c r="I605" s="306"/>
      <c r="J605" s="72"/>
      <c r="K605" s="306"/>
      <c r="L605" s="340"/>
      <c r="M605" s="306"/>
      <c r="N605" s="340"/>
      <c r="O605" s="306"/>
      <c r="P605" s="340"/>
      <c r="Q605" s="306"/>
      <c r="R605" s="340"/>
      <c r="S605" s="306"/>
      <c r="T605" s="340"/>
      <c r="U605" s="306"/>
      <c r="V605" s="340"/>
      <c r="W605" s="306"/>
      <c r="X605" s="638"/>
      <c r="Y605" s="650"/>
      <c r="Z605" s="650"/>
      <c r="AA605" s="640"/>
      <c r="AB605" s="463">
        <v>969</v>
      </c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38" s="1" customFormat="1" ht="12.6" customHeight="1" x14ac:dyDescent="0.2">
      <c r="A606" s="19"/>
      <c r="B606" s="682" t="s">
        <v>395</v>
      </c>
      <c r="C606" s="683"/>
      <c r="D606" s="683"/>
      <c r="E606" s="684"/>
      <c r="F606" s="307"/>
      <c r="G606" s="307"/>
      <c r="H606" s="102"/>
      <c r="I606" s="307"/>
      <c r="J606" s="90"/>
      <c r="K606" s="307"/>
      <c r="L606" s="495"/>
      <c r="M606" s="307"/>
      <c r="N606" s="495"/>
      <c r="O606" s="307"/>
      <c r="P606" s="495"/>
      <c r="Q606" s="307"/>
      <c r="R606" s="495"/>
      <c r="S606" s="307"/>
      <c r="T606" s="495"/>
      <c r="U606" s="307"/>
      <c r="V606" s="495"/>
      <c r="W606" s="307"/>
      <c r="X606" s="225"/>
      <c r="Y606" s="227"/>
      <c r="Z606" s="227"/>
      <c r="AA606" s="226"/>
      <c r="AB606" s="463" t="s">
        <v>483</v>
      </c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38" s="1" customFormat="1" ht="12.6" customHeight="1" x14ac:dyDescent="0.2">
      <c r="A607" s="19"/>
      <c r="B607" s="625" t="s">
        <v>212</v>
      </c>
      <c r="C607" s="626"/>
      <c r="D607" s="626"/>
      <c r="E607" s="626"/>
      <c r="F607" s="306"/>
      <c r="G607" s="306"/>
      <c r="H607" s="438"/>
      <c r="I607" s="306"/>
      <c r="J607" s="72"/>
      <c r="K607" s="306"/>
      <c r="L607" s="340"/>
      <c r="M607" s="306"/>
      <c r="N607" s="340"/>
      <c r="O607" s="306"/>
      <c r="P607" s="340"/>
      <c r="Q607" s="306"/>
      <c r="R607" s="340"/>
      <c r="S607" s="306"/>
      <c r="T607" s="340"/>
      <c r="U607" s="306"/>
      <c r="V607" s="340"/>
      <c r="W607" s="306"/>
      <c r="X607" s="638"/>
      <c r="Y607" s="650"/>
      <c r="Z607" s="650"/>
      <c r="AA607" s="640"/>
      <c r="AB607" s="463">
        <v>970</v>
      </c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:38" s="1" customFormat="1" ht="12.6" customHeight="1" x14ac:dyDescent="0.2">
      <c r="A608" s="19"/>
      <c r="B608" s="669" t="s">
        <v>213</v>
      </c>
      <c r="C608" s="670"/>
      <c r="D608" s="670"/>
      <c r="E608" s="670"/>
      <c r="F608" s="307"/>
      <c r="G608" s="307"/>
      <c r="H608" s="102"/>
      <c r="I608" s="307"/>
      <c r="J608" s="90"/>
      <c r="K608" s="307"/>
      <c r="L608" s="495"/>
      <c r="M608" s="307"/>
      <c r="N608" s="495"/>
      <c r="O608" s="307"/>
      <c r="P608" s="495"/>
      <c r="Q608" s="307"/>
      <c r="R608" s="495"/>
      <c r="S608" s="307"/>
      <c r="T608" s="495"/>
      <c r="U608" s="307"/>
      <c r="V608" s="495"/>
      <c r="W608" s="307"/>
      <c r="X608" s="638"/>
      <c r="Y608" s="650"/>
      <c r="Z608" s="650"/>
      <c r="AA608" s="640"/>
      <c r="AB608" s="463">
        <v>971</v>
      </c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spans="1:38" s="1" customFormat="1" ht="12.6" customHeight="1" x14ac:dyDescent="0.2">
      <c r="A609" s="19"/>
      <c r="B609" s="641" t="s">
        <v>396</v>
      </c>
      <c r="C609" s="644"/>
      <c r="D609" s="644"/>
      <c r="E609" s="645"/>
      <c r="F609" s="306"/>
      <c r="G609" s="306"/>
      <c r="H609" s="438"/>
      <c r="I609" s="306"/>
      <c r="J609" s="72"/>
      <c r="K609" s="306"/>
      <c r="L609" s="340"/>
      <c r="M609" s="306"/>
      <c r="N609" s="340"/>
      <c r="O609" s="306"/>
      <c r="P609" s="340"/>
      <c r="Q609" s="306"/>
      <c r="R609" s="340"/>
      <c r="S609" s="306"/>
      <c r="T609" s="340"/>
      <c r="U609" s="306"/>
      <c r="V609" s="340"/>
      <c r="W609" s="306"/>
      <c r="X609" s="162"/>
      <c r="Y609" s="163"/>
      <c r="Z609" s="163"/>
      <c r="AA609" s="164"/>
      <c r="AB609" s="463">
        <v>972</v>
      </c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:38" s="1" customFormat="1" ht="12.6" customHeight="1" x14ac:dyDescent="0.2">
      <c r="A610" s="19"/>
      <c r="B610" s="669" t="s">
        <v>214</v>
      </c>
      <c r="C610" s="670"/>
      <c r="D610" s="670"/>
      <c r="E610" s="670"/>
      <c r="F610" s="94"/>
      <c r="G610" s="484"/>
      <c r="H610" s="297"/>
      <c r="I610" s="297"/>
      <c r="J610" s="90"/>
      <c r="K610" s="94"/>
      <c r="L610" s="94"/>
      <c r="M610" s="94"/>
      <c r="N610" s="94"/>
      <c r="O610" s="495"/>
      <c r="P610" s="495"/>
      <c r="Q610" s="495"/>
      <c r="R610" s="495"/>
      <c r="S610" s="495"/>
      <c r="T610" s="495"/>
      <c r="U610" s="495"/>
      <c r="V610" s="495"/>
      <c r="W610" s="495"/>
      <c r="X610" s="646"/>
      <c r="Y610" s="647"/>
      <c r="Z610" s="647"/>
      <c r="AA610" s="648"/>
      <c r="AB610" s="201">
        <v>980</v>
      </c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:38" s="1" customFormat="1" ht="12.6" customHeight="1" x14ac:dyDescent="0.2">
      <c r="A611" s="19"/>
      <c r="B611" s="625" t="s">
        <v>215</v>
      </c>
      <c r="C611" s="649"/>
      <c r="D611" s="649"/>
      <c r="E611" s="649"/>
      <c r="F611" s="105"/>
      <c r="G611" s="340"/>
      <c r="H611" s="298"/>
      <c r="I611" s="298"/>
      <c r="J611" s="72"/>
      <c r="K611" s="301"/>
      <c r="L611" s="301"/>
      <c r="M611" s="301"/>
      <c r="N611" s="301"/>
      <c r="O611" s="340"/>
      <c r="P611" s="340"/>
      <c r="Q611" s="340"/>
      <c r="R611" s="340"/>
      <c r="S611" s="340"/>
      <c r="T611" s="340"/>
      <c r="U611" s="340"/>
      <c r="V611" s="340"/>
      <c r="W611" s="340"/>
      <c r="X611" s="646"/>
      <c r="Y611" s="647"/>
      <c r="Z611" s="647"/>
      <c r="AA611" s="648"/>
      <c r="AB611" s="201">
        <v>981</v>
      </c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spans="1:38" s="1" customFormat="1" ht="12.6" customHeight="1" x14ac:dyDescent="0.2">
      <c r="A612" s="19"/>
      <c r="B612" s="682" t="s">
        <v>499</v>
      </c>
      <c r="C612" s="894"/>
      <c r="D612" s="894"/>
      <c r="E612" s="895"/>
      <c r="F612" s="104"/>
      <c r="G612" s="484"/>
      <c r="H612" s="297"/>
      <c r="I612" s="297"/>
      <c r="J612" s="90"/>
      <c r="K612" s="94"/>
      <c r="L612" s="94"/>
      <c r="M612" s="94"/>
      <c r="N612" s="94"/>
      <c r="O612" s="495"/>
      <c r="P612" s="495"/>
      <c r="Q612" s="495"/>
      <c r="R612" s="495"/>
      <c r="S612" s="495"/>
      <c r="T612" s="495"/>
      <c r="U612" s="495"/>
      <c r="V612" s="495"/>
      <c r="W612" s="495"/>
      <c r="X612" s="646"/>
      <c r="Y612" s="647"/>
      <c r="Z612" s="647"/>
      <c r="AA612" s="648"/>
      <c r="AB612" s="201">
        <v>982</v>
      </c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spans="1:38" s="1" customFormat="1" ht="12.6" customHeight="1" x14ac:dyDescent="0.2">
      <c r="A613" s="19"/>
      <c r="B613" s="641" t="s">
        <v>534</v>
      </c>
      <c r="C613" s="642"/>
      <c r="D613" s="642"/>
      <c r="E613" s="643"/>
      <c r="F613" s="105"/>
      <c r="G613" s="340"/>
      <c r="H613" s="303"/>
      <c r="I613" s="298"/>
      <c r="J613" s="72"/>
      <c r="K613" s="301"/>
      <c r="L613" s="301"/>
      <c r="M613" s="301"/>
      <c r="N613" s="301"/>
      <c r="O613" s="340"/>
      <c r="P613" s="340"/>
      <c r="Q613" s="340"/>
      <c r="R613" s="340"/>
      <c r="S613" s="340"/>
      <c r="T613" s="340"/>
      <c r="U613" s="340"/>
      <c r="V613" s="340"/>
      <c r="W613" s="340"/>
      <c r="X613" s="646"/>
      <c r="Y613" s="647"/>
      <c r="Z613" s="647"/>
      <c r="AA613" s="648"/>
      <c r="AB613" s="201">
        <v>983</v>
      </c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spans="1:38" s="1" customFormat="1" ht="12.6" customHeight="1" x14ac:dyDescent="0.2">
      <c r="A614" s="19"/>
      <c r="B614" s="682" t="s">
        <v>216</v>
      </c>
      <c r="C614" s="894"/>
      <c r="D614" s="894"/>
      <c r="E614" s="895"/>
      <c r="F614" s="94"/>
      <c r="G614" s="484"/>
      <c r="H614" s="297"/>
      <c r="I614" s="297"/>
      <c r="J614" s="90"/>
      <c r="K614" s="94"/>
      <c r="L614" s="94"/>
      <c r="M614" s="94"/>
      <c r="N614" s="94"/>
      <c r="O614" s="495"/>
      <c r="P614" s="495"/>
      <c r="Q614" s="495"/>
      <c r="R614" s="495"/>
      <c r="S614" s="495"/>
      <c r="T614" s="495"/>
      <c r="U614" s="495"/>
      <c r="V614" s="495"/>
      <c r="W614" s="495"/>
      <c r="X614" s="646"/>
      <c r="Y614" s="647"/>
      <c r="Z614" s="647"/>
      <c r="AA614" s="648"/>
      <c r="AB614" s="201">
        <v>984</v>
      </c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:38" s="1" customFormat="1" ht="12.6" customHeight="1" x14ac:dyDescent="0.2">
      <c r="A615" s="19"/>
      <c r="B615" s="641" t="s">
        <v>217</v>
      </c>
      <c r="C615" s="642"/>
      <c r="D615" s="642"/>
      <c r="E615" s="643"/>
      <c r="F615" s="332"/>
      <c r="G615" s="340"/>
      <c r="H615" s="303"/>
      <c r="I615" s="298"/>
      <c r="J615" s="72"/>
      <c r="K615" s="301"/>
      <c r="L615" s="301"/>
      <c r="M615" s="301"/>
      <c r="N615" s="301"/>
      <c r="O615" s="340"/>
      <c r="P615" s="340"/>
      <c r="Q615" s="340"/>
      <c r="R615" s="340"/>
      <c r="S615" s="340"/>
      <c r="T615" s="340"/>
      <c r="U615" s="340"/>
      <c r="V615" s="340"/>
      <c r="W615" s="340"/>
      <c r="X615" s="646"/>
      <c r="Y615" s="647"/>
      <c r="Z615" s="647"/>
      <c r="AA615" s="648"/>
      <c r="AB615" s="201">
        <v>985</v>
      </c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spans="1:38" ht="12.6" customHeight="1" x14ac:dyDescent="0.2">
      <c r="B616" s="927" t="s">
        <v>779</v>
      </c>
      <c r="C616" s="927"/>
      <c r="D616" s="927"/>
      <c r="E616" s="927"/>
      <c r="F616" s="522">
        <f>29.18*X2</f>
        <v>28333.78</v>
      </c>
      <c r="G616" s="307">
        <f t="shared" si="1432"/>
        <v>28333.78</v>
      </c>
      <c r="H616" s="276"/>
      <c r="I616" s="276"/>
      <c r="J616" s="515">
        <f>F616+600</f>
        <v>28933.78</v>
      </c>
      <c r="K616" s="307">
        <f t="shared" ref="K616" si="1437">+J616*$X$1</f>
        <v>28933.78</v>
      </c>
      <c r="L616" s="515">
        <f>F616+350</f>
        <v>28683.78</v>
      </c>
      <c r="M616" s="307">
        <f t="shared" ref="M616" si="1438">+L616*$X$1</f>
        <v>28683.78</v>
      </c>
      <c r="N616" s="515">
        <f>F616+170</f>
        <v>28503.78</v>
      </c>
      <c r="O616" s="307">
        <f t="shared" ref="O616" si="1439">+N616*$X$1</f>
        <v>28503.78</v>
      </c>
      <c r="P616" s="515">
        <f>F616+130</f>
        <v>28463.78</v>
      </c>
      <c r="Q616" s="307">
        <f t="shared" ref="Q616" si="1440">+P616*$X$1</f>
        <v>28463.78</v>
      </c>
      <c r="R616" s="515">
        <f>F616+90</f>
        <v>28423.78</v>
      </c>
      <c r="S616" s="307">
        <f t="shared" ref="S616" si="1441">+R616*$X$1</f>
        <v>28423.78</v>
      </c>
      <c r="T616" s="515">
        <f>F616+75</f>
        <v>28408.78</v>
      </c>
      <c r="U616" s="307">
        <f t="shared" ref="U616" si="1442">+T616*$X$1</f>
        <v>28408.78</v>
      </c>
      <c r="V616" s="515">
        <f>F616+64</f>
        <v>28397.78</v>
      </c>
      <c r="W616" s="307">
        <f t="shared" ref="W616" si="1443">+V616*$X$1</f>
        <v>28397.78</v>
      </c>
      <c r="X616" s="514"/>
      <c r="Y616" s="142"/>
      <c r="Z616" s="140"/>
      <c r="AA616" s="143"/>
      <c r="AB616" s="471" t="s">
        <v>777</v>
      </c>
    </row>
    <row r="617" spans="1:38" ht="12.6" customHeight="1" x14ac:dyDescent="0.2">
      <c r="B617" s="714" t="s">
        <v>778</v>
      </c>
      <c r="C617" s="714"/>
      <c r="D617" s="714"/>
      <c r="E617" s="714"/>
      <c r="F617" s="521"/>
      <c r="G617" s="306"/>
      <c r="H617" s="279"/>
      <c r="I617" s="279"/>
      <c r="J617" s="340"/>
      <c r="K617" s="306"/>
      <c r="L617" s="340"/>
      <c r="M617" s="306"/>
      <c r="N617" s="340"/>
      <c r="O617" s="306"/>
      <c r="P617" s="340"/>
      <c r="Q617" s="306"/>
      <c r="R617" s="340"/>
      <c r="S617" s="306"/>
      <c r="T617" s="340"/>
      <c r="U617" s="306"/>
      <c r="V617" s="340"/>
      <c r="W617" s="306"/>
      <c r="X617" s="514"/>
      <c r="Y617" s="142"/>
      <c r="Z617" s="140"/>
      <c r="AA617" s="143"/>
      <c r="AB617" s="471" t="s">
        <v>780</v>
      </c>
    </row>
    <row r="618" spans="1:38" ht="12.6" customHeight="1" x14ac:dyDescent="0.2">
      <c r="B618" s="927" t="s">
        <v>781</v>
      </c>
      <c r="C618" s="927"/>
      <c r="D618" s="927"/>
      <c r="E618" s="927"/>
      <c r="F618" s="522">
        <f>36.297*X2</f>
        <v>35244.386999999995</v>
      </c>
      <c r="G618" s="307">
        <f t="shared" si="1432"/>
        <v>35244.386999999995</v>
      </c>
      <c r="H618" s="276"/>
      <c r="I618" s="276"/>
      <c r="J618" s="515">
        <f>F618+600</f>
        <v>35844.386999999995</v>
      </c>
      <c r="K618" s="307">
        <f t="shared" ref="K618" si="1444">+J618*$X$1</f>
        <v>35844.386999999995</v>
      </c>
      <c r="L618" s="515">
        <f>F618+350</f>
        <v>35594.386999999995</v>
      </c>
      <c r="M618" s="307">
        <f t="shared" ref="M618:M619" si="1445">+L618*$X$1</f>
        <v>35594.386999999995</v>
      </c>
      <c r="N618" s="515">
        <f>F618+170</f>
        <v>35414.386999999995</v>
      </c>
      <c r="O618" s="307">
        <f t="shared" ref="O618:O619" si="1446">+N618*$X$1</f>
        <v>35414.386999999995</v>
      </c>
      <c r="P618" s="515">
        <f>F618+130</f>
        <v>35374.386999999995</v>
      </c>
      <c r="Q618" s="307">
        <f t="shared" ref="Q618:Q619" si="1447">+P618*$X$1</f>
        <v>35374.386999999995</v>
      </c>
      <c r="R618" s="515">
        <f>F618+90</f>
        <v>35334.386999999995</v>
      </c>
      <c r="S618" s="307">
        <f t="shared" ref="S618:S619" si="1448">+R618*$X$1</f>
        <v>35334.386999999995</v>
      </c>
      <c r="T618" s="515">
        <f>F618+75</f>
        <v>35319.386999999995</v>
      </c>
      <c r="U618" s="307">
        <f t="shared" ref="U618:U619" si="1449">+T618*$X$1</f>
        <v>35319.386999999995</v>
      </c>
      <c r="V618" s="515">
        <f>F618+64</f>
        <v>35308.386999999995</v>
      </c>
      <c r="W618" s="307">
        <f t="shared" ref="W618:W619" si="1450">+V618*$X$1</f>
        <v>35308.386999999995</v>
      </c>
      <c r="X618" s="514"/>
      <c r="Y618" s="142"/>
      <c r="Z618" s="140"/>
      <c r="AA618" s="143"/>
      <c r="AB618" s="471" t="s">
        <v>782</v>
      </c>
    </row>
    <row r="619" spans="1:38" s="1" customFormat="1" ht="12.6" customHeight="1" x14ac:dyDescent="0.2">
      <c r="A619" s="19"/>
      <c r="B619" s="641" t="s">
        <v>589</v>
      </c>
      <c r="C619" s="644"/>
      <c r="D619" s="644"/>
      <c r="E619" s="645"/>
      <c r="F619" s="532">
        <v>8330</v>
      </c>
      <c r="G619" s="308">
        <f t="shared" si="1432"/>
        <v>8330</v>
      </c>
      <c r="H619" s="340">
        <f>F619+2200</f>
        <v>10530</v>
      </c>
      <c r="I619" s="306">
        <f t="shared" ref="I619" si="1451">+H619*$X$1</f>
        <v>10530</v>
      </c>
      <c r="J619" s="72">
        <f>F619+500</f>
        <v>8830</v>
      </c>
      <c r="K619" s="306">
        <f>+J619*$X$1</f>
        <v>8830</v>
      </c>
      <c r="L619" s="340">
        <f>F619+250</f>
        <v>8580</v>
      </c>
      <c r="M619" s="306">
        <f t="shared" si="1445"/>
        <v>8580</v>
      </c>
      <c r="N619" s="340">
        <f>F619+100</f>
        <v>8430</v>
      </c>
      <c r="O619" s="306">
        <f t="shared" si="1446"/>
        <v>8430</v>
      </c>
      <c r="P619" s="340">
        <f>F619+80</f>
        <v>8410</v>
      </c>
      <c r="Q619" s="306">
        <f t="shared" si="1447"/>
        <v>8410</v>
      </c>
      <c r="R619" s="340">
        <f>F619+60</f>
        <v>8390</v>
      </c>
      <c r="S619" s="306">
        <f t="shared" si="1448"/>
        <v>8390</v>
      </c>
      <c r="T619" s="340">
        <f>F619+50</f>
        <v>8380</v>
      </c>
      <c r="U619" s="306">
        <f t="shared" si="1449"/>
        <v>8380</v>
      </c>
      <c r="V619" s="340">
        <f>F619+44</f>
        <v>8374</v>
      </c>
      <c r="W619" s="306">
        <f t="shared" si="1450"/>
        <v>8374</v>
      </c>
      <c r="X619" s="638"/>
      <c r="Y619" s="639"/>
      <c r="Z619" s="639"/>
      <c r="AA619" s="640"/>
      <c r="AB619" s="201">
        <v>1010</v>
      </c>
      <c r="AC619" s="4"/>
      <c r="AD619" s="4"/>
      <c r="AE619" s="4"/>
      <c r="AF619" s="4"/>
      <c r="AG619" s="4"/>
      <c r="AH619" s="133"/>
      <c r="AI619" s="4"/>
      <c r="AJ619" s="4"/>
      <c r="AK619" s="4"/>
      <c r="AL619" s="4"/>
    </row>
    <row r="620" spans="1:38" s="1" customFormat="1" ht="12.6" customHeight="1" x14ac:dyDescent="0.2">
      <c r="A620" s="19"/>
      <c r="B620" s="682" t="s">
        <v>590</v>
      </c>
      <c r="C620" s="683"/>
      <c r="D620" s="683"/>
      <c r="E620" s="684"/>
      <c r="F620" s="354">
        <v>20824</v>
      </c>
      <c r="G620" s="307">
        <f t="shared" si="1432"/>
        <v>20824</v>
      </c>
      <c r="H620" s="531">
        <f>F620+2200</f>
        <v>23024</v>
      </c>
      <c r="I620" s="307">
        <f t="shared" ref="I620" si="1452">+H620*$X$1</f>
        <v>23024</v>
      </c>
      <c r="J620" s="90">
        <f>F620+500</f>
        <v>21324</v>
      </c>
      <c r="K620" s="307">
        <f>+J620*$X$1</f>
        <v>21324</v>
      </c>
      <c r="L620" s="531">
        <f>F620+250</f>
        <v>21074</v>
      </c>
      <c r="M620" s="307">
        <f t="shared" ref="M620" si="1453">+L620*$X$1</f>
        <v>21074</v>
      </c>
      <c r="N620" s="531">
        <f>F620+100</f>
        <v>20924</v>
      </c>
      <c r="O620" s="307">
        <f t="shared" ref="O620" si="1454">+N620*$X$1</f>
        <v>20924</v>
      </c>
      <c r="P620" s="531">
        <f>F620+80</f>
        <v>20904</v>
      </c>
      <c r="Q620" s="307">
        <f t="shared" ref="Q620" si="1455">+P620*$X$1</f>
        <v>20904</v>
      </c>
      <c r="R620" s="531">
        <f>F620+60</f>
        <v>20884</v>
      </c>
      <c r="S620" s="307">
        <f t="shared" ref="S620" si="1456">+R620*$X$1</f>
        <v>20884</v>
      </c>
      <c r="T620" s="531">
        <f>F620+50</f>
        <v>20874</v>
      </c>
      <c r="U620" s="307">
        <f t="shared" ref="U620" si="1457">+T620*$X$1</f>
        <v>20874</v>
      </c>
      <c r="V620" s="531">
        <f>F620+44</f>
        <v>20868</v>
      </c>
      <c r="W620" s="307">
        <f t="shared" ref="W620" si="1458">+V620*$X$1</f>
        <v>20868</v>
      </c>
      <c r="X620" s="638"/>
      <c r="Y620" s="639"/>
      <c r="Z620" s="639"/>
      <c r="AA620" s="640"/>
      <c r="AB620" s="201">
        <v>1011</v>
      </c>
      <c r="AC620" s="4"/>
      <c r="AD620" s="4"/>
      <c r="AE620" s="4"/>
      <c r="AF620" s="4"/>
      <c r="AG620" s="4"/>
      <c r="AH620" s="133"/>
      <c r="AI620" s="4"/>
      <c r="AJ620" s="4"/>
      <c r="AK620" s="4"/>
      <c r="AL620" s="4"/>
    </row>
    <row r="621" spans="1:38" ht="12.6" customHeight="1" x14ac:dyDescent="0.2">
      <c r="B621" s="714" t="s">
        <v>699</v>
      </c>
      <c r="C621" s="714"/>
      <c r="D621" s="714"/>
      <c r="E621" s="714"/>
      <c r="F621" s="417">
        <f>3.054*X2</f>
        <v>2965.4339999999997</v>
      </c>
      <c r="G621" s="306">
        <f>+F621*$X$1</f>
        <v>2965.4339999999997</v>
      </c>
      <c r="H621" s="103"/>
      <c r="I621" s="103"/>
      <c r="J621" s="17"/>
      <c r="K621" s="17"/>
      <c r="L621" s="340">
        <f>F621+250</f>
        <v>3215.4339999999997</v>
      </c>
      <c r="M621" s="306">
        <f t="shared" ref="M621" si="1459">+L621*$X$1</f>
        <v>3215.4339999999997</v>
      </c>
      <c r="N621" s="340">
        <f>F621+100</f>
        <v>3065.4339999999997</v>
      </c>
      <c r="O621" s="306">
        <f t="shared" ref="O621" si="1460">+N621*$X$1</f>
        <v>3065.4339999999997</v>
      </c>
      <c r="P621" s="340">
        <f>F621+80</f>
        <v>3045.4339999999997</v>
      </c>
      <c r="Q621" s="306">
        <f t="shared" ref="Q621" si="1461">+P621*$X$1</f>
        <v>3045.4339999999997</v>
      </c>
      <c r="R621" s="340">
        <f>F621+60</f>
        <v>3025.4339999999997</v>
      </c>
      <c r="S621" s="306">
        <f t="shared" ref="S621" si="1462">+R621*$X$1</f>
        <v>3025.4339999999997</v>
      </c>
      <c r="T621" s="340">
        <f>F621+50</f>
        <v>3015.4339999999997</v>
      </c>
      <c r="U621" s="306">
        <f t="shared" ref="U621" si="1463">+T621*$X$1</f>
        <v>3015.4339999999997</v>
      </c>
      <c r="V621" s="340">
        <f>F621+44</f>
        <v>3009.4339999999997</v>
      </c>
      <c r="W621" s="306">
        <f t="shared" ref="W621" si="1464">+V621*$X$1</f>
        <v>3009.4339999999997</v>
      </c>
      <c r="X621" s="473"/>
      <c r="Y621" s="142"/>
      <c r="Z621" s="140"/>
      <c r="AA621" s="143"/>
      <c r="AB621" s="471" t="s">
        <v>700</v>
      </c>
    </row>
    <row r="622" spans="1:38" ht="12.6" customHeight="1" x14ac:dyDescent="0.2">
      <c r="B622" s="737" t="s">
        <v>705</v>
      </c>
      <c r="C622" s="737"/>
      <c r="D622" s="737"/>
      <c r="E622" s="737"/>
      <c r="F622" s="418">
        <f>11.3*X2</f>
        <v>10972.300000000001</v>
      </c>
      <c r="G622" s="307">
        <f>+F622*$X$1</f>
        <v>10972.300000000001</v>
      </c>
      <c r="H622" s="109"/>
      <c r="I622" s="109"/>
      <c r="J622" s="276"/>
      <c r="K622" s="276"/>
      <c r="L622" s="515">
        <f>F622+250</f>
        <v>11222.300000000001</v>
      </c>
      <c r="M622" s="307">
        <f t="shared" ref="M622" si="1465">+L622*$X$1</f>
        <v>11222.300000000001</v>
      </c>
      <c r="N622" s="515">
        <f>F622+100</f>
        <v>11072.300000000001</v>
      </c>
      <c r="O622" s="307">
        <f t="shared" ref="O622" si="1466">+N622*$X$1</f>
        <v>11072.300000000001</v>
      </c>
      <c r="P622" s="515">
        <f>F622+80</f>
        <v>11052.300000000001</v>
      </c>
      <c r="Q622" s="307">
        <f t="shared" ref="Q622" si="1467">+P622*$X$1</f>
        <v>11052.300000000001</v>
      </c>
      <c r="R622" s="515">
        <f>F622+60</f>
        <v>11032.300000000001</v>
      </c>
      <c r="S622" s="307">
        <f t="shared" ref="S622" si="1468">+R622*$X$1</f>
        <v>11032.300000000001</v>
      </c>
      <c r="T622" s="515">
        <f>F622+50</f>
        <v>11022.300000000001</v>
      </c>
      <c r="U622" s="307">
        <f t="shared" ref="U622" si="1469">+T622*$X$1</f>
        <v>11022.300000000001</v>
      </c>
      <c r="V622" s="515">
        <f>F622+44</f>
        <v>11016.300000000001</v>
      </c>
      <c r="W622" s="307">
        <f t="shared" ref="W622" si="1470">+V622*$X$1</f>
        <v>11016.300000000001</v>
      </c>
      <c r="X622" s="474"/>
      <c r="Y622" s="142"/>
      <c r="Z622" s="140"/>
      <c r="AA622" s="143"/>
      <c r="AB622" s="471" t="s">
        <v>706</v>
      </c>
    </row>
    <row r="623" spans="1:38" ht="12.6" customHeight="1" x14ac:dyDescent="0.2">
      <c r="B623" s="714" t="s">
        <v>522</v>
      </c>
      <c r="C623" s="714"/>
      <c r="D623" s="714"/>
      <c r="E623" s="714"/>
      <c r="F623" s="417">
        <f>4.7*X2</f>
        <v>4563.7</v>
      </c>
      <c r="G623" s="306">
        <f>+F623*$X$1</f>
        <v>4563.7</v>
      </c>
      <c r="H623" s="103"/>
      <c r="I623" s="103"/>
      <c r="J623" s="17"/>
      <c r="K623" s="17"/>
      <c r="L623" s="340">
        <f>F623+250</f>
        <v>4813.7</v>
      </c>
      <c r="M623" s="306">
        <f t="shared" ref="M623" si="1471">+L623*$X$1</f>
        <v>4813.7</v>
      </c>
      <c r="N623" s="340">
        <f>F623+100</f>
        <v>4663.7</v>
      </c>
      <c r="O623" s="306">
        <f t="shared" ref="O623" si="1472">+N623*$X$1</f>
        <v>4663.7</v>
      </c>
      <c r="P623" s="340">
        <f>F623+80</f>
        <v>4643.7</v>
      </c>
      <c r="Q623" s="306">
        <f t="shared" ref="Q623" si="1473">+P623*$X$1</f>
        <v>4643.7</v>
      </c>
      <c r="R623" s="340">
        <f>F623+60</f>
        <v>4623.7</v>
      </c>
      <c r="S623" s="306">
        <f t="shared" ref="S623" si="1474">+R623*$X$1</f>
        <v>4623.7</v>
      </c>
      <c r="T623" s="340">
        <f>F623+50</f>
        <v>4613.7</v>
      </c>
      <c r="U623" s="306">
        <f t="shared" ref="U623" si="1475">+T623*$X$1</f>
        <v>4613.7</v>
      </c>
      <c r="V623" s="340">
        <f>F623+44</f>
        <v>4607.7</v>
      </c>
      <c r="W623" s="306">
        <f t="shared" ref="W623" si="1476">+V623*$X$1</f>
        <v>4607.7</v>
      </c>
      <c r="X623" s="243"/>
      <c r="Y623" s="142"/>
      <c r="Z623" s="140"/>
      <c r="AA623" s="143"/>
      <c r="AB623" s="471" t="s">
        <v>450</v>
      </c>
    </row>
    <row r="624" spans="1:38" ht="12.6" customHeight="1" x14ac:dyDescent="0.2">
      <c r="B624" s="737" t="s">
        <v>707</v>
      </c>
      <c r="C624" s="737"/>
      <c r="D624" s="737"/>
      <c r="E624" s="737"/>
      <c r="F624" s="418"/>
      <c r="G624" s="307"/>
      <c r="H624" s="515"/>
      <c r="I624" s="307"/>
      <c r="J624" s="276"/>
      <c r="K624" s="276"/>
      <c r="L624" s="515"/>
      <c r="M624" s="307"/>
      <c r="N624" s="515"/>
      <c r="O624" s="307"/>
      <c r="P624" s="515"/>
      <c r="Q624" s="307"/>
      <c r="R624" s="515"/>
      <c r="S624" s="307"/>
      <c r="T624" s="515"/>
      <c r="U624" s="307"/>
      <c r="V624" s="515"/>
      <c r="W624" s="307"/>
      <c r="X624" s="268"/>
      <c r="Y624" s="142"/>
      <c r="Z624" s="140"/>
      <c r="AA624" s="143"/>
      <c r="AB624" s="471" t="s">
        <v>708</v>
      </c>
    </row>
    <row r="625" spans="1:34" ht="12.6" customHeight="1" x14ac:dyDescent="0.2">
      <c r="A625" s="10"/>
      <c r="B625" s="1014" t="s">
        <v>327</v>
      </c>
      <c r="C625" s="1014"/>
      <c r="D625" s="1014"/>
      <c r="E625" s="1014"/>
      <c r="F625" s="417">
        <f>35.44*X2</f>
        <v>34412.239999999998</v>
      </c>
      <c r="G625" s="306">
        <f t="shared" ref="G625" si="1477">+F625*$X$1</f>
        <v>34412.239999999998</v>
      </c>
      <c r="H625" s="103"/>
      <c r="I625" s="103"/>
      <c r="J625" s="17"/>
      <c r="K625" s="17"/>
      <c r="L625" s="340">
        <f>F625+220</f>
        <v>34632.239999999998</v>
      </c>
      <c r="M625" s="306">
        <f t="shared" ref="M625" si="1478">+L625*$X$1</f>
        <v>34632.239999999998</v>
      </c>
      <c r="N625" s="340">
        <f>F625+100</f>
        <v>34512.239999999998</v>
      </c>
      <c r="O625" s="306">
        <f t="shared" ref="O625" si="1479">+N625*$X$1</f>
        <v>34512.239999999998</v>
      </c>
      <c r="P625" s="340">
        <f>F625+80</f>
        <v>34492.239999999998</v>
      </c>
      <c r="Q625" s="306">
        <f t="shared" ref="Q625" si="1480">+P625*$X$1</f>
        <v>34492.239999999998</v>
      </c>
      <c r="R625" s="340">
        <f>F625+60</f>
        <v>34472.239999999998</v>
      </c>
      <c r="S625" s="306">
        <f t="shared" ref="S625" si="1481">+R625*$X$1</f>
        <v>34472.239999999998</v>
      </c>
      <c r="T625" s="340">
        <f>F625+50</f>
        <v>34462.239999999998</v>
      </c>
      <c r="U625" s="306">
        <f t="shared" ref="U625" si="1482">+T625*$X$1</f>
        <v>34462.239999999998</v>
      </c>
      <c r="V625" s="340"/>
      <c r="W625" s="306"/>
      <c r="X625" s="140"/>
      <c r="Y625" s="144"/>
      <c r="Z625" s="140"/>
      <c r="AA625" s="143"/>
      <c r="AB625" s="471" t="s">
        <v>466</v>
      </c>
    </row>
    <row r="626" spans="1:34" ht="12.6" customHeight="1" x14ac:dyDescent="0.2">
      <c r="A626" s="10"/>
      <c r="B626" s="918" t="s">
        <v>465</v>
      </c>
      <c r="C626" s="918"/>
      <c r="D626" s="918"/>
      <c r="E626" s="918"/>
      <c r="F626" s="307"/>
      <c r="G626" s="307"/>
      <c r="H626" s="109"/>
      <c r="I626" s="109"/>
      <c r="J626" s="515"/>
      <c r="K626" s="307"/>
      <c r="L626" s="515"/>
      <c r="M626" s="307"/>
      <c r="N626" s="515"/>
      <c r="O626" s="307"/>
      <c r="P626" s="515"/>
      <c r="Q626" s="307"/>
      <c r="R626" s="515"/>
      <c r="S626" s="307"/>
      <c r="T626" s="515"/>
      <c r="U626" s="307"/>
      <c r="V626" s="526"/>
      <c r="W626" s="527"/>
      <c r="X626" s="140"/>
      <c r="Y626" s="144"/>
      <c r="Z626" s="140"/>
      <c r="AA626" s="143"/>
      <c r="AB626" s="471" t="s">
        <v>328</v>
      </c>
    </row>
    <row r="627" spans="1:34" ht="12.6" customHeight="1" x14ac:dyDescent="0.2">
      <c r="A627" s="212"/>
      <c r="B627" s="877" t="s">
        <v>569</v>
      </c>
      <c r="C627" s="722"/>
      <c r="D627" s="722"/>
      <c r="E627" s="722"/>
      <c r="F627" s="355">
        <v>14100</v>
      </c>
      <c r="G627" s="329">
        <f t="shared" ref="G627" si="1483">+F627*$X$1</f>
        <v>14100</v>
      </c>
      <c r="H627" s="519"/>
      <c r="I627" s="519"/>
      <c r="J627" s="105">
        <f t="shared" ref="J627:J635" si="1484">F627+500</f>
        <v>14600</v>
      </c>
      <c r="K627" s="329">
        <f t="shared" ref="K627:K629" si="1485">+J627*$X$1</f>
        <v>14600</v>
      </c>
      <c r="L627" s="105">
        <f>F627+410</f>
        <v>14510</v>
      </c>
      <c r="M627" s="329">
        <f>+L627*$X$1</f>
        <v>14510</v>
      </c>
      <c r="N627" s="105">
        <f>F627+370</f>
        <v>14470</v>
      </c>
      <c r="O627" s="329">
        <f>+N627*$X$1</f>
        <v>14470</v>
      </c>
      <c r="P627" s="105">
        <f>F627+330</f>
        <v>14430</v>
      </c>
      <c r="Q627" s="329">
        <f>+P627*$X$1</f>
        <v>14430</v>
      </c>
      <c r="R627" s="105">
        <f>F627+290</f>
        <v>14390</v>
      </c>
      <c r="S627" s="329">
        <f>+R627*$X$1</f>
        <v>14390</v>
      </c>
      <c r="T627" s="105">
        <f>F627+240</f>
        <v>14340</v>
      </c>
      <c r="U627" s="329">
        <f t="shared" ref="U627" si="1486">+T627*$X$1</f>
        <v>14340</v>
      </c>
      <c r="V627" s="333"/>
      <c r="W627" s="329"/>
      <c r="X627" s="331"/>
      <c r="Y627" s="331"/>
      <c r="Z627" s="331"/>
      <c r="AA627" s="331"/>
      <c r="AB627" s="471" t="s">
        <v>709</v>
      </c>
    </row>
    <row r="628" spans="1:34" ht="12.6" customHeight="1" x14ac:dyDescent="0.2">
      <c r="A628" s="212"/>
      <c r="B628" s="875" t="s">
        <v>446</v>
      </c>
      <c r="C628" s="676"/>
      <c r="D628" s="676"/>
      <c r="E628" s="676"/>
      <c r="F628" s="354">
        <v>15920</v>
      </c>
      <c r="G628" s="307">
        <f t="shared" ref="G628:G633" si="1487">+F628*$X$1</f>
        <v>15920</v>
      </c>
      <c r="H628" s="276"/>
      <c r="I628" s="276"/>
      <c r="J628" s="515"/>
      <c r="K628" s="307"/>
      <c r="L628" s="515">
        <f>F628+250</f>
        <v>16170</v>
      </c>
      <c r="M628" s="307">
        <f t="shared" ref="M628" si="1488">+L628*$X$1</f>
        <v>16170</v>
      </c>
      <c r="N628" s="515">
        <f>F628+100</f>
        <v>16020</v>
      </c>
      <c r="O628" s="307">
        <f t="shared" ref="O628" si="1489">+N628*$X$1</f>
        <v>16020</v>
      </c>
      <c r="P628" s="515">
        <f>F628+80</f>
        <v>16000</v>
      </c>
      <c r="Q628" s="307">
        <f t="shared" ref="Q628" si="1490">+P628*$X$1</f>
        <v>16000</v>
      </c>
      <c r="R628" s="515">
        <f>F628+60</f>
        <v>15980</v>
      </c>
      <c r="S628" s="307">
        <f t="shared" ref="S628" si="1491">+R628*$X$1</f>
        <v>15980</v>
      </c>
      <c r="T628" s="515">
        <f>F628+50</f>
        <v>15970</v>
      </c>
      <c r="U628" s="307">
        <f t="shared" ref="U628" si="1492">+T628*$X$1</f>
        <v>15970</v>
      </c>
      <c r="V628" s="515"/>
      <c r="W628" s="307"/>
      <c r="X628" s="160"/>
      <c r="Y628" s="160"/>
      <c r="Z628" s="160"/>
      <c r="AA628" s="160"/>
      <c r="AB628" s="471" t="s">
        <v>449</v>
      </c>
    </row>
    <row r="629" spans="1:34" ht="12.6" customHeight="1" x14ac:dyDescent="0.2">
      <c r="A629" s="212"/>
      <c r="B629" s="877" t="s">
        <v>568</v>
      </c>
      <c r="C629" s="722"/>
      <c r="D629" s="722"/>
      <c r="E629" s="722"/>
      <c r="F629" s="355">
        <v>21780</v>
      </c>
      <c r="G629" s="306">
        <f t="shared" ref="G629:G630" si="1493">+F629*$X$1</f>
        <v>21780</v>
      </c>
      <c r="H629" s="340">
        <f>F629+2400</f>
        <v>24180</v>
      </c>
      <c r="I629" s="306">
        <f t="shared" ref="I629" si="1494">+H629*$X$1</f>
        <v>24180</v>
      </c>
      <c r="J629" s="340">
        <f t="shared" si="1484"/>
        <v>22280</v>
      </c>
      <c r="K629" s="306">
        <f t="shared" si="1485"/>
        <v>22280</v>
      </c>
      <c r="L629" s="340">
        <f>F629+250</f>
        <v>22030</v>
      </c>
      <c r="M629" s="306">
        <f t="shared" ref="M629:M630" si="1495">+L629*$X$1</f>
        <v>22030</v>
      </c>
      <c r="N629" s="340">
        <f>F629+100</f>
        <v>21880</v>
      </c>
      <c r="O629" s="306">
        <f t="shared" ref="O629:O630" si="1496">+N629*$X$1</f>
        <v>21880</v>
      </c>
      <c r="P629" s="340">
        <f>F629+80</f>
        <v>21860</v>
      </c>
      <c r="Q629" s="306">
        <f t="shared" ref="Q629:Q630" si="1497">+P629*$X$1</f>
        <v>21860</v>
      </c>
      <c r="R629" s="340">
        <f>F629+60</f>
        <v>21840</v>
      </c>
      <c r="S629" s="306">
        <f t="shared" ref="S629:S630" si="1498">+R629*$X$1</f>
        <v>21840</v>
      </c>
      <c r="T629" s="340">
        <f>F629+50</f>
        <v>21830</v>
      </c>
      <c r="U629" s="306">
        <f t="shared" ref="U629:U635" si="1499">+T629*$X$1</f>
        <v>21830</v>
      </c>
      <c r="V629" s="340"/>
      <c r="W629" s="306"/>
      <c r="X629" s="331"/>
      <c r="Y629" s="331"/>
      <c r="Z629" s="331"/>
      <c r="AA629" s="331"/>
      <c r="AB629" s="471" t="s">
        <v>570</v>
      </c>
    </row>
    <row r="630" spans="1:34" ht="12.6" customHeight="1" x14ac:dyDescent="0.2">
      <c r="A630" s="212"/>
      <c r="B630" s="875" t="s">
        <v>814</v>
      </c>
      <c r="C630" s="676"/>
      <c r="D630" s="676"/>
      <c r="E630" s="676"/>
      <c r="F630" s="354">
        <v>16570</v>
      </c>
      <c r="G630" s="307">
        <f t="shared" si="1493"/>
        <v>16570</v>
      </c>
      <c r="H630" s="536">
        <f>F630+2400</f>
        <v>18970</v>
      </c>
      <c r="I630" s="307">
        <f t="shared" ref="I630" si="1500">+H630*$X$1</f>
        <v>18970</v>
      </c>
      <c r="J630" s="536">
        <f t="shared" ref="J630" si="1501">F630+500</f>
        <v>17070</v>
      </c>
      <c r="K630" s="307">
        <f t="shared" ref="K630" si="1502">+J630*$X$1</f>
        <v>17070</v>
      </c>
      <c r="L630" s="536">
        <f>F630+250</f>
        <v>16820</v>
      </c>
      <c r="M630" s="307">
        <f t="shared" si="1495"/>
        <v>16820</v>
      </c>
      <c r="N630" s="536">
        <f>F630+100</f>
        <v>16670</v>
      </c>
      <c r="O630" s="307">
        <f t="shared" si="1496"/>
        <v>16670</v>
      </c>
      <c r="P630" s="536">
        <f>F630+80</f>
        <v>16650</v>
      </c>
      <c r="Q630" s="307">
        <f t="shared" si="1497"/>
        <v>16650</v>
      </c>
      <c r="R630" s="536">
        <f>F630+60</f>
        <v>16630</v>
      </c>
      <c r="S630" s="307">
        <f t="shared" si="1498"/>
        <v>16630</v>
      </c>
      <c r="T630" s="536">
        <f>F630+50</f>
        <v>16620</v>
      </c>
      <c r="U630" s="307">
        <f t="shared" si="1499"/>
        <v>16620</v>
      </c>
      <c r="V630" s="536"/>
      <c r="W630" s="307"/>
      <c r="X630" s="538"/>
      <c r="Y630" s="538"/>
      <c r="Z630" s="538"/>
      <c r="AA630" s="538"/>
      <c r="AB630" s="471" t="s">
        <v>815</v>
      </c>
    </row>
    <row r="631" spans="1:34" ht="12.6" customHeight="1" x14ac:dyDescent="0.2">
      <c r="A631" s="212"/>
      <c r="B631" s="877" t="s">
        <v>445</v>
      </c>
      <c r="C631" s="722"/>
      <c r="D631" s="722"/>
      <c r="E631" s="722"/>
      <c r="F631" s="355">
        <v>16540</v>
      </c>
      <c r="G631" s="306">
        <f t="shared" si="1487"/>
        <v>16540</v>
      </c>
      <c r="H631" s="279"/>
      <c r="I631" s="279"/>
      <c r="J631" s="340">
        <f t="shared" si="1484"/>
        <v>17040</v>
      </c>
      <c r="K631" s="306">
        <f t="shared" ref="K631:K635" si="1503">+J631*$X$1</f>
        <v>17040</v>
      </c>
      <c r="L631" s="105">
        <f>F631+410</f>
        <v>16950</v>
      </c>
      <c r="M631" s="329">
        <f>+L631*$X$1</f>
        <v>16950</v>
      </c>
      <c r="N631" s="105">
        <f>F631+370</f>
        <v>16910</v>
      </c>
      <c r="O631" s="329">
        <f>+N631*$X$1</f>
        <v>16910</v>
      </c>
      <c r="P631" s="105">
        <f>F631+330</f>
        <v>16870</v>
      </c>
      <c r="Q631" s="329">
        <f>+P631*$X$1</f>
        <v>16870</v>
      </c>
      <c r="R631" s="105">
        <f>F631+290</f>
        <v>16830</v>
      </c>
      <c r="S631" s="329">
        <f>+R631*$X$1</f>
        <v>16830</v>
      </c>
      <c r="T631" s="340">
        <f>F631+240</f>
        <v>16780</v>
      </c>
      <c r="U631" s="306">
        <f t="shared" si="1499"/>
        <v>16780</v>
      </c>
      <c r="V631" s="333"/>
      <c r="W631" s="306"/>
      <c r="X631" s="160"/>
      <c r="Y631" s="160"/>
      <c r="Z631" s="160"/>
      <c r="AA631" s="160"/>
      <c r="AB631" s="471" t="s">
        <v>448</v>
      </c>
    </row>
    <row r="632" spans="1:34" ht="12.6" customHeight="1" x14ac:dyDescent="0.2">
      <c r="A632" s="212"/>
      <c r="B632" s="875" t="s">
        <v>571</v>
      </c>
      <c r="C632" s="676"/>
      <c r="D632" s="676"/>
      <c r="E632" s="676"/>
      <c r="F632" s="418">
        <f>15.287*X2</f>
        <v>14843.677000000001</v>
      </c>
      <c r="G632" s="307">
        <f t="shared" ref="G632" si="1504">+F632*$X$1</f>
        <v>14843.677000000001</v>
      </c>
      <c r="H632" s="276"/>
      <c r="I632" s="276"/>
      <c r="J632" s="548">
        <f t="shared" si="1484"/>
        <v>15343.677000000001</v>
      </c>
      <c r="K632" s="307">
        <f t="shared" si="1503"/>
        <v>15343.677000000001</v>
      </c>
      <c r="L632" s="104">
        <f>F632+410</f>
        <v>15253.677000000001</v>
      </c>
      <c r="M632" s="343">
        <f>+L632*$X$1</f>
        <v>15253.677000000001</v>
      </c>
      <c r="N632" s="104">
        <f>F632+370</f>
        <v>15213.677000000001</v>
      </c>
      <c r="O632" s="343">
        <f>+N632*$X$1</f>
        <v>15213.677000000001</v>
      </c>
      <c r="P632" s="104">
        <f>F632+330</f>
        <v>15173.677000000001</v>
      </c>
      <c r="Q632" s="343">
        <f>+P632*$X$1</f>
        <v>15173.677000000001</v>
      </c>
      <c r="R632" s="104">
        <f>F632+290</f>
        <v>15133.677000000001</v>
      </c>
      <c r="S632" s="343">
        <f>+R632*$X$1</f>
        <v>15133.677000000001</v>
      </c>
      <c r="T632" s="548">
        <f>F632+240</f>
        <v>15083.677000000001</v>
      </c>
      <c r="U632" s="307">
        <f t="shared" si="1499"/>
        <v>15083.677000000001</v>
      </c>
      <c r="V632" s="620"/>
      <c r="W632" s="307"/>
      <c r="X632" s="334"/>
      <c r="Y632" s="334"/>
      <c r="Z632" s="334"/>
      <c r="AA632" s="334"/>
      <c r="AB632" s="471" t="s">
        <v>710</v>
      </c>
    </row>
    <row r="633" spans="1:34" ht="12.6" customHeight="1" x14ac:dyDescent="0.2">
      <c r="A633" s="212"/>
      <c r="B633" s="877" t="s">
        <v>496</v>
      </c>
      <c r="C633" s="722"/>
      <c r="D633" s="722"/>
      <c r="E633" s="722"/>
      <c r="F633" s="417">
        <f>8.7*X2</f>
        <v>8447.6999999999989</v>
      </c>
      <c r="G633" s="306">
        <f t="shared" si="1487"/>
        <v>8447.6999999999989</v>
      </c>
      <c r="H633" s="279"/>
      <c r="I633" s="279"/>
      <c r="J633" s="340">
        <f t="shared" si="1484"/>
        <v>8947.6999999999989</v>
      </c>
      <c r="K633" s="306">
        <f t="shared" si="1503"/>
        <v>8947.6999999999989</v>
      </c>
      <c r="L633" s="105">
        <f>F633+410</f>
        <v>8857.6999999999989</v>
      </c>
      <c r="M633" s="329">
        <f>+L633*$X$1</f>
        <v>8857.6999999999989</v>
      </c>
      <c r="N633" s="105">
        <f>F633+370</f>
        <v>8817.6999999999989</v>
      </c>
      <c r="O633" s="329">
        <f>+N633*$X$1</f>
        <v>8817.6999999999989</v>
      </c>
      <c r="P633" s="105">
        <f>F633+330</f>
        <v>8777.6999999999989</v>
      </c>
      <c r="Q633" s="329">
        <f>+P633*$X$1</f>
        <v>8777.6999999999989</v>
      </c>
      <c r="R633" s="105">
        <f>F633+290</f>
        <v>8737.6999999999989</v>
      </c>
      <c r="S633" s="329">
        <f>+R633*$X$1</f>
        <v>8737.6999999999989</v>
      </c>
      <c r="T633" s="340">
        <f>F633+240</f>
        <v>8687.6999999999989</v>
      </c>
      <c r="U633" s="306">
        <f t="shared" si="1499"/>
        <v>8687.6999999999989</v>
      </c>
      <c r="V633" s="340"/>
      <c r="W633" s="306"/>
      <c r="X633" s="160"/>
      <c r="Y633" s="160"/>
      <c r="Z633" s="160"/>
      <c r="AA633" s="160"/>
      <c r="AB633" s="471" t="s">
        <v>687</v>
      </c>
    </row>
    <row r="634" spans="1:34" ht="12.6" customHeight="1" x14ac:dyDescent="0.2">
      <c r="A634" s="212"/>
      <c r="B634" s="875" t="s">
        <v>713</v>
      </c>
      <c r="C634" s="676"/>
      <c r="D634" s="676"/>
      <c r="E634" s="676"/>
      <c r="F634" s="418">
        <f>14.53*X2</f>
        <v>14108.63</v>
      </c>
      <c r="G634" s="307">
        <f t="shared" ref="G634" si="1505">+F634*$X$1</f>
        <v>14108.63</v>
      </c>
      <c r="H634" s="276"/>
      <c r="I634" s="276"/>
      <c r="J634" s="536">
        <f t="shared" si="1484"/>
        <v>14608.63</v>
      </c>
      <c r="K634" s="307">
        <f t="shared" si="1503"/>
        <v>14608.63</v>
      </c>
      <c r="L634" s="104">
        <f>F634+410</f>
        <v>14518.63</v>
      </c>
      <c r="M634" s="343">
        <f>+L634*$X$1</f>
        <v>14518.63</v>
      </c>
      <c r="N634" s="104">
        <f>F634+370</f>
        <v>14478.63</v>
      </c>
      <c r="O634" s="343">
        <f>+N634*$X$1</f>
        <v>14478.63</v>
      </c>
      <c r="P634" s="104">
        <f>F634+330</f>
        <v>14438.63</v>
      </c>
      <c r="Q634" s="343">
        <f>+P634*$X$1</f>
        <v>14438.63</v>
      </c>
      <c r="R634" s="104">
        <f>F634+290</f>
        <v>14398.63</v>
      </c>
      <c r="S634" s="343">
        <f>+R634*$X$1</f>
        <v>14398.63</v>
      </c>
      <c r="T634" s="536">
        <f>F634+240</f>
        <v>14348.63</v>
      </c>
      <c r="U634" s="307">
        <f t="shared" si="1499"/>
        <v>14348.63</v>
      </c>
      <c r="V634" s="536"/>
      <c r="W634" s="307"/>
      <c r="X634" s="439"/>
      <c r="Y634" s="439"/>
      <c r="Z634" s="439"/>
      <c r="AA634" s="439"/>
      <c r="AB634" s="471" t="s">
        <v>688</v>
      </c>
    </row>
    <row r="635" spans="1:34" ht="12.6" customHeight="1" x14ac:dyDescent="0.2">
      <c r="A635" s="212"/>
      <c r="B635" s="877" t="s">
        <v>495</v>
      </c>
      <c r="C635" s="722"/>
      <c r="D635" s="722"/>
      <c r="E635" s="722"/>
      <c r="F635" s="417">
        <f>10.53*X2</f>
        <v>10224.629999999999</v>
      </c>
      <c r="G635" s="306">
        <f t="shared" ref="G635" si="1506">+F635*$X$1</f>
        <v>10224.629999999999</v>
      </c>
      <c r="H635" s="279"/>
      <c r="I635" s="279"/>
      <c r="J635" s="340">
        <f t="shared" si="1484"/>
        <v>10724.63</v>
      </c>
      <c r="K635" s="306">
        <f t="shared" si="1503"/>
        <v>10724.63</v>
      </c>
      <c r="L635" s="105">
        <f>F635+410</f>
        <v>10634.63</v>
      </c>
      <c r="M635" s="329">
        <f>+L635*$X$1</f>
        <v>10634.63</v>
      </c>
      <c r="N635" s="105">
        <f>F635+370</f>
        <v>10594.63</v>
      </c>
      <c r="O635" s="329">
        <f>+N635*$X$1</f>
        <v>10594.63</v>
      </c>
      <c r="P635" s="105">
        <f>F635+330</f>
        <v>10554.63</v>
      </c>
      <c r="Q635" s="329">
        <f>+P635*$X$1</f>
        <v>10554.63</v>
      </c>
      <c r="R635" s="105">
        <f>F635+290</f>
        <v>10514.63</v>
      </c>
      <c r="S635" s="329">
        <f>+R635*$X$1</f>
        <v>10514.63</v>
      </c>
      <c r="T635" s="340">
        <f>F635+240</f>
        <v>10464.629999999999</v>
      </c>
      <c r="U635" s="306">
        <f t="shared" si="1499"/>
        <v>10464.629999999999</v>
      </c>
      <c r="V635" s="340"/>
      <c r="W635" s="306"/>
      <c r="X635" s="160"/>
      <c r="Y635" s="160"/>
      <c r="Z635" s="160"/>
      <c r="AA635" s="160"/>
      <c r="AB635" s="471" t="s">
        <v>689</v>
      </c>
    </row>
    <row r="636" spans="1:34" ht="12.6" customHeight="1" x14ac:dyDescent="0.2">
      <c r="A636" s="212"/>
      <c r="B636" s="112"/>
      <c r="C636" s="475"/>
      <c r="D636" s="475"/>
      <c r="E636" s="475"/>
      <c r="F636" s="479"/>
      <c r="G636" s="360"/>
      <c r="H636" s="122"/>
      <c r="I636" s="360"/>
      <c r="J636" s="122"/>
      <c r="K636" s="360"/>
      <c r="L636" s="122"/>
      <c r="M636" s="360"/>
      <c r="N636" s="122"/>
      <c r="O636" s="360"/>
      <c r="P636" s="122"/>
      <c r="Q636" s="360"/>
      <c r="R636" s="122"/>
      <c r="S636" s="360"/>
      <c r="T636" s="122"/>
      <c r="U636" s="360"/>
      <c r="V636" s="76"/>
      <c r="W636" s="478"/>
      <c r="X636" s="476"/>
      <c r="Y636" s="476"/>
      <c r="Z636" s="476"/>
      <c r="AA636" s="476"/>
      <c r="AB636" s="480"/>
    </row>
    <row r="637" spans="1:34" ht="12.6" customHeight="1" x14ac:dyDescent="0.2">
      <c r="A637" s="212"/>
      <c r="B637" s="112"/>
      <c r="C637" s="556"/>
      <c r="D637" s="556"/>
      <c r="E637" s="556"/>
      <c r="F637" s="479"/>
      <c r="G637" s="360"/>
      <c r="H637" s="122"/>
      <c r="I637" s="360"/>
      <c r="J637" s="122"/>
      <c r="K637" s="360"/>
      <c r="L637" s="122"/>
      <c r="M637" s="360"/>
      <c r="N637" s="122"/>
      <c r="O637" s="360"/>
      <c r="P637" s="122"/>
      <c r="Q637" s="360"/>
      <c r="R637" s="122"/>
      <c r="S637" s="360"/>
      <c r="T637" s="122"/>
      <c r="U637" s="360"/>
      <c r="V637" s="76"/>
      <c r="W637" s="561"/>
      <c r="X637" s="558"/>
      <c r="Y637" s="558"/>
      <c r="Z637" s="558"/>
      <c r="AA637" s="558"/>
      <c r="AB637" s="480"/>
    </row>
    <row r="638" spans="1:34" ht="12.6" customHeight="1" x14ac:dyDescent="0.2">
      <c r="A638" s="212"/>
      <c r="B638" s="112"/>
      <c r="C638" s="539"/>
      <c r="D638" s="539"/>
      <c r="E638" s="539"/>
      <c r="F638" s="479"/>
      <c r="G638" s="360"/>
      <c r="H638" s="122"/>
      <c r="I638" s="360"/>
      <c r="J638" s="122"/>
      <c r="K638" s="360"/>
      <c r="L638" s="122"/>
      <c r="M638" s="360"/>
      <c r="N638" s="122"/>
      <c r="O638" s="360"/>
      <c r="P638" s="122"/>
      <c r="Q638" s="360"/>
      <c r="R638" s="122"/>
      <c r="S638" s="360"/>
      <c r="T638" s="122"/>
      <c r="U638" s="360"/>
      <c r="V638" s="76"/>
      <c r="W638" s="535"/>
      <c r="X638" s="537"/>
      <c r="Y638" s="537"/>
      <c r="Z638" s="537"/>
      <c r="AA638" s="537"/>
      <c r="AB638" s="480"/>
    </row>
    <row r="639" spans="1:34" ht="12.6" customHeight="1" x14ac:dyDescent="0.2">
      <c r="A639" s="212"/>
      <c r="B639" s="112"/>
      <c r="C639" s="475"/>
      <c r="D639" s="475"/>
      <c r="E639" s="475"/>
      <c r="F639" s="479"/>
      <c r="G639" s="360"/>
      <c r="H639" s="122"/>
      <c r="I639" s="360"/>
      <c r="J639" s="122"/>
      <c r="K639" s="360"/>
      <c r="L639" s="122"/>
      <c r="M639" s="360"/>
      <c r="N639" s="122"/>
      <c r="O639" s="360"/>
      <c r="P639" s="122"/>
      <c r="Q639" s="360"/>
      <c r="R639" s="122"/>
      <c r="S639" s="360"/>
      <c r="T639" s="122"/>
      <c r="U639" s="360"/>
      <c r="V639" s="76"/>
      <c r="W639" s="478"/>
      <c r="X639" s="476"/>
      <c r="Y639" s="476"/>
      <c r="Z639" s="476"/>
      <c r="AA639" s="476"/>
      <c r="AB639" s="480"/>
    </row>
    <row r="640" spans="1:34" ht="20.25" customHeight="1" x14ac:dyDescent="0.2">
      <c r="A640" s="28"/>
      <c r="B640" s="1060" t="s">
        <v>329</v>
      </c>
      <c r="C640" s="1061"/>
      <c r="D640" s="1061"/>
      <c r="E640" s="1061"/>
      <c r="F640" s="1061"/>
      <c r="G640" s="1061"/>
      <c r="H640" s="1061"/>
      <c r="I640" s="1061"/>
      <c r="J640" s="1061"/>
      <c r="K640" s="1061"/>
      <c r="L640" s="1061"/>
      <c r="M640" s="1061"/>
      <c r="N640" s="1061"/>
      <c r="O640" s="1061"/>
      <c r="P640" s="1061"/>
      <c r="Q640" s="1061"/>
      <c r="R640" s="1061"/>
      <c r="S640" s="1061"/>
      <c r="T640" s="1061"/>
      <c r="U640" s="1061"/>
      <c r="V640" s="1061"/>
      <c r="W640" s="1062"/>
      <c r="AF640" s="628"/>
      <c r="AG640" s="629"/>
      <c r="AH640" s="629"/>
    </row>
    <row r="641" spans="1:35" ht="12.6" customHeight="1" x14ac:dyDescent="0.2">
      <c r="A641" s="18"/>
      <c r="B641" s="941"/>
      <c r="C641" s="942"/>
      <c r="D641" s="942"/>
      <c r="E641" s="942"/>
      <c r="F641" s="942"/>
      <c r="G641" s="943"/>
      <c r="H641" s="598"/>
      <c r="I641" s="599" t="s">
        <v>301</v>
      </c>
      <c r="J641" s="599"/>
      <c r="K641" s="599" t="s">
        <v>17</v>
      </c>
      <c r="L641" s="599"/>
      <c r="M641" s="599" t="s">
        <v>18</v>
      </c>
      <c r="N641" s="599"/>
      <c r="O641" s="599" t="s">
        <v>19</v>
      </c>
      <c r="P641" s="599"/>
      <c r="Q641" s="599" t="s">
        <v>303</v>
      </c>
      <c r="R641" s="599"/>
      <c r="S641" s="599" t="s">
        <v>20</v>
      </c>
      <c r="T641" s="599"/>
      <c r="U641" s="599" t="s">
        <v>21</v>
      </c>
      <c r="V641" s="599"/>
      <c r="W641" s="599" t="s">
        <v>22</v>
      </c>
    </row>
    <row r="642" spans="1:35" ht="12.6" customHeight="1" x14ac:dyDescent="0.2">
      <c r="A642" s="934"/>
      <c r="B642" s="919" t="s">
        <v>539</v>
      </c>
      <c r="C642" s="920"/>
      <c r="D642" s="920"/>
      <c r="E642" s="920"/>
      <c r="F642" s="920"/>
      <c r="G642" s="921"/>
      <c r="H642" s="315"/>
      <c r="I642" s="440"/>
      <c r="J642" s="441"/>
      <c r="K642" s="398"/>
      <c r="L642" s="314">
        <v>50</v>
      </c>
      <c r="M642" s="398">
        <f>+L642*$X$1</f>
        <v>50</v>
      </c>
      <c r="N642" s="548">
        <v>40</v>
      </c>
      <c r="O642" s="398">
        <f>+N642*$X$1</f>
        <v>40</v>
      </c>
      <c r="P642" s="548">
        <v>35</v>
      </c>
      <c r="Q642" s="398">
        <f>+P642*$X$1</f>
        <v>35</v>
      </c>
      <c r="R642" s="548">
        <v>31</v>
      </c>
      <c r="S642" s="398">
        <f>+R642*$X$1</f>
        <v>31</v>
      </c>
      <c r="T642" s="548">
        <v>28</v>
      </c>
      <c r="U642" s="399">
        <f>+T642*$X$1</f>
        <v>28</v>
      </c>
      <c r="V642" s="548">
        <v>25</v>
      </c>
      <c r="W642" s="398">
        <f>+V642*$X$1</f>
        <v>25</v>
      </c>
    </row>
    <row r="643" spans="1:35" ht="12.6" customHeight="1" x14ac:dyDescent="0.2">
      <c r="A643" s="934"/>
      <c r="B643" s="915" t="s">
        <v>330</v>
      </c>
      <c r="C643" s="916"/>
      <c r="D643" s="916"/>
      <c r="E643" s="916"/>
      <c r="F643" s="916"/>
      <c r="G643" s="917"/>
      <c r="H643" s="76"/>
      <c r="I643" s="442"/>
      <c r="J643" s="443">
        <v>120</v>
      </c>
      <c r="K643" s="400">
        <f>+J643*$X$1</f>
        <v>120</v>
      </c>
      <c r="L643" s="444">
        <v>90</v>
      </c>
      <c r="M643" s="445">
        <f>+L643*$X$1</f>
        <v>90</v>
      </c>
      <c r="N643" s="116">
        <v>70</v>
      </c>
      <c r="O643" s="445">
        <f>+N643*$X$1</f>
        <v>70</v>
      </c>
      <c r="P643" s="116">
        <v>60</v>
      </c>
      <c r="Q643" s="445">
        <f>+P643*$X$1</f>
        <v>60</v>
      </c>
      <c r="R643" s="116">
        <v>50</v>
      </c>
      <c r="S643" s="445">
        <f>+R643*$X$1</f>
        <v>50</v>
      </c>
      <c r="T643" s="116">
        <v>45</v>
      </c>
      <c r="U643" s="445">
        <f>+T643*$X$1</f>
        <v>45</v>
      </c>
      <c r="V643" s="116">
        <v>40</v>
      </c>
      <c r="W643" s="445">
        <f>+V643*$X$1</f>
        <v>40</v>
      </c>
    </row>
    <row r="644" spans="1:35" ht="12.6" customHeight="1" x14ac:dyDescent="0.2">
      <c r="A644" s="934"/>
      <c r="B644" s="919" t="s">
        <v>540</v>
      </c>
      <c r="C644" s="920"/>
      <c r="D644" s="920"/>
      <c r="E644" s="920"/>
      <c r="F644" s="920"/>
      <c r="G644" s="921"/>
      <c r="H644" s="314"/>
      <c r="I644" s="398"/>
      <c r="J644" s="314"/>
      <c r="K644" s="398"/>
      <c r="L644" s="314">
        <v>75</v>
      </c>
      <c r="M644" s="398">
        <f>+L644*$X$1</f>
        <v>75</v>
      </c>
      <c r="N644" s="548">
        <v>60</v>
      </c>
      <c r="O644" s="398">
        <f>+N644*$X$1</f>
        <v>60</v>
      </c>
      <c r="P644" s="548">
        <v>55</v>
      </c>
      <c r="Q644" s="398">
        <f>+P644*$X$1</f>
        <v>55</v>
      </c>
      <c r="R644" s="548">
        <v>50</v>
      </c>
      <c r="S644" s="398">
        <f>+R644*$X$1</f>
        <v>50</v>
      </c>
      <c r="T644" s="548">
        <v>46</v>
      </c>
      <c r="U644" s="399">
        <f>+T644*$X$1</f>
        <v>46</v>
      </c>
      <c r="V644" s="548">
        <v>42</v>
      </c>
      <c r="W644" s="398">
        <f>+V644*$X$1</f>
        <v>42</v>
      </c>
    </row>
    <row r="645" spans="1:35" ht="12.6" customHeight="1" x14ac:dyDescent="0.2">
      <c r="A645" s="934"/>
      <c r="B645" s="1065" t="s">
        <v>538</v>
      </c>
      <c r="C645" s="1066"/>
      <c r="D645" s="1066"/>
      <c r="E645" s="1066"/>
      <c r="F645" s="1066"/>
      <c r="G645" s="1067"/>
      <c r="H645" s="446">
        <v>290</v>
      </c>
      <c r="I645" s="400">
        <f>+H645*$X$1</f>
        <v>290</v>
      </c>
      <c r="J645" s="446">
        <v>150</v>
      </c>
      <c r="K645" s="400">
        <f>+J645*$X$1</f>
        <v>150</v>
      </c>
      <c r="L645" s="446">
        <v>120</v>
      </c>
      <c r="M645" s="400">
        <f>+L645*$X$1</f>
        <v>120</v>
      </c>
      <c r="N645" s="581">
        <v>100</v>
      </c>
      <c r="O645" s="400">
        <f>+N645*$X$1</f>
        <v>100</v>
      </c>
      <c r="P645" s="581">
        <v>85</v>
      </c>
      <c r="Q645" s="400">
        <f>+P645*$X$1</f>
        <v>85</v>
      </c>
      <c r="R645" s="581">
        <v>78</v>
      </c>
      <c r="S645" s="400">
        <f>+R645*$X$1</f>
        <v>78</v>
      </c>
      <c r="T645" s="581">
        <v>73</v>
      </c>
      <c r="U645" s="445">
        <f>+T645*$X$1</f>
        <v>73</v>
      </c>
      <c r="V645" s="581">
        <v>68</v>
      </c>
      <c r="W645" s="400">
        <f>+V645*$X$1</f>
        <v>68</v>
      </c>
    </row>
    <row r="646" spans="1:35" ht="12.75" customHeight="1" x14ac:dyDescent="0.2">
      <c r="A646" s="934"/>
      <c r="B646" s="1072" t="s">
        <v>913</v>
      </c>
      <c r="C646" s="1073"/>
      <c r="D646" s="1073"/>
      <c r="E646" s="1073"/>
      <c r="F646" s="1073"/>
      <c r="G646" s="1073"/>
      <c r="H646" s="1073"/>
      <c r="I646" s="1073"/>
      <c r="J646" s="1073"/>
      <c r="K646" s="1073"/>
      <c r="L646" s="1073"/>
      <c r="M646" s="1073"/>
      <c r="N646" s="1073"/>
      <c r="O646" s="1073"/>
      <c r="P646" s="1073"/>
      <c r="Q646" s="1073"/>
      <c r="R646" s="1073"/>
      <c r="S646" s="1073"/>
      <c r="T646" s="1073"/>
      <c r="U646" s="1073"/>
      <c r="V646" s="1073"/>
      <c r="W646" s="1074"/>
    </row>
    <row r="647" spans="1:35" ht="13.5" customHeight="1" x14ac:dyDescent="0.2">
      <c r="A647" s="934"/>
      <c r="B647" s="1103" t="s">
        <v>612</v>
      </c>
      <c r="C647" s="1078"/>
      <c r="D647" s="1078"/>
      <c r="E647" s="1078"/>
      <c r="F647" s="1078"/>
      <c r="G647" s="1104"/>
      <c r="H647" s="1012"/>
      <c r="I647" s="922" t="s">
        <v>301</v>
      </c>
      <c r="J647" s="1012"/>
      <c r="K647" s="922" t="s">
        <v>17</v>
      </c>
      <c r="L647" s="922"/>
      <c r="M647" s="922" t="s">
        <v>18</v>
      </c>
      <c r="N647" s="922"/>
      <c r="O647" s="922" t="s">
        <v>19</v>
      </c>
      <c r="P647" s="922"/>
      <c r="Q647" s="922" t="s">
        <v>303</v>
      </c>
      <c r="R647" s="922"/>
      <c r="S647" s="922" t="s">
        <v>20</v>
      </c>
      <c r="T647" s="922"/>
      <c r="U647" s="922" t="s">
        <v>21</v>
      </c>
      <c r="V647" s="922"/>
      <c r="W647" s="922" t="s">
        <v>22</v>
      </c>
    </row>
    <row r="648" spans="1:35" ht="11.25" customHeight="1" x14ac:dyDescent="0.2">
      <c r="A648" s="934"/>
      <c r="B648" s="1081"/>
      <c r="C648" s="1082"/>
      <c r="D648" s="1082"/>
      <c r="E648" s="1082"/>
      <c r="F648" s="1082"/>
      <c r="G648" s="1105"/>
      <c r="H648" s="1013"/>
      <c r="I648" s="924"/>
      <c r="J648" s="1013"/>
      <c r="K648" s="924"/>
      <c r="L648" s="923"/>
      <c r="M648" s="923"/>
      <c r="N648" s="923"/>
      <c r="O648" s="923"/>
      <c r="P648" s="923"/>
      <c r="Q648" s="923"/>
      <c r="R648" s="923"/>
      <c r="S648" s="923"/>
      <c r="T648" s="923"/>
      <c r="U648" s="923"/>
      <c r="V648" s="923"/>
      <c r="W648" s="923"/>
      <c r="AB648" s="60"/>
      <c r="AC648" s="60"/>
      <c r="AD648" s="60"/>
      <c r="AE648" s="60"/>
      <c r="AF648" s="60"/>
      <c r="AG648" s="60"/>
      <c r="AH648" s="60"/>
      <c r="AI648" s="60"/>
    </row>
    <row r="649" spans="1:35" ht="12.6" customHeight="1" x14ac:dyDescent="0.2">
      <c r="A649" s="934"/>
      <c r="B649" s="938" t="s">
        <v>610</v>
      </c>
      <c r="C649" s="939"/>
      <c r="D649" s="939"/>
      <c r="E649" s="939"/>
      <c r="F649" s="939"/>
      <c r="G649" s="940"/>
      <c r="H649" s="316">
        <v>510</v>
      </c>
      <c r="I649" s="401">
        <f>+H649*$X$1</f>
        <v>510</v>
      </c>
      <c r="J649" s="90">
        <v>410</v>
      </c>
      <c r="K649" s="401">
        <f>+J649*$X$1</f>
        <v>410</v>
      </c>
      <c r="L649" s="548">
        <v>360</v>
      </c>
      <c r="M649" s="398">
        <f>+L649*$X$1</f>
        <v>360</v>
      </c>
      <c r="N649" s="548">
        <v>320</v>
      </c>
      <c r="O649" s="398">
        <f>+N649*$X$1</f>
        <v>320</v>
      </c>
      <c r="P649" s="548">
        <v>270</v>
      </c>
      <c r="Q649" s="398">
        <f>+P649*$X$1</f>
        <v>270</v>
      </c>
      <c r="R649" s="548">
        <v>250</v>
      </c>
      <c r="S649" s="398">
        <f>+R649*$X$1</f>
        <v>250</v>
      </c>
      <c r="T649" s="548">
        <v>230</v>
      </c>
      <c r="U649" s="398">
        <f>+T649*$X$1</f>
        <v>230</v>
      </c>
      <c r="V649" s="548">
        <v>220</v>
      </c>
      <c r="W649" s="398">
        <f>+V649*$X$1</f>
        <v>220</v>
      </c>
    </row>
    <row r="650" spans="1:35" ht="12.6" customHeight="1" x14ac:dyDescent="0.2">
      <c r="A650" s="934"/>
      <c r="B650" s="935" t="s">
        <v>607</v>
      </c>
      <c r="C650" s="936"/>
      <c r="D650" s="936"/>
      <c r="E650" s="936"/>
      <c r="F650" s="936"/>
      <c r="G650" s="937"/>
      <c r="H650" s="93">
        <v>570</v>
      </c>
      <c r="I650" s="447">
        <f>+H650*$X$1</f>
        <v>570</v>
      </c>
      <c r="J650" s="72">
        <v>480</v>
      </c>
      <c r="K650" s="447">
        <f>+J650*$X$1</f>
        <v>480</v>
      </c>
      <c r="L650" s="581">
        <v>450</v>
      </c>
      <c r="M650" s="400">
        <f>+L650*$X$1</f>
        <v>450</v>
      </c>
      <c r="N650" s="581">
        <v>410</v>
      </c>
      <c r="O650" s="400">
        <f>+N650*$X$1</f>
        <v>410</v>
      </c>
      <c r="P650" s="581">
        <v>380</v>
      </c>
      <c r="Q650" s="400">
        <f>+P650*$X$1</f>
        <v>380</v>
      </c>
      <c r="R650" s="581">
        <v>350</v>
      </c>
      <c r="S650" s="400">
        <f>+R650*$X$1</f>
        <v>350</v>
      </c>
      <c r="T650" s="581">
        <v>330</v>
      </c>
      <c r="U650" s="400">
        <f>+T650*$X$1</f>
        <v>330</v>
      </c>
      <c r="V650" s="581">
        <v>310</v>
      </c>
      <c r="W650" s="400">
        <f>+V650*$X$1</f>
        <v>310</v>
      </c>
    </row>
    <row r="651" spans="1:35" ht="12.6" customHeight="1" x14ac:dyDescent="0.2">
      <c r="A651" s="934"/>
      <c r="B651" s="938" t="s">
        <v>609</v>
      </c>
      <c r="C651" s="939"/>
      <c r="D651" s="939"/>
      <c r="E651" s="939"/>
      <c r="F651" s="939"/>
      <c r="G651" s="940"/>
      <c r="H651" s="316">
        <v>780</v>
      </c>
      <c r="I651" s="401">
        <f>+H651*$X$1</f>
        <v>780</v>
      </c>
      <c r="J651" s="90">
        <v>700</v>
      </c>
      <c r="K651" s="401">
        <f>+J651*$X$1</f>
        <v>700</v>
      </c>
      <c r="L651" s="548">
        <v>600</v>
      </c>
      <c r="M651" s="398">
        <f>+L651*$X$1</f>
        <v>600</v>
      </c>
      <c r="N651" s="548">
        <v>550</v>
      </c>
      <c r="O651" s="398">
        <f>+N651*$X$1</f>
        <v>550</v>
      </c>
      <c r="P651" s="548">
        <v>510</v>
      </c>
      <c r="Q651" s="398">
        <f>+P651*$X$1</f>
        <v>510</v>
      </c>
      <c r="R651" s="548">
        <v>490</v>
      </c>
      <c r="S651" s="398">
        <f>+R651*$X$1</f>
        <v>490</v>
      </c>
      <c r="T651" s="548">
        <v>480</v>
      </c>
      <c r="U651" s="398">
        <f>+T651*$X$1</f>
        <v>480</v>
      </c>
      <c r="V651" s="548">
        <v>460</v>
      </c>
      <c r="W651" s="398">
        <f>+V651*$X$1</f>
        <v>460</v>
      </c>
    </row>
    <row r="652" spans="1:35" ht="12.6" customHeight="1" x14ac:dyDescent="0.2">
      <c r="A652" s="934"/>
      <c r="B652" s="935" t="s">
        <v>608</v>
      </c>
      <c r="C652" s="936"/>
      <c r="D652" s="936"/>
      <c r="E652" s="936"/>
      <c r="F652" s="936"/>
      <c r="G652" s="937"/>
      <c r="H652" s="93">
        <v>1060</v>
      </c>
      <c r="I652" s="596">
        <f>+H652*$X$1</f>
        <v>1060</v>
      </c>
      <c r="J652" s="72">
        <v>920</v>
      </c>
      <c r="K652" s="597">
        <f>+J652*$X$1</f>
        <v>920</v>
      </c>
      <c r="L652" s="581">
        <v>800</v>
      </c>
      <c r="M652" s="400">
        <f>+L652*$X$1</f>
        <v>800</v>
      </c>
      <c r="N652" s="581">
        <v>740</v>
      </c>
      <c r="O652" s="400">
        <f>+N652*$X$1</f>
        <v>740</v>
      </c>
      <c r="P652" s="581">
        <v>710</v>
      </c>
      <c r="Q652" s="400">
        <f>+P652*$X$1</f>
        <v>710</v>
      </c>
      <c r="R652" s="581">
        <v>690</v>
      </c>
      <c r="S652" s="400">
        <f>+R652*$X$1</f>
        <v>690</v>
      </c>
      <c r="T652" s="581">
        <v>670</v>
      </c>
      <c r="U652" s="400">
        <f>+T652*$X$1</f>
        <v>670</v>
      </c>
      <c r="V652" s="581">
        <v>650</v>
      </c>
      <c r="W652" s="400">
        <f>+V652*$X$1</f>
        <v>650</v>
      </c>
    </row>
    <row r="653" spans="1:35" ht="8.25" customHeight="1" x14ac:dyDescent="0.2">
      <c r="A653" s="212"/>
      <c r="B653" s="213"/>
      <c r="C653" s="213"/>
      <c r="D653" s="213"/>
      <c r="E653" s="213"/>
      <c r="F653" s="214"/>
      <c r="G653" s="214"/>
      <c r="H653" s="76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76"/>
      <c r="W653" s="207"/>
      <c r="X653" s="206"/>
      <c r="Y653" s="206"/>
      <c r="Z653" s="206"/>
      <c r="AA653" s="206"/>
      <c r="AB653" s="216"/>
    </row>
    <row r="654" spans="1:35" ht="13.5" customHeight="1" x14ac:dyDescent="0.2">
      <c r="B654" s="1099" t="s">
        <v>547</v>
      </c>
      <c r="C654" s="1100"/>
      <c r="D654" s="1100"/>
      <c r="E654" s="1100"/>
      <c r="F654" s="1100"/>
      <c r="G654" s="1100"/>
      <c r="H654" s="1100"/>
      <c r="I654" s="1100"/>
      <c r="J654" s="1100"/>
      <c r="K654" s="70" t="s">
        <v>541</v>
      </c>
      <c r="L654" s="71">
        <v>22</v>
      </c>
      <c r="M654" s="397">
        <f>+L654*$X$1</f>
        <v>22</v>
      </c>
      <c r="N654" s="69"/>
      <c r="O654" s="70" t="s">
        <v>542</v>
      </c>
      <c r="P654" s="71">
        <v>20</v>
      </c>
      <c r="Q654" s="397">
        <f>+P654*$X$1</f>
        <v>20</v>
      </c>
      <c r="R654" s="47"/>
      <c r="S654" s="47"/>
      <c r="T654" s="47"/>
      <c r="U654" s="47"/>
      <c r="V654" s="47"/>
      <c r="W654" s="47"/>
    </row>
    <row r="655" spans="1:35" ht="9.75" customHeight="1" x14ac:dyDescent="0.2">
      <c r="B655" s="50"/>
      <c r="C655" s="180"/>
      <c r="D655" s="180"/>
      <c r="E655" s="180"/>
      <c r="F655" s="180"/>
      <c r="G655" s="180"/>
      <c r="H655" s="180"/>
      <c r="I655" s="180"/>
      <c r="J655" s="180"/>
      <c r="K655" s="51"/>
      <c r="L655" s="52"/>
      <c r="M655" s="53"/>
      <c r="N655" s="47"/>
      <c r="O655" s="51"/>
      <c r="P655" s="52"/>
      <c r="Q655" s="53"/>
      <c r="R655" s="47"/>
      <c r="S655" s="47"/>
      <c r="T655" s="47"/>
      <c r="U655" s="47"/>
      <c r="V655" s="47"/>
      <c r="W655" s="47"/>
    </row>
    <row r="656" spans="1:35" x14ac:dyDescent="0.2">
      <c r="B656" s="3"/>
      <c r="C656" s="1097" t="s">
        <v>331</v>
      </c>
      <c r="D656" s="1098"/>
      <c r="E656" s="1098"/>
      <c r="F656" s="1098"/>
      <c r="G656" s="1098"/>
      <c r="H656" s="1098"/>
      <c r="I656" s="1098"/>
      <c r="J656" s="4"/>
      <c r="K656" s="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7"/>
      <c r="W656" s="7"/>
    </row>
    <row r="657" spans="2:34" ht="12.6" customHeight="1" x14ac:dyDescent="0.2">
      <c r="B657" s="3"/>
      <c r="C657" s="1009" t="s">
        <v>332</v>
      </c>
      <c r="D657" s="1010"/>
      <c r="E657" s="1010"/>
      <c r="F657" s="1010"/>
      <c r="G657" s="1011"/>
      <c r="H657" s="481"/>
      <c r="I657" s="477"/>
      <c r="J657" s="4"/>
      <c r="K657" s="4"/>
      <c r="L657" s="37"/>
      <c r="M657" s="3"/>
      <c r="N657" s="3"/>
      <c r="O657" s="3"/>
      <c r="P657" s="3"/>
      <c r="Q657" s="3"/>
      <c r="R657" s="3"/>
      <c r="S657" s="3"/>
      <c r="T657" s="3"/>
      <c r="U657" s="3"/>
      <c r="V657" s="7"/>
      <c r="W657" s="7"/>
    </row>
    <row r="658" spans="2:34" ht="12.6" customHeight="1" x14ac:dyDescent="0.2">
      <c r="B658" s="3"/>
      <c r="C658" s="1094" t="s">
        <v>333</v>
      </c>
      <c r="D658" s="1095"/>
      <c r="E658" s="1095"/>
      <c r="F658" s="1095"/>
      <c r="G658" s="1096"/>
      <c r="H658" s="42"/>
      <c r="I658" s="482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7"/>
      <c r="W658" s="7"/>
    </row>
    <row r="659" spans="2:34" ht="12.6" customHeight="1" x14ac:dyDescent="0.2">
      <c r="B659" s="3"/>
      <c r="C659" s="1094" t="s">
        <v>334</v>
      </c>
      <c r="D659" s="1095"/>
      <c r="E659" s="1095"/>
      <c r="F659" s="1095"/>
      <c r="G659" s="1096"/>
      <c r="H659" s="44"/>
      <c r="I659" s="396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7"/>
      <c r="W659" s="7"/>
    </row>
    <row r="660" spans="2:34" ht="15.95" customHeight="1" x14ac:dyDescent="0.2">
      <c r="B660" s="3"/>
      <c r="C660" s="1077" t="s">
        <v>605</v>
      </c>
      <c r="D660" s="1078"/>
      <c r="E660" s="1078"/>
      <c r="F660" s="1078"/>
      <c r="G660" s="1078"/>
      <c r="H660" s="1079"/>
      <c r="I660" s="1080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7"/>
      <c r="W660" s="7"/>
    </row>
    <row r="661" spans="2:34" ht="15.75" customHeight="1" x14ac:dyDescent="0.2">
      <c r="B661" s="3"/>
      <c r="C661" s="1081"/>
      <c r="D661" s="1082"/>
      <c r="E661" s="1082"/>
      <c r="F661" s="1082"/>
      <c r="G661" s="1082"/>
      <c r="H661" s="1083"/>
      <c r="I661" s="1084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7"/>
      <c r="W661" s="7"/>
    </row>
    <row r="662" spans="2:34" ht="12.6" customHeight="1" thickBot="1" x14ac:dyDescent="0.25">
      <c r="B662" s="4"/>
      <c r="C662" s="49"/>
      <c r="D662" s="49"/>
      <c r="E662" s="49"/>
      <c r="F662" s="49"/>
      <c r="G662" s="49"/>
      <c r="H662" s="43"/>
      <c r="I662" s="369"/>
      <c r="J662" s="4"/>
      <c r="K662" s="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7"/>
      <c r="W662" s="7"/>
    </row>
    <row r="663" spans="2:34" ht="13.5" customHeight="1" x14ac:dyDescent="0.2">
      <c r="B663" s="1106" t="s">
        <v>895</v>
      </c>
      <c r="C663" s="1107"/>
      <c r="D663" s="1107"/>
      <c r="E663" s="1107"/>
      <c r="F663" s="1107"/>
      <c r="G663" s="1107"/>
      <c r="H663" s="1107"/>
      <c r="I663" s="1107"/>
      <c r="J663" s="1107"/>
      <c r="K663" s="1107"/>
      <c r="L663" s="1107"/>
      <c r="M663" s="1107"/>
      <c r="N663" s="1107"/>
      <c r="O663" s="1107"/>
      <c r="P663" s="1107"/>
      <c r="Q663" s="1107"/>
      <c r="R663" s="1107"/>
      <c r="S663" s="1107"/>
      <c r="T663" s="1107"/>
      <c r="U663" s="1107"/>
      <c r="V663" s="1107"/>
      <c r="W663" s="1108"/>
    </row>
    <row r="664" spans="2:34" ht="13.5" customHeight="1" x14ac:dyDescent="0.2">
      <c r="B664" s="1109"/>
      <c r="C664" s="1110"/>
      <c r="D664" s="1110"/>
      <c r="E664" s="1110"/>
      <c r="F664" s="1110"/>
      <c r="G664" s="1110"/>
      <c r="H664" s="1110"/>
      <c r="I664" s="1110"/>
      <c r="J664" s="1110"/>
      <c r="K664" s="1110"/>
      <c r="L664" s="1110"/>
      <c r="M664" s="1110"/>
      <c r="N664" s="1110"/>
      <c r="O664" s="1110"/>
      <c r="P664" s="1110"/>
      <c r="Q664" s="1110"/>
      <c r="R664" s="1110"/>
      <c r="S664" s="1110"/>
      <c r="T664" s="1110"/>
      <c r="U664" s="1110"/>
      <c r="V664" s="1110"/>
      <c r="W664" s="1111"/>
    </row>
    <row r="665" spans="2:34" ht="13.5" customHeight="1" thickBot="1" x14ac:dyDescent="0.25">
      <c r="B665" s="1112"/>
      <c r="C665" s="1113"/>
      <c r="D665" s="1113"/>
      <c r="E665" s="1113"/>
      <c r="F665" s="1113"/>
      <c r="G665" s="1113"/>
      <c r="H665" s="1113"/>
      <c r="I665" s="1113"/>
      <c r="J665" s="1113"/>
      <c r="K665" s="1113"/>
      <c r="L665" s="1113"/>
      <c r="M665" s="1113"/>
      <c r="N665" s="1113"/>
      <c r="O665" s="1113"/>
      <c r="P665" s="1113"/>
      <c r="Q665" s="1113"/>
      <c r="R665" s="1113"/>
      <c r="S665" s="1113"/>
      <c r="T665" s="1113"/>
      <c r="U665" s="1113"/>
      <c r="V665" s="1113"/>
      <c r="W665" s="1114"/>
    </row>
    <row r="666" spans="2:34" ht="12.6" customHeight="1" x14ac:dyDescent="0.2">
      <c r="B666" s="4"/>
      <c r="C666" s="41"/>
      <c r="D666" s="41"/>
      <c r="E666" s="41"/>
      <c r="F666" s="41"/>
      <c r="G666" s="41"/>
      <c r="H666" s="43"/>
      <c r="I666" s="43"/>
      <c r="J666" s="4"/>
      <c r="K666" s="4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7"/>
      <c r="W666" s="7"/>
    </row>
    <row r="667" spans="2:34" ht="23.25" customHeight="1" x14ac:dyDescent="0.2">
      <c r="B667" s="3"/>
      <c r="C667" s="983" t="s">
        <v>711</v>
      </c>
      <c r="D667" s="984"/>
      <c r="E667" s="984"/>
      <c r="F667" s="984"/>
      <c r="G667" s="984"/>
      <c r="H667" s="984"/>
      <c r="I667" s="1068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AF667" s="628" t="s">
        <v>3</v>
      </c>
      <c r="AG667" s="629"/>
      <c r="AH667" s="629"/>
    </row>
    <row r="668" spans="2:34" ht="12.95" customHeight="1" x14ac:dyDescent="0.2">
      <c r="B668" s="3"/>
      <c r="C668" s="1085"/>
      <c r="D668" s="1086"/>
      <c r="E668" s="1086"/>
      <c r="F668" s="1086"/>
      <c r="G668" s="1086"/>
      <c r="H668" s="1086"/>
      <c r="I668" s="1087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7"/>
      <c r="W668" s="7"/>
    </row>
    <row r="669" spans="2:34" ht="12.95" customHeight="1" x14ac:dyDescent="0.2">
      <c r="B669" s="3"/>
      <c r="C669" s="1088"/>
      <c r="D669" s="1089"/>
      <c r="E669" s="1089"/>
      <c r="F669" s="1089"/>
      <c r="G669" s="1089"/>
      <c r="H669" s="1089"/>
      <c r="I669" s="1090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7"/>
      <c r="W669" s="7"/>
    </row>
    <row r="670" spans="2:34" ht="12.95" customHeight="1" x14ac:dyDescent="0.2">
      <c r="B670" s="3"/>
      <c r="C670" s="1088"/>
      <c r="D670" s="1089"/>
      <c r="E670" s="1089"/>
      <c r="F670" s="1089"/>
      <c r="G670" s="1089"/>
      <c r="H670" s="1089"/>
      <c r="I670" s="1090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7"/>
      <c r="W670" s="7"/>
    </row>
    <row r="671" spans="2:34" ht="12.95" customHeight="1" x14ac:dyDescent="0.2">
      <c r="B671" s="3"/>
      <c r="C671" s="1088"/>
      <c r="D671" s="1089"/>
      <c r="E671" s="1089"/>
      <c r="F671" s="1089"/>
      <c r="G671" s="1089"/>
      <c r="H671" s="1089"/>
      <c r="I671" s="1090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7"/>
      <c r="W671" s="7"/>
    </row>
    <row r="672" spans="2:34" ht="12.95" customHeight="1" x14ac:dyDescent="0.2">
      <c r="B672" s="3"/>
      <c r="C672" s="1088"/>
      <c r="D672" s="1089"/>
      <c r="E672" s="1089"/>
      <c r="F672" s="1089"/>
      <c r="G672" s="1089"/>
      <c r="H672" s="1089"/>
      <c r="I672" s="1090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7"/>
      <c r="W672" s="7"/>
    </row>
    <row r="673" spans="2:34" ht="12.95" customHeight="1" x14ac:dyDescent="0.2">
      <c r="B673" s="3"/>
      <c r="C673" s="1088"/>
      <c r="D673" s="1089"/>
      <c r="E673" s="1089"/>
      <c r="F673" s="1089"/>
      <c r="G673" s="1089"/>
      <c r="H673" s="1089"/>
      <c r="I673" s="1090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7"/>
      <c r="W673" s="7"/>
    </row>
    <row r="674" spans="2:34" ht="10.5" customHeight="1" x14ac:dyDescent="0.2">
      <c r="B674" s="3"/>
      <c r="C674" s="1091"/>
      <c r="D674" s="1092"/>
      <c r="E674" s="1092"/>
      <c r="F674" s="1092"/>
      <c r="G674" s="1092"/>
      <c r="H674" s="1092"/>
      <c r="I674" s="109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7"/>
      <c r="W674" s="7"/>
    </row>
    <row r="675" spans="2:34" ht="12.6" customHeight="1" x14ac:dyDescent="0.2">
      <c r="B675" s="3"/>
      <c r="C675" s="1069" t="s">
        <v>439</v>
      </c>
      <c r="D675" s="1069"/>
      <c r="E675" s="1070"/>
      <c r="F675" s="1070"/>
      <c r="G675" s="1071"/>
      <c r="H675" s="44">
        <v>1100</v>
      </c>
      <c r="I675" s="400">
        <f>+H675*$X$1</f>
        <v>1100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7"/>
      <c r="W675" s="7"/>
    </row>
    <row r="676" spans="2:34" ht="12.6" customHeight="1" x14ac:dyDescent="0.2">
      <c r="B676" s="3"/>
      <c r="C676" s="1069" t="s">
        <v>712</v>
      </c>
      <c r="D676" s="1069"/>
      <c r="E676" s="1070"/>
      <c r="F676" s="1070"/>
      <c r="G676" s="1071"/>
      <c r="H676" s="44">
        <v>1000</v>
      </c>
      <c r="I676" s="400">
        <f>+H676*$X$1</f>
        <v>1000</v>
      </c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7"/>
      <c r="W676" s="7"/>
    </row>
    <row r="677" spans="2:34" ht="12.6" customHeight="1" x14ac:dyDescent="0.2">
      <c r="B677" s="3"/>
      <c r="C677" s="48"/>
      <c r="D677" s="46"/>
      <c r="E677" s="46"/>
      <c r="F677" s="46"/>
      <c r="G677" s="41"/>
      <c r="H677" s="43"/>
      <c r="I677" s="4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7"/>
      <c r="W677" s="7"/>
    </row>
    <row r="678" spans="2:34" ht="18" customHeight="1" x14ac:dyDescent="0.2">
      <c r="B678" s="964" t="s">
        <v>606</v>
      </c>
      <c r="C678" s="965"/>
      <c r="D678" s="965"/>
      <c r="E678" s="965"/>
      <c r="F678" s="965"/>
      <c r="G678" s="965"/>
      <c r="H678" s="965"/>
      <c r="I678" s="965"/>
      <c r="J678" s="965"/>
      <c r="K678" s="965"/>
      <c r="L678" s="965"/>
      <c r="M678" s="965"/>
      <c r="N678" s="965"/>
      <c r="O678" s="965"/>
      <c r="P678" s="965"/>
      <c r="Q678" s="965"/>
      <c r="R678" s="965"/>
      <c r="S678" s="965"/>
      <c r="T678" s="965"/>
      <c r="U678" s="965"/>
      <c r="V678" s="965"/>
      <c r="W678" s="966"/>
    </row>
    <row r="679" spans="2:34" ht="12.6" customHeight="1" x14ac:dyDescent="0.2">
      <c r="B679" s="26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</row>
    <row r="680" spans="2:34" ht="15.75" customHeight="1" x14ac:dyDescent="0.2">
      <c r="B680" s="962" t="s">
        <v>335</v>
      </c>
      <c r="C680" s="963"/>
      <c r="D680" s="963"/>
      <c r="E680" s="963"/>
      <c r="F680" s="963"/>
      <c r="G680" s="963"/>
      <c r="H680" s="963"/>
      <c r="I680" s="963"/>
      <c r="J680" s="963"/>
      <c r="K680" s="963"/>
      <c r="L680" s="963"/>
      <c r="M680" s="963"/>
      <c r="N680" s="963"/>
      <c r="O680" s="963"/>
      <c r="P680" s="963"/>
      <c r="Q680" s="963"/>
      <c r="R680" s="963"/>
      <c r="S680" s="963"/>
      <c r="T680" s="963"/>
      <c r="U680" s="963"/>
      <c r="V680" s="963"/>
      <c r="W680" s="963"/>
    </row>
    <row r="681" spans="2:34" ht="15.75" customHeight="1" x14ac:dyDescent="0.2">
      <c r="B681" s="962" t="s">
        <v>336</v>
      </c>
      <c r="C681" s="963"/>
      <c r="D681" s="963"/>
      <c r="E681" s="963"/>
      <c r="F681" s="963"/>
      <c r="G681" s="963"/>
      <c r="H681" s="963"/>
      <c r="I681" s="963"/>
      <c r="J681" s="963"/>
      <c r="K681" s="963"/>
      <c r="L681" s="963"/>
      <c r="M681" s="963"/>
      <c r="N681" s="963"/>
      <c r="O681" s="963"/>
      <c r="P681" s="963"/>
      <c r="Q681" s="963"/>
      <c r="R681" s="963"/>
      <c r="S681" s="963"/>
      <c r="T681" s="963"/>
      <c r="U681" s="963"/>
      <c r="V681" s="963"/>
      <c r="W681" s="963"/>
      <c r="AF681" s="628"/>
      <c r="AG681" s="629"/>
      <c r="AH681" s="629"/>
    </row>
    <row r="682" spans="2:34" ht="15.75" customHeight="1" x14ac:dyDescent="0.2">
      <c r="B682" s="962" t="s">
        <v>337</v>
      </c>
      <c r="C682" s="963"/>
      <c r="D682" s="963"/>
      <c r="E682" s="963"/>
      <c r="F682" s="963"/>
      <c r="G682" s="963"/>
      <c r="H682" s="963"/>
      <c r="I682" s="963"/>
      <c r="J682" s="963"/>
      <c r="K682" s="963"/>
      <c r="L682" s="963"/>
      <c r="M682" s="963"/>
      <c r="N682" s="963"/>
      <c r="O682" s="963"/>
      <c r="P682" s="963"/>
      <c r="Q682" s="963"/>
      <c r="R682" s="963"/>
      <c r="S682" s="963"/>
      <c r="T682" s="963"/>
      <c r="U682" s="963"/>
      <c r="V682" s="963"/>
      <c r="W682" s="963"/>
    </row>
    <row r="683" spans="2:34" ht="12.6" customHeight="1" x14ac:dyDescent="0.2">
      <c r="B683" s="11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2:34" ht="18" customHeight="1" thickBot="1" x14ac:dyDescent="0.25">
      <c r="B684" s="1006" t="s">
        <v>338</v>
      </c>
      <c r="C684" s="1007"/>
      <c r="D684" s="1007"/>
      <c r="E684" s="1007"/>
      <c r="F684" s="1007"/>
      <c r="G684" s="1007"/>
      <c r="H684" s="1007"/>
      <c r="I684" s="1007"/>
      <c r="J684" s="1007"/>
      <c r="K684" s="1007"/>
      <c r="L684" s="1007"/>
      <c r="M684" s="1007"/>
      <c r="N684" s="1007"/>
      <c r="O684" s="1007"/>
      <c r="P684" s="1007"/>
      <c r="Q684" s="1007"/>
      <c r="R684" s="1007"/>
      <c r="S684" s="1007"/>
      <c r="T684" s="1007"/>
      <c r="U684" s="1007"/>
      <c r="V684" s="1007"/>
      <c r="W684" s="1008"/>
    </row>
    <row r="685" spans="2:34" x14ac:dyDescent="0.2">
      <c r="B685" s="991" t="s">
        <v>339</v>
      </c>
      <c r="C685" s="992"/>
      <c r="D685" s="992"/>
      <c r="E685" s="992"/>
      <c r="F685" s="992"/>
      <c r="G685" s="992"/>
      <c r="H685" s="992"/>
      <c r="I685" s="992"/>
      <c r="J685" s="992"/>
      <c r="K685" s="992"/>
      <c r="L685" s="992"/>
      <c r="M685" s="992"/>
      <c r="N685" s="993"/>
      <c r="O685" s="993"/>
      <c r="P685" s="993"/>
      <c r="Q685" s="993"/>
      <c r="R685" s="993"/>
      <c r="S685" s="993"/>
      <c r="T685" s="993"/>
      <c r="U685" s="993"/>
      <c r="V685" s="993"/>
      <c r="W685" s="994"/>
    </row>
    <row r="686" spans="2:34" ht="12.75" customHeight="1" x14ac:dyDescent="0.2">
      <c r="B686" s="995"/>
      <c r="C686" s="992"/>
      <c r="D686" s="992"/>
      <c r="E686" s="992"/>
      <c r="F686" s="992"/>
      <c r="G686" s="992"/>
      <c r="H686" s="992"/>
      <c r="I686" s="992"/>
      <c r="J686" s="992"/>
      <c r="K686" s="992"/>
      <c r="L686" s="992"/>
      <c r="M686" s="992"/>
      <c r="N686" s="993"/>
      <c r="O686" s="993"/>
      <c r="P686" s="993"/>
      <c r="Q686" s="993"/>
      <c r="R686" s="993"/>
      <c r="S686" s="993"/>
      <c r="T686" s="993"/>
      <c r="U686" s="993"/>
      <c r="V686" s="993"/>
      <c r="W686" s="994"/>
    </row>
    <row r="687" spans="2:34" x14ac:dyDescent="0.2">
      <c r="B687" s="995"/>
      <c r="C687" s="992"/>
      <c r="D687" s="992"/>
      <c r="E687" s="992"/>
      <c r="F687" s="992"/>
      <c r="G687" s="992"/>
      <c r="H687" s="992"/>
      <c r="I687" s="992"/>
      <c r="J687" s="992"/>
      <c r="K687" s="992"/>
      <c r="L687" s="992"/>
      <c r="M687" s="992"/>
      <c r="N687" s="993"/>
      <c r="O687" s="993"/>
      <c r="P687" s="993"/>
      <c r="Q687" s="993"/>
      <c r="R687" s="993"/>
      <c r="S687" s="993"/>
      <c r="T687" s="993"/>
      <c r="U687" s="993"/>
      <c r="V687" s="993"/>
      <c r="W687" s="994"/>
    </row>
    <row r="688" spans="2:34" x14ac:dyDescent="0.2">
      <c r="B688" s="996"/>
      <c r="C688" s="997"/>
      <c r="D688" s="997"/>
      <c r="E688" s="997"/>
      <c r="F688" s="997"/>
      <c r="G688" s="997"/>
      <c r="H688" s="997"/>
      <c r="I688" s="997"/>
      <c r="J688" s="997"/>
      <c r="K688" s="997"/>
      <c r="L688" s="997"/>
      <c r="M688" s="997"/>
      <c r="N688" s="998"/>
      <c r="O688" s="998"/>
      <c r="P688" s="998"/>
      <c r="Q688" s="998"/>
      <c r="R688" s="998"/>
      <c r="S688" s="998"/>
      <c r="T688" s="998"/>
      <c r="U688" s="998"/>
      <c r="V688" s="998"/>
      <c r="W688" s="999"/>
    </row>
    <row r="689" spans="2:26" ht="12.6" customHeight="1" x14ac:dyDescent="0.2">
      <c r="B689" s="218"/>
      <c r="C689" s="218"/>
      <c r="D689" s="218"/>
      <c r="E689" s="218"/>
      <c r="F689" s="218"/>
      <c r="G689" s="218"/>
      <c r="H689" s="218"/>
      <c r="I689" s="218"/>
      <c r="J689" s="218"/>
      <c r="K689" s="218"/>
      <c r="L689" s="218"/>
      <c r="M689" s="219"/>
      <c r="N689" s="63"/>
      <c r="O689" s="63"/>
      <c r="P689" s="63"/>
      <c r="Q689" s="63"/>
      <c r="R689" s="63"/>
      <c r="S689" s="63"/>
      <c r="T689" s="63"/>
      <c r="U689" s="63"/>
      <c r="V689" s="63"/>
      <c r="W689" s="63"/>
    </row>
    <row r="690" spans="2:26" x14ac:dyDescent="0.2">
      <c r="B690" s="1000" t="s">
        <v>340</v>
      </c>
      <c r="C690" s="1001"/>
      <c r="D690" s="1001"/>
      <c r="E690" s="1001"/>
      <c r="F690" s="1001"/>
      <c r="G690" s="1001"/>
      <c r="H690" s="1001"/>
      <c r="I690" s="1001"/>
      <c r="J690" s="1001"/>
      <c r="K690" s="1001"/>
      <c r="L690" s="1001"/>
      <c r="M690" s="1001"/>
      <c r="N690" s="1001"/>
      <c r="O690" s="1001"/>
      <c r="P690" s="1001"/>
      <c r="Q690" s="1001"/>
      <c r="R690" s="1001"/>
      <c r="S690" s="1001"/>
      <c r="T690" s="1001"/>
      <c r="U690" s="1001"/>
      <c r="V690" s="1001"/>
      <c r="W690" s="1002"/>
    </row>
    <row r="691" spans="2:26" x14ac:dyDescent="0.2">
      <c r="B691" s="1003"/>
      <c r="C691" s="1004"/>
      <c r="D691" s="1004"/>
      <c r="E691" s="1004"/>
      <c r="F691" s="1004"/>
      <c r="G691" s="1004"/>
      <c r="H691" s="1004"/>
      <c r="I691" s="1004"/>
      <c r="J691" s="1004"/>
      <c r="K691" s="1004"/>
      <c r="L691" s="1004"/>
      <c r="M691" s="1004"/>
      <c r="N691" s="1004"/>
      <c r="O691" s="1004"/>
      <c r="P691" s="1004"/>
      <c r="Q691" s="1004"/>
      <c r="R691" s="1004"/>
      <c r="S691" s="1004"/>
      <c r="T691" s="1004"/>
      <c r="U691" s="1004"/>
      <c r="V691" s="1004"/>
      <c r="W691" s="1005"/>
    </row>
    <row r="692" spans="2:26" x14ac:dyDescent="0.2">
      <c r="B692" s="986" t="s">
        <v>341</v>
      </c>
      <c r="C692" s="709"/>
      <c r="D692" s="709"/>
      <c r="E692" s="709"/>
      <c r="F692" s="709"/>
      <c r="G692" s="709"/>
      <c r="H692" s="709"/>
      <c r="I692" s="709"/>
      <c r="J692" s="709"/>
      <c r="K692" s="709"/>
      <c r="L692" s="709"/>
      <c r="M692" s="709"/>
      <c r="N692" s="709"/>
      <c r="O692" s="709"/>
      <c r="P692" s="709"/>
      <c r="Q692" s="709"/>
      <c r="R692" s="709"/>
      <c r="S692" s="709"/>
      <c r="T692" s="709"/>
      <c r="U692" s="709"/>
      <c r="V692" s="709"/>
      <c r="W692" s="710"/>
    </row>
    <row r="693" spans="2:26" ht="12.6" customHeight="1" x14ac:dyDescent="0.2">
      <c r="B693" s="244"/>
      <c r="C693" s="244"/>
      <c r="D693" s="244"/>
      <c r="E693" s="244"/>
      <c r="F693" s="244"/>
      <c r="G693" s="244"/>
      <c r="H693" s="244"/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66"/>
    </row>
    <row r="694" spans="2:26" ht="12.75" customHeight="1" thickBot="1" x14ac:dyDescent="0.25">
      <c r="B694" s="983" t="s">
        <v>342</v>
      </c>
      <c r="C694" s="984"/>
      <c r="D694" s="984"/>
      <c r="E694" s="984"/>
      <c r="F694" s="984"/>
      <c r="G694" s="984"/>
      <c r="H694" s="984"/>
      <c r="I694" s="984"/>
      <c r="J694" s="984"/>
      <c r="K694" s="984"/>
      <c r="L694" s="984"/>
      <c r="M694" s="984"/>
      <c r="N694" s="984"/>
      <c r="O694" s="984"/>
      <c r="P694" s="984"/>
      <c r="Q694" s="984"/>
      <c r="R694" s="984"/>
      <c r="S694" s="984"/>
      <c r="T694" s="984"/>
      <c r="U694" s="984"/>
      <c r="V694" s="984"/>
      <c r="W694" s="985"/>
    </row>
    <row r="695" spans="2:26" ht="15" customHeight="1" thickBot="1" x14ac:dyDescent="0.25">
      <c r="B695" s="959" t="s">
        <v>401</v>
      </c>
      <c r="C695" s="960"/>
      <c r="D695" s="960"/>
      <c r="E695" s="960"/>
      <c r="F695" s="960"/>
      <c r="G695" s="960"/>
      <c r="H695" s="960"/>
      <c r="I695" s="960"/>
      <c r="J695" s="960"/>
      <c r="K695" s="960"/>
      <c r="L695" s="960"/>
      <c r="M695" s="960"/>
      <c r="N695" s="960"/>
      <c r="O695" s="960"/>
      <c r="P695" s="960"/>
      <c r="Q695" s="960"/>
      <c r="R695" s="960"/>
      <c r="S695" s="960"/>
      <c r="T695" s="960"/>
      <c r="U695" s="960"/>
      <c r="V695" s="960"/>
      <c r="W695" s="961"/>
    </row>
    <row r="696" spans="2:26" ht="90" customHeight="1" x14ac:dyDescent="0.2">
      <c r="B696" s="987"/>
      <c r="C696" s="988"/>
      <c r="D696" s="988"/>
      <c r="E696" s="988"/>
      <c r="F696" s="988"/>
      <c r="G696" s="988"/>
      <c r="H696" s="988"/>
      <c r="I696" s="988"/>
      <c r="J696" s="988"/>
      <c r="K696" s="989"/>
      <c r="L696" s="989"/>
      <c r="M696" s="989"/>
      <c r="N696" s="989"/>
      <c r="O696" s="989"/>
      <c r="P696" s="989"/>
      <c r="Q696" s="989"/>
      <c r="R696" s="989"/>
      <c r="S696" s="989"/>
      <c r="T696" s="989"/>
      <c r="U696" s="989"/>
      <c r="V696" s="989"/>
      <c r="W696" s="990"/>
    </row>
    <row r="697" spans="2:26" ht="12.6" customHeight="1" x14ac:dyDescent="0.25"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Z697" s="34"/>
    </row>
    <row r="698" spans="2:26" ht="8.25" customHeight="1" x14ac:dyDescent="0.2">
      <c r="B698" s="967" t="s">
        <v>343</v>
      </c>
      <c r="C698" s="968"/>
      <c r="D698" s="968"/>
      <c r="E698" s="968"/>
      <c r="F698" s="968"/>
      <c r="G698" s="968"/>
      <c r="H698" s="968"/>
      <c r="I698" s="968"/>
      <c r="J698" s="968"/>
      <c r="K698" s="969"/>
      <c r="L698" s="969"/>
      <c r="M698" s="969"/>
      <c r="N698" s="969"/>
      <c r="O698" s="969"/>
      <c r="P698" s="969"/>
      <c r="Q698" s="969"/>
      <c r="R698" s="969"/>
      <c r="S698" s="969"/>
      <c r="T698" s="969"/>
      <c r="U698" s="969"/>
      <c r="V698" s="969"/>
      <c r="W698" s="970"/>
    </row>
    <row r="699" spans="2:26" ht="12.75" customHeight="1" x14ac:dyDescent="0.2">
      <c r="B699" s="971"/>
      <c r="C699" s="972"/>
      <c r="D699" s="972"/>
      <c r="E699" s="972"/>
      <c r="F699" s="972"/>
      <c r="G699" s="972"/>
      <c r="H699" s="972"/>
      <c r="I699" s="972"/>
      <c r="J699" s="972"/>
      <c r="K699" s="973"/>
      <c r="L699" s="973"/>
      <c r="M699" s="973"/>
      <c r="N699" s="973"/>
      <c r="O699" s="973"/>
      <c r="P699" s="973"/>
      <c r="Q699" s="973"/>
      <c r="R699" s="973"/>
      <c r="S699" s="973"/>
      <c r="T699" s="973"/>
      <c r="U699" s="973"/>
      <c r="V699" s="973"/>
      <c r="W699" s="974"/>
    </row>
    <row r="700" spans="2:26" x14ac:dyDescent="0.2">
      <c r="B700" s="975"/>
      <c r="C700" s="976"/>
      <c r="D700" s="976"/>
      <c r="E700" s="976"/>
      <c r="F700" s="976"/>
      <c r="G700" s="976"/>
      <c r="H700" s="976"/>
      <c r="I700" s="976"/>
      <c r="J700" s="976"/>
      <c r="K700" s="973"/>
      <c r="L700" s="973"/>
      <c r="M700" s="973"/>
      <c r="N700" s="973"/>
      <c r="O700" s="973"/>
      <c r="P700" s="973"/>
      <c r="Q700" s="973"/>
      <c r="R700" s="973"/>
      <c r="S700" s="973"/>
      <c r="T700" s="973"/>
      <c r="U700" s="973"/>
      <c r="V700" s="973"/>
      <c r="W700" s="974"/>
    </row>
    <row r="701" spans="2:26" x14ac:dyDescent="0.2">
      <c r="B701" s="975"/>
      <c r="C701" s="976"/>
      <c r="D701" s="976"/>
      <c r="E701" s="976"/>
      <c r="F701" s="976"/>
      <c r="G701" s="976"/>
      <c r="H701" s="976"/>
      <c r="I701" s="976"/>
      <c r="J701" s="976"/>
      <c r="K701" s="973"/>
      <c r="L701" s="973"/>
      <c r="M701" s="973"/>
      <c r="N701" s="973"/>
      <c r="O701" s="973"/>
      <c r="P701" s="973"/>
      <c r="Q701" s="973"/>
      <c r="R701" s="973"/>
      <c r="S701" s="973"/>
      <c r="T701" s="973"/>
      <c r="U701" s="973"/>
      <c r="V701" s="973"/>
      <c r="W701" s="974"/>
    </row>
    <row r="702" spans="2:26" x14ac:dyDescent="0.2">
      <c r="B702" s="975"/>
      <c r="C702" s="976"/>
      <c r="D702" s="976"/>
      <c r="E702" s="976"/>
      <c r="F702" s="976"/>
      <c r="G702" s="976"/>
      <c r="H702" s="976"/>
      <c r="I702" s="976"/>
      <c r="J702" s="976"/>
      <c r="K702" s="973"/>
      <c r="L702" s="973"/>
      <c r="M702" s="973"/>
      <c r="N702" s="973"/>
      <c r="O702" s="973"/>
      <c r="P702" s="973"/>
      <c r="Q702" s="973"/>
      <c r="R702" s="973"/>
      <c r="S702" s="973"/>
      <c r="T702" s="973"/>
      <c r="U702" s="973"/>
      <c r="V702" s="973"/>
      <c r="W702" s="974"/>
    </row>
    <row r="703" spans="2:26" x14ac:dyDescent="0.2">
      <c r="B703" s="975"/>
      <c r="C703" s="976"/>
      <c r="D703" s="976"/>
      <c r="E703" s="976"/>
      <c r="F703" s="976"/>
      <c r="G703" s="976"/>
      <c r="H703" s="976"/>
      <c r="I703" s="976"/>
      <c r="J703" s="976"/>
      <c r="K703" s="973"/>
      <c r="L703" s="973"/>
      <c r="M703" s="973"/>
      <c r="N703" s="973"/>
      <c r="O703" s="973"/>
      <c r="P703" s="973"/>
      <c r="Q703" s="973"/>
      <c r="R703" s="973"/>
      <c r="S703" s="973"/>
      <c r="T703" s="973"/>
      <c r="U703" s="973"/>
      <c r="V703" s="973"/>
      <c r="W703" s="974"/>
    </row>
    <row r="704" spans="2:26" x14ac:dyDescent="0.2">
      <c r="B704" s="977"/>
      <c r="C704" s="978"/>
      <c r="D704" s="978"/>
      <c r="E704" s="978"/>
      <c r="F704" s="978"/>
      <c r="G704" s="978"/>
      <c r="H704" s="978"/>
      <c r="I704" s="978"/>
      <c r="J704" s="978"/>
      <c r="K704" s="978"/>
      <c r="L704" s="978"/>
      <c r="M704" s="978"/>
      <c r="N704" s="978"/>
      <c r="O704" s="978"/>
      <c r="P704" s="978"/>
      <c r="Q704" s="978"/>
      <c r="R704" s="978"/>
      <c r="S704" s="978"/>
      <c r="T704" s="978"/>
      <c r="U704" s="978"/>
      <c r="V704" s="978"/>
      <c r="W704" s="979"/>
    </row>
    <row r="705" spans="2:23" x14ac:dyDescent="0.2">
      <c r="B705" s="980"/>
      <c r="C705" s="981"/>
      <c r="D705" s="981"/>
      <c r="E705" s="981"/>
      <c r="F705" s="981"/>
      <c r="G705" s="981"/>
      <c r="H705" s="981"/>
      <c r="I705" s="981"/>
      <c r="J705" s="981"/>
      <c r="K705" s="981"/>
      <c r="L705" s="981"/>
      <c r="M705" s="981"/>
      <c r="N705" s="981"/>
      <c r="O705" s="981"/>
      <c r="P705" s="981"/>
      <c r="Q705" s="981"/>
      <c r="R705" s="981"/>
      <c r="S705" s="981"/>
      <c r="T705" s="981"/>
      <c r="U705" s="981"/>
      <c r="V705" s="981"/>
      <c r="W705" s="982"/>
    </row>
    <row r="706" spans="2:23" ht="12.6" customHeight="1" x14ac:dyDescent="0.2"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7"/>
      <c r="W706" s="7"/>
    </row>
    <row r="707" spans="2:23" ht="18.75" customHeight="1" x14ac:dyDescent="0.2">
      <c r="B707" s="956" t="s">
        <v>344</v>
      </c>
      <c r="C707" s="957"/>
      <c r="D707" s="957"/>
      <c r="E707" s="957"/>
      <c r="F707" s="957"/>
      <c r="G707" s="957"/>
      <c r="H707" s="957"/>
      <c r="I707" s="957"/>
      <c r="J707" s="957"/>
      <c r="K707" s="957"/>
      <c r="L707" s="957"/>
      <c r="M707" s="957"/>
      <c r="N707" s="957"/>
      <c r="O707" s="957"/>
      <c r="P707" s="957"/>
      <c r="Q707" s="957"/>
      <c r="R707" s="957"/>
      <c r="S707" s="957"/>
      <c r="T707" s="957"/>
      <c r="U707" s="957"/>
      <c r="V707" s="957"/>
      <c r="W707" s="95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7"/>
      <c r="W708" s="7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7"/>
      <c r="W709" s="7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7"/>
      <c r="W710" s="7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7"/>
      <c r="W711" s="7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7"/>
      <c r="W712" s="7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7"/>
      <c r="W713" s="7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7"/>
      <c r="W714" s="7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"/>
      <c r="W715" s="7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"/>
      <c r="W716" s="7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"/>
      <c r="W717" s="7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"/>
      <c r="W718" s="7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"/>
      <c r="W719" s="7"/>
    </row>
    <row r="720" spans="2:23" ht="12.75" customHeight="1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"/>
      <c r="W720" s="7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7"/>
      <c r="W721" s="7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7"/>
      <c r="W722" s="7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"/>
      <c r="W729" s="7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"/>
      <c r="W730" s="7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"/>
      <c r="W744" s="7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7"/>
      <c r="W745" s="7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7"/>
      <c r="W746" s="7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"/>
      <c r="W747" s="7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"/>
      <c r="W748" s="7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"/>
      <c r="W749" s="7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"/>
      <c r="W750" s="7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"/>
      <c r="W751" s="7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"/>
      <c r="W752" s="7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"/>
      <c r="W753" s="7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"/>
      <c r="W754" s="7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"/>
      <c r="W755" s="7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"/>
      <c r="W756" s="7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"/>
      <c r="W757" s="7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"/>
      <c r="W758" s="7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"/>
      <c r="W759" s="7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"/>
      <c r="W760" s="7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"/>
      <c r="W761" s="7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</sheetData>
  <mergeCells count="1029">
    <mergeCell ref="AF10:AH10"/>
    <mergeCell ref="X381:AA381"/>
    <mergeCell ref="B357:E357"/>
    <mergeCell ref="B304:E304"/>
    <mergeCell ref="B354:E354"/>
    <mergeCell ref="B356:E356"/>
    <mergeCell ref="B365:E365"/>
    <mergeCell ref="X289:AA289"/>
    <mergeCell ref="B332:E332"/>
    <mergeCell ref="B333:E333"/>
    <mergeCell ref="X330:AA330"/>
    <mergeCell ref="B325:E325"/>
    <mergeCell ref="B372:E372"/>
    <mergeCell ref="X385:AA385"/>
    <mergeCell ref="B371:E371"/>
    <mergeCell ref="F398:F399"/>
    <mergeCell ref="X411:AA411"/>
    <mergeCell ref="B378:E378"/>
    <mergeCell ref="B307:E307"/>
    <mergeCell ref="B293:E293"/>
    <mergeCell ref="B346:E346"/>
    <mergeCell ref="G318:G319"/>
    <mergeCell ref="F318:F319"/>
    <mergeCell ref="X403:AA403"/>
    <mergeCell ref="X409:AA409"/>
    <mergeCell ref="B409:E409"/>
    <mergeCell ref="X383:AA383"/>
    <mergeCell ref="B375:E375"/>
    <mergeCell ref="X291:AA291"/>
    <mergeCell ref="X290:AA290"/>
    <mergeCell ref="B369:E369"/>
    <mergeCell ref="B278:E278"/>
    <mergeCell ref="B279:E279"/>
    <mergeCell ref="X279:AA279"/>
    <mergeCell ref="B343:E343"/>
    <mergeCell ref="B363:E363"/>
    <mergeCell ref="B338:E338"/>
    <mergeCell ref="B348:E348"/>
    <mergeCell ref="B368:E368"/>
    <mergeCell ref="B364:E364"/>
    <mergeCell ref="B353:E353"/>
    <mergeCell ref="B337:E337"/>
    <mergeCell ref="B285:E285"/>
    <mergeCell ref="B327:E327"/>
    <mergeCell ref="B324:E324"/>
    <mergeCell ref="B349:E349"/>
    <mergeCell ref="B322:E322"/>
    <mergeCell ref="B302:E302"/>
    <mergeCell ref="B313:E313"/>
    <mergeCell ref="B296:E296"/>
    <mergeCell ref="Q330:W330"/>
    <mergeCell ref="B287:E287"/>
    <mergeCell ref="B299:E299"/>
    <mergeCell ref="X354:AA354"/>
    <mergeCell ref="B335:E335"/>
    <mergeCell ref="B308:E308"/>
    <mergeCell ref="X285:AA285"/>
    <mergeCell ref="X288:AA288"/>
    <mergeCell ref="B286:E286"/>
    <mergeCell ref="B289:E289"/>
    <mergeCell ref="B321:E321"/>
    <mergeCell ref="B329:E329"/>
    <mergeCell ref="B310:E310"/>
    <mergeCell ref="B311:E311"/>
    <mergeCell ref="B358:E358"/>
    <mergeCell ref="B361:E361"/>
    <mergeCell ref="X353:AA353"/>
    <mergeCell ref="X356:AA356"/>
    <mergeCell ref="X357:AA357"/>
    <mergeCell ref="B330:E330"/>
    <mergeCell ref="B291:E291"/>
    <mergeCell ref="B352:E352"/>
    <mergeCell ref="B359:E359"/>
    <mergeCell ref="B314:E314"/>
    <mergeCell ref="B323:E323"/>
    <mergeCell ref="X358:AA358"/>
    <mergeCell ref="B297:E297"/>
    <mergeCell ref="C318:E319"/>
    <mergeCell ref="B292:E292"/>
    <mergeCell ref="B419:E419"/>
    <mergeCell ref="X429:AA429"/>
    <mergeCell ref="X420:AA420"/>
    <mergeCell ref="B381:E381"/>
    <mergeCell ref="B344:E344"/>
    <mergeCell ref="B339:E339"/>
    <mergeCell ref="B351:E351"/>
    <mergeCell ref="B342:E342"/>
    <mergeCell ref="B366:E366"/>
    <mergeCell ref="B309:E309"/>
    <mergeCell ref="B362:E362"/>
    <mergeCell ref="B347:E347"/>
    <mergeCell ref="B331:E331"/>
    <mergeCell ref="B334:E334"/>
    <mergeCell ref="B312:E312"/>
    <mergeCell ref="B303:E303"/>
    <mergeCell ref="B350:E350"/>
    <mergeCell ref="X355:AA355"/>
    <mergeCell ref="X329:AA329"/>
    <mergeCell ref="B382:E382"/>
    <mergeCell ref="B398:B399"/>
    <mergeCell ref="B401:E401"/>
    <mergeCell ref="B388:E388"/>
    <mergeCell ref="B386:E386"/>
    <mergeCell ref="B410:E410"/>
    <mergeCell ref="B385:E385"/>
    <mergeCell ref="B387:E387"/>
    <mergeCell ref="B404:E404"/>
    <mergeCell ref="B416:E416"/>
    <mergeCell ref="B384:E384"/>
    <mergeCell ref="B377:E377"/>
    <mergeCell ref="X379:AA379"/>
    <mergeCell ref="B406:E406"/>
    <mergeCell ref="X414:AA414"/>
    <mergeCell ref="G398:G399"/>
    <mergeCell ref="B407:E407"/>
    <mergeCell ref="X404:AA404"/>
    <mergeCell ref="X398:AA399"/>
    <mergeCell ref="X405:AA405"/>
    <mergeCell ref="X386:AA386"/>
    <mergeCell ref="B402:E402"/>
    <mergeCell ref="X402:AA402"/>
    <mergeCell ref="X384:AA384"/>
    <mergeCell ref="B403:E403"/>
    <mergeCell ref="X454:AA454"/>
    <mergeCell ref="X479:AA480"/>
    <mergeCell ref="B376:E376"/>
    <mergeCell ref="B345:E345"/>
    <mergeCell ref="B326:E326"/>
    <mergeCell ref="B328:E328"/>
    <mergeCell ref="B383:E383"/>
    <mergeCell ref="B436:E436"/>
    <mergeCell ref="X410:AA410"/>
    <mergeCell ref="C398:E399"/>
    <mergeCell ref="X438:AA438"/>
    <mergeCell ref="X412:AA412"/>
    <mergeCell ref="B463:E463"/>
    <mergeCell ref="B452:E452"/>
    <mergeCell ref="H398:W398"/>
    <mergeCell ref="B379:E379"/>
    <mergeCell ref="B391:E391"/>
    <mergeCell ref="B439:E439"/>
    <mergeCell ref="B360:E360"/>
    <mergeCell ref="B392:E392"/>
    <mergeCell ref="B393:E393"/>
    <mergeCell ref="B367:E367"/>
    <mergeCell ref="B412:E412"/>
    <mergeCell ref="I431:M436"/>
    <mergeCell ref="B374:E374"/>
    <mergeCell ref="B405:E405"/>
    <mergeCell ref="X382:AA382"/>
    <mergeCell ref="X380:AA380"/>
    <mergeCell ref="B380:E380"/>
    <mergeCell ref="B400:E400"/>
    <mergeCell ref="B415:E415"/>
    <mergeCell ref="X449:AA449"/>
    <mergeCell ref="X439:AA439"/>
    <mergeCell ref="B426:E426"/>
    <mergeCell ref="X451:AA451"/>
    <mergeCell ref="X442:AA442"/>
    <mergeCell ref="B422:E422"/>
    <mergeCell ref="X422:AA422"/>
    <mergeCell ref="B421:E421"/>
    <mergeCell ref="X421:AA421"/>
    <mergeCell ref="X440:AA440"/>
    <mergeCell ref="B440:E440"/>
    <mergeCell ref="B413:E413"/>
    <mergeCell ref="B441:E441"/>
    <mergeCell ref="X450:AA450"/>
    <mergeCell ref="B423:E423"/>
    <mergeCell ref="X430:AA430"/>
    <mergeCell ref="B430:E430"/>
    <mergeCell ref="B420:E420"/>
    <mergeCell ref="B432:E432"/>
    <mergeCell ref="B434:E434"/>
    <mergeCell ref="X419:AA419"/>
    <mergeCell ref="X423:AA423"/>
    <mergeCell ref="X415:AA415"/>
    <mergeCell ref="X413:AA413"/>
    <mergeCell ref="X424:AA424"/>
    <mergeCell ref="B425:E425"/>
    <mergeCell ref="X425:AA425"/>
    <mergeCell ref="I426:M428"/>
    <mergeCell ref="B431:E431"/>
    <mergeCell ref="B414:E414"/>
    <mergeCell ref="B418:E418"/>
    <mergeCell ref="X418:AA418"/>
    <mergeCell ref="B427:E427"/>
    <mergeCell ref="X462:AA462"/>
    <mergeCell ref="X460:AA460"/>
    <mergeCell ref="B499:E499"/>
    <mergeCell ref="B429:E429"/>
    <mergeCell ref="X463:AA463"/>
    <mergeCell ref="B458:E458"/>
    <mergeCell ref="B444:E444"/>
    <mergeCell ref="B449:E449"/>
    <mergeCell ref="C479:E480"/>
    <mergeCell ref="B490:E490"/>
    <mergeCell ref="B453:E453"/>
    <mergeCell ref="B460:E460"/>
    <mergeCell ref="B459:E459"/>
    <mergeCell ref="B437:E437"/>
    <mergeCell ref="B462:E462"/>
    <mergeCell ref="X453:AA453"/>
    <mergeCell ref="X452:AA452"/>
    <mergeCell ref="B489:E489"/>
    <mergeCell ref="B442:E442"/>
    <mergeCell ref="B491:E491"/>
    <mergeCell ref="X441:AA441"/>
    <mergeCell ref="B456:E456"/>
    <mergeCell ref="X437:AA437"/>
    <mergeCell ref="B446:E446"/>
    <mergeCell ref="B461:E461"/>
    <mergeCell ref="B448:E448"/>
    <mergeCell ref="B492:E492"/>
    <mergeCell ref="B495:E495"/>
    <mergeCell ref="B481:E481"/>
    <mergeCell ref="X461:AA461"/>
    <mergeCell ref="F479:F480"/>
    <mergeCell ref="B455:E455"/>
    <mergeCell ref="B527:E527"/>
    <mergeCell ref="B525:E525"/>
    <mergeCell ref="B524:E524"/>
    <mergeCell ref="B548:E548"/>
    <mergeCell ref="B503:E503"/>
    <mergeCell ref="B443:E443"/>
    <mergeCell ref="B438:E438"/>
    <mergeCell ref="B493:E493"/>
    <mergeCell ref="B522:E522"/>
    <mergeCell ref="B515:W515"/>
    <mergeCell ref="B497:E497"/>
    <mergeCell ref="H561:W561"/>
    <mergeCell ref="B454:E454"/>
    <mergeCell ref="B539:E539"/>
    <mergeCell ref="B535:E535"/>
    <mergeCell ref="B528:E528"/>
    <mergeCell ref="B532:E532"/>
    <mergeCell ref="B484:E484"/>
    <mergeCell ref="B555:E555"/>
    <mergeCell ref="B542:E542"/>
    <mergeCell ref="B545:E545"/>
    <mergeCell ref="B552:E552"/>
    <mergeCell ref="B530:E530"/>
    <mergeCell ref="B531:E531"/>
    <mergeCell ref="B529:E529"/>
    <mergeCell ref="B533:E533"/>
    <mergeCell ref="B500:E500"/>
    <mergeCell ref="B501:E501"/>
    <mergeCell ref="B450:E450"/>
    <mergeCell ref="B502:E502"/>
    <mergeCell ref="B457:E457"/>
    <mergeCell ref="B479:B480"/>
    <mergeCell ref="AB561:AB562"/>
    <mergeCell ref="B587:E587"/>
    <mergeCell ref="B568:E568"/>
    <mergeCell ref="X516:AA517"/>
    <mergeCell ref="B553:E553"/>
    <mergeCell ref="H516:W516"/>
    <mergeCell ref="B523:E523"/>
    <mergeCell ref="B521:E521"/>
    <mergeCell ref="AF478:AH478"/>
    <mergeCell ref="AB479:AB480"/>
    <mergeCell ref="AF479:AH479"/>
    <mergeCell ref="H479:W479"/>
    <mergeCell ref="AF590:AH590"/>
    <mergeCell ref="X590:AA591"/>
    <mergeCell ref="B486:E486"/>
    <mergeCell ref="B488:E488"/>
    <mergeCell ref="G479:G480"/>
    <mergeCell ref="B513:E513"/>
    <mergeCell ref="B512:E512"/>
    <mergeCell ref="B520:E520"/>
    <mergeCell ref="C516:E517"/>
    <mergeCell ref="B509:E509"/>
    <mergeCell ref="B510:E510"/>
    <mergeCell ref="B504:E504"/>
    <mergeCell ref="B487:E487"/>
    <mergeCell ref="X561:AA562"/>
    <mergeCell ref="B561:B562"/>
    <mergeCell ref="F561:F562"/>
    <mergeCell ref="G561:G562"/>
    <mergeCell ref="B566:E566"/>
    <mergeCell ref="B580:E580"/>
    <mergeCell ref="B564:E564"/>
    <mergeCell ref="AF561:AH561"/>
    <mergeCell ref="B560:W560"/>
    <mergeCell ref="AF640:AH640"/>
    <mergeCell ref="X619:AA619"/>
    <mergeCell ref="B554:E554"/>
    <mergeCell ref="AF560:AH560"/>
    <mergeCell ref="B538:E538"/>
    <mergeCell ref="B577:E577"/>
    <mergeCell ref="AF667:AH667"/>
    <mergeCell ref="AF515:AH515"/>
    <mergeCell ref="B516:B517"/>
    <mergeCell ref="B647:G648"/>
    <mergeCell ref="B663:W665"/>
    <mergeCell ref="T647:T648"/>
    <mergeCell ref="B572:E572"/>
    <mergeCell ref="AB516:AB517"/>
    <mergeCell ref="AF516:AH516"/>
    <mergeCell ref="B541:E541"/>
    <mergeCell ref="B518:E518"/>
    <mergeCell ref="B546:E546"/>
    <mergeCell ref="B544:E544"/>
    <mergeCell ref="B547:E547"/>
    <mergeCell ref="B556:E556"/>
    <mergeCell ref="AB590:AB591"/>
    <mergeCell ref="B616:E616"/>
    <mergeCell ref="B617:E617"/>
    <mergeCell ref="B618:E618"/>
    <mergeCell ref="H590:W590"/>
    <mergeCell ref="B600:E600"/>
    <mergeCell ref="B575:E575"/>
    <mergeCell ref="Q647:Q648"/>
    <mergeCell ref="K647:K648"/>
    <mergeCell ref="AF681:AH681"/>
    <mergeCell ref="O647:O648"/>
    <mergeCell ref="L647:L648"/>
    <mergeCell ref="P647:P648"/>
    <mergeCell ref="C667:I667"/>
    <mergeCell ref="C675:G675"/>
    <mergeCell ref="C676:G676"/>
    <mergeCell ref="M647:M648"/>
    <mergeCell ref="B635:E635"/>
    <mergeCell ref="B633:E633"/>
    <mergeCell ref="B646:W646"/>
    <mergeCell ref="B573:E573"/>
    <mergeCell ref="B623:E623"/>
    <mergeCell ref="B579:E579"/>
    <mergeCell ref="B584:E584"/>
    <mergeCell ref="B592:E592"/>
    <mergeCell ref="B589:W589"/>
    <mergeCell ref="B590:B591"/>
    <mergeCell ref="B599:E599"/>
    <mergeCell ref="B594:E594"/>
    <mergeCell ref="B576:E576"/>
    <mergeCell ref="B578:E578"/>
    <mergeCell ref="B586:E586"/>
    <mergeCell ref="B622:E622"/>
    <mergeCell ref="B649:G649"/>
    <mergeCell ref="C660:I661"/>
    <mergeCell ref="C668:I674"/>
    <mergeCell ref="C659:G659"/>
    <mergeCell ref="C658:G658"/>
    <mergeCell ref="C656:I656"/>
    <mergeCell ref="B654:J654"/>
    <mergeCell ref="V647:V648"/>
    <mergeCell ref="X286:AA286"/>
    <mergeCell ref="B433:E433"/>
    <mergeCell ref="B571:E571"/>
    <mergeCell ref="B549:E549"/>
    <mergeCell ref="B550:E550"/>
    <mergeCell ref="B543:E543"/>
    <mergeCell ref="B478:W478"/>
    <mergeCell ref="B511:E511"/>
    <mergeCell ref="B519:E519"/>
    <mergeCell ref="B526:E526"/>
    <mergeCell ref="B485:E485"/>
    <mergeCell ref="B498:E498"/>
    <mergeCell ref="B621:E621"/>
    <mergeCell ref="B640:W640"/>
    <mergeCell ref="R647:R648"/>
    <mergeCell ref="B447:E447"/>
    <mergeCell ref="B482:E482"/>
    <mergeCell ref="B483:E483"/>
    <mergeCell ref="B506:E506"/>
    <mergeCell ref="F516:F517"/>
    <mergeCell ref="B537:E537"/>
    <mergeCell ref="B536:E536"/>
    <mergeCell ref="B601:E601"/>
    <mergeCell ref="B597:E597"/>
    <mergeCell ref="B598:E598"/>
    <mergeCell ref="B583:E583"/>
    <mergeCell ref="B563:E563"/>
    <mergeCell ref="F590:F591"/>
    <mergeCell ref="G516:G517"/>
    <mergeCell ref="J647:J648"/>
    <mergeCell ref="W647:W648"/>
    <mergeCell ref="B645:G645"/>
    <mergeCell ref="X281:AA281"/>
    <mergeCell ref="B231:E231"/>
    <mergeCell ref="X223:AA223"/>
    <mergeCell ref="H199:M199"/>
    <mergeCell ref="X620:AA620"/>
    <mergeCell ref="B295:E295"/>
    <mergeCell ref="X238:AA239"/>
    <mergeCell ref="B301:E301"/>
    <mergeCell ref="X277:AA277"/>
    <mergeCell ref="F238:F239"/>
    <mergeCell ref="X280:AA280"/>
    <mergeCell ref="X295:AA295"/>
    <mergeCell ref="X615:AA615"/>
    <mergeCell ref="X293:AA293"/>
    <mergeCell ref="B290:E290"/>
    <mergeCell ref="X263:AA263"/>
    <mergeCell ref="B269:E269"/>
    <mergeCell ref="B320:E320"/>
    <mergeCell ref="B394:E394"/>
    <mergeCell ref="B428:E428"/>
    <mergeCell ref="B390:E390"/>
    <mergeCell ref="B389:E389"/>
    <mergeCell ref="B417:E417"/>
    <mergeCell ref="B424:E424"/>
    <mergeCell ref="B373:E373"/>
    <mergeCell ref="X283:AA283"/>
    <mergeCell ref="X278:AA278"/>
    <mergeCell ref="B273:E273"/>
    <mergeCell ref="B264:E264"/>
    <mergeCell ref="B249:E249"/>
    <mergeCell ref="X249:AA249"/>
    <mergeCell ref="X605:AA605"/>
    <mergeCell ref="X259:AA259"/>
    <mergeCell ref="X260:AA260"/>
    <mergeCell ref="X614:AA614"/>
    <mergeCell ref="B243:E243"/>
    <mergeCell ref="B254:E254"/>
    <mergeCell ref="B267:E267"/>
    <mergeCell ref="B272:E272"/>
    <mergeCell ref="B265:E265"/>
    <mergeCell ref="B266:E266"/>
    <mergeCell ref="X242:AA242"/>
    <mergeCell ref="B260:E260"/>
    <mergeCell ref="B607:E607"/>
    <mergeCell ref="B615:E615"/>
    <mergeCell ref="B609:E609"/>
    <mergeCell ref="B610:E610"/>
    <mergeCell ref="X251:AA251"/>
    <mergeCell ref="B281:E281"/>
    <mergeCell ref="B284:E284"/>
    <mergeCell ref="X275:AA275"/>
    <mergeCell ref="X256:AA256"/>
    <mergeCell ref="B274:E274"/>
    <mergeCell ref="X276:AA276"/>
    <mergeCell ref="X274:AA274"/>
    <mergeCell ref="X613:AA613"/>
    <mergeCell ref="B271:E271"/>
    <mergeCell ref="X255:AA255"/>
    <mergeCell ref="X264:AA264"/>
    <mergeCell ref="B276:E276"/>
    <mergeCell ref="B277:E277"/>
    <mergeCell ref="B256:E256"/>
    <mergeCell ref="B270:E270"/>
    <mergeCell ref="B280:E280"/>
    <mergeCell ref="X282:AA282"/>
    <mergeCell ref="X604:AA604"/>
    <mergeCell ref="X602:AA602"/>
    <mergeCell ref="B283:E283"/>
    <mergeCell ref="B258:E258"/>
    <mergeCell ref="X273:AA273"/>
    <mergeCell ref="X262:AA262"/>
    <mergeCell ref="X261:AA261"/>
    <mergeCell ref="B282:E282"/>
    <mergeCell ref="B275:E275"/>
    <mergeCell ref="B604:E604"/>
    <mergeCell ref="B612:E612"/>
    <mergeCell ref="B268:E268"/>
    <mergeCell ref="B263:E263"/>
    <mergeCell ref="B259:E259"/>
    <mergeCell ref="B606:E606"/>
    <mergeCell ref="C238:E239"/>
    <mergeCell ref="X241:AA241"/>
    <mergeCell ref="X243:AA243"/>
    <mergeCell ref="X257:AA257"/>
    <mergeCell ref="X248:AA248"/>
    <mergeCell ref="B240:E240"/>
    <mergeCell ref="B534:E534"/>
    <mergeCell ref="B408:E408"/>
    <mergeCell ref="B411:E411"/>
    <mergeCell ref="B340:E340"/>
    <mergeCell ref="B300:E300"/>
    <mergeCell ref="B262:E262"/>
    <mergeCell ref="B288:E288"/>
    <mergeCell ref="X246:AA246"/>
    <mergeCell ref="X294:AA294"/>
    <mergeCell ref="H259:M264"/>
    <mergeCell ref="X126:AA126"/>
    <mergeCell ref="G105:O105"/>
    <mergeCell ref="X128:AA128"/>
    <mergeCell ref="B150:E150"/>
    <mergeCell ref="G158:G159"/>
    <mergeCell ref="X161:AA161"/>
    <mergeCell ref="X146:AA146"/>
    <mergeCell ref="G238:G239"/>
    <mergeCell ref="X162:AA162"/>
    <mergeCell ref="B229:E229"/>
    <mergeCell ref="X140:AA140"/>
    <mergeCell ref="F237:J237"/>
    <mergeCell ref="X141:AA141"/>
    <mergeCell ref="B205:E205"/>
    <mergeCell ref="B169:E169"/>
    <mergeCell ref="X182:AA182"/>
    <mergeCell ref="Q213:W213"/>
    <mergeCell ref="B192:E192"/>
    <mergeCell ref="B177:E177"/>
    <mergeCell ref="X171:AA171"/>
    <mergeCell ref="X168:AA168"/>
    <mergeCell ref="B149:E149"/>
    <mergeCell ref="X224:AA224"/>
    <mergeCell ref="B197:E197"/>
    <mergeCell ref="B175:E175"/>
    <mergeCell ref="B218:E218"/>
    <mergeCell ref="X233:AA233"/>
    <mergeCell ref="X225:AA225"/>
    <mergeCell ref="B203:E203"/>
    <mergeCell ref="X164:AA164"/>
    <mergeCell ref="X154:AA154"/>
    <mergeCell ref="X163:AA163"/>
    <mergeCell ref="X158:AA159"/>
    <mergeCell ref="X247:AA247"/>
    <mergeCell ref="B191:E191"/>
    <mergeCell ref="B166:E166"/>
    <mergeCell ref="B193:E193"/>
    <mergeCell ref="B223:E223"/>
    <mergeCell ref="B123:E123"/>
    <mergeCell ref="B84:E84"/>
    <mergeCell ref="B112:E112"/>
    <mergeCell ref="B138:E138"/>
    <mergeCell ref="X178:AA178"/>
    <mergeCell ref="X179:AA179"/>
    <mergeCell ref="B232:E232"/>
    <mergeCell ref="B216:E216"/>
    <mergeCell ref="B212:E212"/>
    <mergeCell ref="B227:E227"/>
    <mergeCell ref="B186:E186"/>
    <mergeCell ref="B219:E219"/>
    <mergeCell ref="B189:E189"/>
    <mergeCell ref="B217:E217"/>
    <mergeCell ref="B201:E201"/>
    <mergeCell ref="B210:E210"/>
    <mergeCell ref="B174:E174"/>
    <mergeCell ref="B180:E180"/>
    <mergeCell ref="B164:E164"/>
    <mergeCell ref="B163:E163"/>
    <mergeCell ref="X232:AA232"/>
    <mergeCell ref="B170:E170"/>
    <mergeCell ref="B202:E202"/>
    <mergeCell ref="C158:E159"/>
    <mergeCell ref="H158:W158"/>
    <mergeCell ref="B167:E167"/>
    <mergeCell ref="B184:E184"/>
    <mergeCell ref="B196:E196"/>
    <mergeCell ref="B181:E181"/>
    <mergeCell ref="B176:E176"/>
    <mergeCell ref="B22:E22"/>
    <mergeCell ref="AF28:AJ28"/>
    <mergeCell ref="X40:AA40"/>
    <mergeCell ref="X33:AA33"/>
    <mergeCell ref="X35:AA35"/>
    <mergeCell ref="X36:AA36"/>
    <mergeCell ref="X31:AA31"/>
    <mergeCell ref="AF26:AJ26"/>
    <mergeCell ref="AF25:AI25"/>
    <mergeCell ref="AF22:AI22"/>
    <mergeCell ref="B38:E38"/>
    <mergeCell ref="B27:E27"/>
    <mergeCell ref="B37:E37"/>
    <mergeCell ref="B40:E40"/>
    <mergeCell ref="B45:E45"/>
    <mergeCell ref="H45:K45"/>
    <mergeCell ref="X45:AA45"/>
    <mergeCell ref="X32:AA32"/>
    <mergeCell ref="H44:K44"/>
    <mergeCell ref="H40:K40"/>
    <mergeCell ref="X166:AA166"/>
    <mergeCell ref="B55:E55"/>
    <mergeCell ref="AF17:AJ17"/>
    <mergeCell ref="B18:E18"/>
    <mergeCell ref="H30:K30"/>
    <mergeCell ref="H33:K33"/>
    <mergeCell ref="X19:AA19"/>
    <mergeCell ref="B19:E19"/>
    <mergeCell ref="AF15:AI15"/>
    <mergeCell ref="AF18:AI18"/>
    <mergeCell ref="AF19:AJ19"/>
    <mergeCell ref="B14:E14"/>
    <mergeCell ref="B707:W707"/>
    <mergeCell ref="B695:W695"/>
    <mergeCell ref="B680:W680"/>
    <mergeCell ref="B678:W678"/>
    <mergeCell ref="B698:W705"/>
    <mergeCell ref="B681:W681"/>
    <mergeCell ref="B694:W694"/>
    <mergeCell ref="B692:W692"/>
    <mergeCell ref="B696:W696"/>
    <mergeCell ref="B685:W688"/>
    <mergeCell ref="B690:W691"/>
    <mergeCell ref="B684:W684"/>
    <mergeCell ref="B682:W682"/>
    <mergeCell ref="S647:S648"/>
    <mergeCell ref="C657:G657"/>
    <mergeCell ref="B624:E624"/>
    <mergeCell ref="B627:E627"/>
    <mergeCell ref="N647:N648"/>
    <mergeCell ref="H647:H648"/>
    <mergeCell ref="B634:E634"/>
    <mergeCell ref="B625:E625"/>
    <mergeCell ref="X160:AA160"/>
    <mergeCell ref="A642:A652"/>
    <mergeCell ref="B650:G650"/>
    <mergeCell ref="B628:E628"/>
    <mergeCell ref="B651:G651"/>
    <mergeCell ref="B629:E629"/>
    <mergeCell ref="B632:E632"/>
    <mergeCell ref="B652:G652"/>
    <mergeCell ref="B641:G641"/>
    <mergeCell ref="B140:E140"/>
    <mergeCell ref="B143:E143"/>
    <mergeCell ref="X143:AA143"/>
    <mergeCell ref="F158:F159"/>
    <mergeCell ref="B158:B159"/>
    <mergeCell ref="B162:E162"/>
    <mergeCell ref="B165:E165"/>
    <mergeCell ref="B147:E147"/>
    <mergeCell ref="X234:AA234"/>
    <mergeCell ref="B207:E207"/>
    <mergeCell ref="B204:E204"/>
    <mergeCell ref="B179:E179"/>
    <mergeCell ref="X240:AA240"/>
    <mergeCell ref="X181:AA181"/>
    <mergeCell ref="B183:E183"/>
    <mergeCell ref="B173:E173"/>
    <mergeCell ref="B214:E214"/>
    <mergeCell ref="B168:E168"/>
    <mergeCell ref="X229:AA229"/>
    <mergeCell ref="B171:E171"/>
    <mergeCell ref="X177:AA177"/>
    <mergeCell ref="X169:AA169"/>
    <mergeCell ref="B630:E630"/>
    <mergeCell ref="X180:AA180"/>
    <mergeCell ref="B643:G643"/>
    <mergeCell ref="B626:E626"/>
    <mergeCell ref="B642:G642"/>
    <mergeCell ref="U647:U648"/>
    <mergeCell ref="B631:E631"/>
    <mergeCell ref="I647:I648"/>
    <mergeCell ref="B644:G644"/>
    <mergeCell ref="C590:E591"/>
    <mergeCell ref="B620:E620"/>
    <mergeCell ref="B551:E551"/>
    <mergeCell ref="C561:E562"/>
    <mergeCell ref="B574:E574"/>
    <mergeCell ref="B585:E585"/>
    <mergeCell ref="B582:E582"/>
    <mergeCell ref="B593:E593"/>
    <mergeCell ref="B595:E595"/>
    <mergeCell ref="B596:E596"/>
    <mergeCell ref="B619:E619"/>
    <mergeCell ref="G590:G591"/>
    <mergeCell ref="B565:E565"/>
    <mergeCell ref="B567:E567"/>
    <mergeCell ref="B570:E570"/>
    <mergeCell ref="B581:E581"/>
    <mergeCell ref="B608:E608"/>
    <mergeCell ref="B569:E569"/>
    <mergeCell ref="B208:E208"/>
    <mergeCell ref="B247:E247"/>
    <mergeCell ref="B602:E602"/>
    <mergeCell ref="B215:E215"/>
    <mergeCell ref="B225:E225"/>
    <mergeCell ref="B233:E233"/>
    <mergeCell ref="B257:E257"/>
    <mergeCell ref="B605:E605"/>
    <mergeCell ref="B248:E248"/>
    <mergeCell ref="B251:E251"/>
    <mergeCell ref="B252:E252"/>
    <mergeCell ref="B507:E507"/>
    <mergeCell ref="B505:E505"/>
    <mergeCell ref="B508:E508"/>
    <mergeCell ref="B496:E496"/>
    <mergeCell ref="B494:E494"/>
    <mergeCell ref="B221:E221"/>
    <mergeCell ref="B306:E306"/>
    <mergeCell ref="B220:E220"/>
    <mergeCell ref="B238:B239"/>
    <mergeCell ref="B253:E253"/>
    <mergeCell ref="B250:E250"/>
    <mergeCell ref="B246:E246"/>
    <mergeCell ref="B228:E228"/>
    <mergeCell ref="B242:E242"/>
    <mergeCell ref="B222:E222"/>
    <mergeCell ref="B224:E224"/>
    <mergeCell ref="B341:E341"/>
    <mergeCell ref="B226:E226"/>
    <mergeCell ref="B435:E435"/>
    <mergeCell ref="B445:E445"/>
    <mergeCell ref="B451:E451"/>
    <mergeCell ref="B144:E144"/>
    <mergeCell ref="X228:AA228"/>
    <mergeCell ref="B245:E245"/>
    <mergeCell ref="X176:AA176"/>
    <mergeCell ref="X245:AA245"/>
    <mergeCell ref="X170:AA170"/>
    <mergeCell ref="B211:E211"/>
    <mergeCell ref="X165:AA165"/>
    <mergeCell ref="B255:E255"/>
    <mergeCell ref="B614:E614"/>
    <mergeCell ref="B187:E187"/>
    <mergeCell ref="B172:E172"/>
    <mergeCell ref="I172:M175"/>
    <mergeCell ref="B195:E195"/>
    <mergeCell ref="H177:K182"/>
    <mergeCell ref="B182:E182"/>
    <mergeCell ref="B199:E199"/>
    <mergeCell ref="B213:E213"/>
    <mergeCell ref="X221:AA221"/>
    <mergeCell ref="B209:E209"/>
    <mergeCell ref="B185:E185"/>
    <mergeCell ref="B190:E190"/>
    <mergeCell ref="B198:E198"/>
    <mergeCell ref="B188:E188"/>
    <mergeCell ref="H238:W238"/>
    <mergeCell ref="B244:E244"/>
    <mergeCell ref="X244:AA244"/>
    <mergeCell ref="B234:E234"/>
    <mergeCell ref="Q204:W204"/>
    <mergeCell ref="X231:AA231"/>
    <mergeCell ref="X607:AA607"/>
    <mergeCell ref="B194:E194"/>
    <mergeCell ref="X70:AA70"/>
    <mergeCell ref="B161:E161"/>
    <mergeCell ref="X129:AA129"/>
    <mergeCell ref="B28:E28"/>
    <mergeCell ref="B82:E82"/>
    <mergeCell ref="B119:E119"/>
    <mergeCell ref="X78:AA79"/>
    <mergeCell ref="I111:W112"/>
    <mergeCell ref="X123:AA123"/>
    <mergeCell ref="B142:E142"/>
    <mergeCell ref="B139:E139"/>
    <mergeCell ref="H41:K41"/>
    <mergeCell ref="X34:AA34"/>
    <mergeCell ref="B56:E56"/>
    <mergeCell ref="I69:M69"/>
    <mergeCell ref="B133:E133"/>
    <mergeCell ref="B107:E107"/>
    <mergeCell ref="B93:E93"/>
    <mergeCell ref="G121:K121"/>
    <mergeCell ref="B101:E101"/>
    <mergeCell ref="I70:M70"/>
    <mergeCell ref="B69:E69"/>
    <mergeCell ref="B67:E67"/>
    <mergeCell ref="B64:E64"/>
    <mergeCell ref="B60:E60"/>
    <mergeCell ref="G114:K114"/>
    <mergeCell ref="X112:AA112"/>
    <mergeCell ref="B89:E89"/>
    <mergeCell ref="X114:AA114"/>
    <mergeCell ref="B113:E113"/>
    <mergeCell ref="B62:E62"/>
    <mergeCell ref="B134:E134"/>
    <mergeCell ref="B24:E24"/>
    <mergeCell ref="G8:G9"/>
    <mergeCell ref="B52:E52"/>
    <mergeCell ref="B58:E58"/>
    <mergeCell ref="B125:E125"/>
    <mergeCell ref="B121:E121"/>
    <mergeCell ref="F78:F79"/>
    <mergeCell ref="G113:K113"/>
    <mergeCell ref="G115:K115"/>
    <mergeCell ref="G107:M107"/>
    <mergeCell ref="G78:G79"/>
    <mergeCell ref="F80:I90"/>
    <mergeCell ref="B59:E59"/>
    <mergeCell ref="H47:K47"/>
    <mergeCell ref="B46:E46"/>
    <mergeCell ref="H46:K46"/>
    <mergeCell ref="B49:E49"/>
    <mergeCell ref="B94:E94"/>
    <mergeCell ref="B32:E32"/>
    <mergeCell ref="B50:E50"/>
    <mergeCell ref="B66:E66"/>
    <mergeCell ref="G108:M108"/>
    <mergeCell ref="B110:E110"/>
    <mergeCell ref="B206:E206"/>
    <mergeCell ref="B241:E241"/>
    <mergeCell ref="B200:E200"/>
    <mergeCell ref="B178:E178"/>
    <mergeCell ref="X222:AA222"/>
    <mergeCell ref="G187:S192"/>
    <mergeCell ref="X227:AA227"/>
    <mergeCell ref="B152:E152"/>
    <mergeCell ref="X153:AA153"/>
    <mergeCell ref="B153:E153"/>
    <mergeCell ref="B146:E146"/>
    <mergeCell ref="B128:E128"/>
    <mergeCell ref="B118:E118"/>
    <mergeCell ref="AF23:AI23"/>
    <mergeCell ref="H29:K29"/>
    <mergeCell ref="B42:E42"/>
    <mergeCell ref="X41:AA41"/>
    <mergeCell ref="I71:M71"/>
    <mergeCell ref="X47:AA47"/>
    <mergeCell ref="B53:E53"/>
    <mergeCell ref="B74:E74"/>
    <mergeCell ref="X71:AA71"/>
    <mergeCell ref="B105:E105"/>
    <mergeCell ref="B88:E88"/>
    <mergeCell ref="H38:K38"/>
    <mergeCell ref="B33:E33"/>
    <mergeCell ref="X39:AA39"/>
    <mergeCell ref="B47:E47"/>
    <mergeCell ref="B61:E61"/>
    <mergeCell ref="B54:E54"/>
    <mergeCell ref="AF27:AJ27"/>
    <mergeCell ref="B34:E34"/>
    <mergeCell ref="B148:E148"/>
    <mergeCell ref="B108:E108"/>
    <mergeCell ref="G106:O106"/>
    <mergeCell ref="B115:E115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B51:E51"/>
    <mergeCell ref="H42:K42"/>
    <mergeCell ref="F49:I52"/>
    <mergeCell ref="X42:AA42"/>
    <mergeCell ref="X37:AA37"/>
    <mergeCell ref="X15:AA15"/>
    <mergeCell ref="Q15:W15"/>
    <mergeCell ref="X14:AA14"/>
    <mergeCell ref="X24:AA24"/>
    <mergeCell ref="B43:E43"/>
    <mergeCell ref="H43:K43"/>
    <mergeCell ref="X43:AA43"/>
    <mergeCell ref="AB158:AB159"/>
    <mergeCell ref="B92:E92"/>
    <mergeCell ref="B141:E141"/>
    <mergeCell ref="B21:E21"/>
    <mergeCell ref="B7:W7"/>
    <mergeCell ref="AE5:AI7"/>
    <mergeCell ref="AF13:AH13"/>
    <mergeCell ref="AC8:AI9"/>
    <mergeCell ref="B23:E23"/>
    <mergeCell ref="B20:E20"/>
    <mergeCell ref="AF21:AI21"/>
    <mergeCell ref="AF20:AI20"/>
    <mergeCell ref="AF24:AJ24"/>
    <mergeCell ref="B26:E26"/>
    <mergeCell ref="B25:E25"/>
    <mergeCell ref="AF29:AJ29"/>
    <mergeCell ref="B44:E44"/>
    <mergeCell ref="H39:K39"/>
    <mergeCell ref="B3:D5"/>
    <mergeCell ref="E5:W5"/>
    <mergeCell ref="B39:E39"/>
    <mergeCell ref="B6:W6"/>
    <mergeCell ref="X5:AD7"/>
    <mergeCell ref="X120:AA120"/>
    <mergeCell ref="G120:K120"/>
    <mergeCell ref="B130:E130"/>
    <mergeCell ref="X131:AA131"/>
    <mergeCell ref="H48:K48"/>
    <mergeCell ref="X38:AA38"/>
    <mergeCell ref="B41:E41"/>
    <mergeCell ref="AB8:AB9"/>
    <mergeCell ref="AF158:AH158"/>
    <mergeCell ref="AF78:AH78"/>
    <mergeCell ref="B2:W2"/>
    <mergeCell ref="B17:E17"/>
    <mergeCell ref="AC137:AF137"/>
    <mergeCell ref="X30:AA30"/>
    <mergeCell ref="X44:AA44"/>
    <mergeCell ref="B35:E35"/>
    <mergeCell ref="H37:K37"/>
    <mergeCell ref="H35:K35"/>
    <mergeCell ref="B36:E36"/>
    <mergeCell ref="H32:K32"/>
    <mergeCell ref="H34:K34"/>
    <mergeCell ref="B30:E30"/>
    <mergeCell ref="X29:AA29"/>
    <mergeCell ref="B29:E29"/>
    <mergeCell ref="H36:K36"/>
    <mergeCell ref="B10:E10"/>
    <mergeCell ref="B11:E11"/>
    <mergeCell ref="B15:E15"/>
    <mergeCell ref="B16:E16"/>
    <mergeCell ref="X113:AA113"/>
    <mergeCell ref="B98:E98"/>
    <mergeCell ref="B100:E100"/>
    <mergeCell ref="X107:AA107"/>
    <mergeCell ref="B104:E104"/>
    <mergeCell ref="X18:AA18"/>
    <mergeCell ref="X17:AA17"/>
    <mergeCell ref="B48:E48"/>
    <mergeCell ref="X48:AA48"/>
    <mergeCell ref="B91:E91"/>
    <mergeCell ref="X124:AA124"/>
    <mergeCell ref="X69:AA69"/>
    <mergeCell ref="AB78:AB79"/>
    <mergeCell ref="G119:K119"/>
    <mergeCell ref="B122:E122"/>
    <mergeCell ref="G122:K122"/>
    <mergeCell ref="X122:AA122"/>
    <mergeCell ref="I72:K72"/>
    <mergeCell ref="X74:AA74"/>
    <mergeCell ref="X82:Z82"/>
    <mergeCell ref="G117:K117"/>
    <mergeCell ref="X117:AA117"/>
    <mergeCell ref="B83:E83"/>
    <mergeCell ref="B80:E80"/>
    <mergeCell ref="B85:E85"/>
    <mergeCell ref="H109:M110"/>
    <mergeCell ref="X108:AA108"/>
    <mergeCell ref="X119:AA119"/>
    <mergeCell ref="X46:AA46"/>
    <mergeCell ref="B65:E65"/>
    <mergeCell ref="B120:E120"/>
    <mergeCell ref="B106:E106"/>
    <mergeCell ref="B57:E57"/>
    <mergeCell ref="C78:E79"/>
    <mergeCell ref="B73:E73"/>
    <mergeCell ref="B81:E81"/>
    <mergeCell ref="G118:K118"/>
    <mergeCell ref="B70:E70"/>
    <mergeCell ref="B109:E109"/>
    <mergeCell ref="X109:AA109"/>
    <mergeCell ref="B63:E63"/>
    <mergeCell ref="B68:E68"/>
    <mergeCell ref="B78:B79"/>
    <mergeCell ref="B71:E71"/>
    <mergeCell ref="E3:W3"/>
    <mergeCell ref="E4:W4"/>
    <mergeCell ref="X111:AA111"/>
    <mergeCell ref="B114:E114"/>
    <mergeCell ref="X130:AA130"/>
    <mergeCell ref="X72:AA72"/>
    <mergeCell ref="B137:E137"/>
    <mergeCell ref="X138:AA138"/>
    <mergeCell ref="X134:AA134"/>
    <mergeCell ref="X144:AA144"/>
    <mergeCell ref="X125:AA125"/>
    <mergeCell ref="B116:E116"/>
    <mergeCell ref="G116:K116"/>
    <mergeCell ref="H78:W78"/>
    <mergeCell ref="B127:E127"/>
    <mergeCell ref="X142:AA142"/>
    <mergeCell ref="B129:E129"/>
    <mergeCell ref="B131:E131"/>
    <mergeCell ref="G123:K123"/>
    <mergeCell ref="X87:Z87"/>
    <mergeCell ref="X106:AA106"/>
    <mergeCell ref="X118:AA118"/>
    <mergeCell ref="X116:AA116"/>
    <mergeCell ref="B72:E72"/>
    <mergeCell ref="B90:E90"/>
    <mergeCell ref="B96:E96"/>
    <mergeCell ref="Q16:W16"/>
    <mergeCell ref="H31:K31"/>
    <mergeCell ref="C8:E9"/>
    <mergeCell ref="B12:E12"/>
    <mergeCell ref="B31:E31"/>
    <mergeCell ref="X26:AA26"/>
    <mergeCell ref="B151:E151"/>
    <mergeCell ref="X110:AA110"/>
    <mergeCell ref="B87:E87"/>
    <mergeCell ref="B111:E111"/>
    <mergeCell ref="B160:E160"/>
    <mergeCell ref="B154:E154"/>
    <mergeCell ref="X86:Z86"/>
    <mergeCell ref="B102:E102"/>
    <mergeCell ref="B95:E95"/>
    <mergeCell ref="B86:E86"/>
    <mergeCell ref="B145:E145"/>
    <mergeCell ref="X105:AA105"/>
    <mergeCell ref="X83:Z83"/>
    <mergeCell ref="B97:E97"/>
    <mergeCell ref="B126:E126"/>
    <mergeCell ref="O94:W94"/>
    <mergeCell ref="B136:E136"/>
    <mergeCell ref="B99:E99"/>
    <mergeCell ref="X115:AA115"/>
    <mergeCell ref="B103:E103"/>
    <mergeCell ref="X127:AA127"/>
    <mergeCell ref="X145:AA145"/>
    <mergeCell ref="X135:AA135"/>
    <mergeCell ref="B132:E132"/>
    <mergeCell ref="B135:E135"/>
    <mergeCell ref="X136:AA136"/>
    <mergeCell ref="X137:AA137"/>
    <mergeCell ref="X133:AA133"/>
    <mergeCell ref="B124:E124"/>
    <mergeCell ref="X139:AA139"/>
    <mergeCell ref="X121:AA121"/>
    <mergeCell ref="B117:E117"/>
    <mergeCell ref="X226:AA226"/>
    <mergeCell ref="B230:E230"/>
    <mergeCell ref="X230:AA230"/>
    <mergeCell ref="X132:AA132"/>
    <mergeCell ref="AF398:AH398"/>
    <mergeCell ref="AB398:AB399"/>
    <mergeCell ref="AF318:AH318"/>
    <mergeCell ref="AF238:AH238"/>
    <mergeCell ref="AB318:AB319"/>
    <mergeCell ref="X318:AA319"/>
    <mergeCell ref="X284:AA284"/>
    <mergeCell ref="B613:E613"/>
    <mergeCell ref="B603:E603"/>
    <mergeCell ref="X612:AA612"/>
    <mergeCell ref="B611:E611"/>
    <mergeCell ref="X610:AA610"/>
    <mergeCell ref="X608:AA608"/>
    <mergeCell ref="AB238:AB239"/>
    <mergeCell ref="B261:E261"/>
    <mergeCell ref="B298:E298"/>
    <mergeCell ref="X324:AA324"/>
    <mergeCell ref="B318:B319"/>
    <mergeCell ref="X611:AA611"/>
    <mergeCell ref="X323:AA323"/>
    <mergeCell ref="B305:E305"/>
    <mergeCell ref="X292:AA292"/>
    <mergeCell ref="B370:E370"/>
    <mergeCell ref="H318:W318"/>
    <mergeCell ref="B336:E336"/>
    <mergeCell ref="B355:E355"/>
    <mergeCell ref="B294:E294"/>
    <mergeCell ref="B540:E540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49" r:id="rId8"/>
    <hyperlink ref="AB50" r:id="rId9"/>
    <hyperlink ref="AB53" r:id="rId10" display="https://www.jivi.com.ar/ficha.php?id=41"/>
    <hyperlink ref="AB54" r:id="rId11" display="https://www.jivi.com.ar/ficha.php?id=42"/>
    <hyperlink ref="AB55" r:id="rId12" display="https://www.jivi.com.ar/ficha.php?id=649"/>
    <hyperlink ref="AB56" r:id="rId13" display="https://www.jivi.com.ar/ficha.php?id=650"/>
    <hyperlink ref="AB64" r:id="rId14" display="https://www.jivi.com.ar/ficha.php?id=164"/>
    <hyperlink ref="AB68" r:id="rId15" display="https://www.jivi.com.ar/ficha.php?id=77"/>
    <hyperlink ref="AB70" r:id="rId16"/>
    <hyperlink ref="AB72" r:id="rId17"/>
    <hyperlink ref="AB73" r:id="rId18"/>
    <hyperlink ref="AC80" r:id="rId19"/>
    <hyperlink ref="AD80" r:id="rId20"/>
    <hyperlink ref="AE80" r:id="rId21"/>
    <hyperlink ref="AF80" r:id="rId22"/>
    <hyperlink ref="AG80" r:id="rId23"/>
    <hyperlink ref="AC81" r:id="rId24"/>
    <hyperlink ref="AD81" r:id="rId25"/>
    <hyperlink ref="AE81" r:id="rId26"/>
    <hyperlink ref="AF81" r:id="rId27"/>
    <hyperlink ref="AG81" r:id="rId28"/>
    <hyperlink ref="AH81" r:id="rId29"/>
    <hyperlink ref="AC82" r:id="rId30"/>
    <hyperlink ref="AD82" r:id="rId31"/>
    <hyperlink ref="AE82" r:id="rId32"/>
    <hyperlink ref="AF82" r:id="rId33"/>
    <hyperlink ref="AH82" r:id="rId34"/>
    <hyperlink ref="AG82" r:id="rId35"/>
    <hyperlink ref="AC83" r:id="rId36"/>
    <hyperlink ref="AD83" r:id="rId37"/>
    <hyperlink ref="AE83" r:id="rId38"/>
    <hyperlink ref="AF83" r:id="rId39"/>
    <hyperlink ref="AC84" r:id="rId40"/>
    <hyperlink ref="AD84" r:id="rId41"/>
    <hyperlink ref="AE84" r:id="rId42"/>
    <hyperlink ref="AF84" r:id="rId43"/>
    <hyperlink ref="AG84" r:id="rId44"/>
    <hyperlink ref="AC85" r:id="rId45"/>
    <hyperlink ref="AD85" r:id="rId46"/>
    <hyperlink ref="AE85" r:id="rId47"/>
    <hyperlink ref="AC86" r:id="rId48"/>
    <hyperlink ref="AD86" r:id="rId49"/>
    <hyperlink ref="AE86" r:id="rId50"/>
    <hyperlink ref="AF86" r:id="rId51"/>
    <hyperlink ref="AG86" r:id="rId52"/>
    <hyperlink ref="AH86" r:id="rId53"/>
    <hyperlink ref="AB87" r:id="rId54"/>
    <hyperlink ref="AB88" r:id="rId55"/>
    <hyperlink ref="AB89" r:id="rId56"/>
    <hyperlink ref="AC90" r:id="rId57"/>
    <hyperlink ref="AD90" r:id="rId58"/>
    <hyperlink ref="AE90" r:id="rId59"/>
    <hyperlink ref="AF90" r:id="rId60"/>
    <hyperlink ref="AG90" r:id="rId61"/>
    <hyperlink ref="AB298" r:id="rId62" display="https://www.jivi.com.ar/ficha.php?id=187"/>
    <hyperlink ref="AB300" r:id="rId63" display="https://www.jivi.com.ar/ficha.php?id=4"/>
    <hyperlink ref="AB312" r:id="rId64" display="https://www.jivi.com.ar/ficha.php?id=55"/>
    <hyperlink ref="AB320" r:id="rId65" display="https://www.jivi.com.ar/ficha.php?id=209"/>
    <hyperlink ref="AB321" r:id="rId66"/>
    <hyperlink ref="AB328" r:id="rId67" display="https://www.jivi.com.ar/ficha.php?id=60"/>
    <hyperlink ref="AB330" r:id="rId68" display="https://www.jivi.com.ar/ficha.php?id=380"/>
    <hyperlink ref="AB334" r:id="rId69" display="https://www.jivi.com.ar/ficha.php?id=548"/>
    <hyperlink ref="AB335" r:id="rId70"/>
    <hyperlink ref="AB337" r:id="rId71" display="https://www.jivi.com.ar/ficha.php?id=719"/>
    <hyperlink ref="AB100" r:id="rId72" display="https://www.jivi.com.ar/ficha.php?id=326"/>
    <hyperlink ref="AB104" r:id="rId73" display="https://www.jivi.com.ar/ficha.php?id=134"/>
    <hyperlink ref="AB109" r:id="rId74" display="https://www.jivi.com.ar/ficha.php?id=10"/>
    <hyperlink ref="AB110" r:id="rId75" display="https://www.jivi.com.ar/ficha.php?id=11"/>
    <hyperlink ref="AB135" r:id="rId76" display="https://www.jivi.com.ar/ficha.php?id=394"/>
    <hyperlink ref="AB136" r:id="rId77" display="https://www.jivi.com.ar/ficha.php?id=145"/>
    <hyperlink ref="AB139" r:id="rId78" display="https://www.jivi.com.ar/ficha.php?id=18"/>
    <hyperlink ref="AB143" r:id="rId79" display="https://www.jivi.com.ar/ficha.php?id=19"/>
    <hyperlink ref="AB147" r:id="rId80" display="https://www.jivi.com.ar/ficha.php?id=142"/>
    <hyperlink ref="AB148" r:id="rId81" display="https://www.jivi.com.ar/ficha.php?id=392"/>
    <hyperlink ref="AB149" r:id="rId82" display="https://www.jivi.com.ar/ficha.php?id=393"/>
    <hyperlink ref="AB172" r:id="rId83" display="https://www.jivi.com.ar/ficha.php?id=135"/>
    <hyperlink ref="AB173" r:id="rId84" display="https://www.jivi.com.ar/ficha.php?id=136"/>
    <hyperlink ref="AB174" r:id="rId85" display="https://www.jivi.com.ar/ficha.php?id=137"/>
    <hyperlink ref="AB175" r:id="rId86" display="https://www.jivi.com.ar/ficha.php?id=138"/>
    <hyperlink ref="AB183" r:id="rId87" display="https://www.jivi.com.ar/ficha.php?id=245"/>
    <hyperlink ref="AB199" r:id="rId88" display="https://www.jivi.com.ar/ficha.php?id=166"/>
    <hyperlink ref="AB200" r:id="rId89" display="https://www.jivi.com.ar/ficha.php?id=171"/>
    <hyperlink ref="AB204" r:id="rId90" display="https://www.jivi.com.ar/ficha.php?id=168"/>
    <hyperlink ref="AB210" r:id="rId91" display="https://www.jivi.com.ar/ficha.php?id=169"/>
    <hyperlink ref="AB212" r:id="rId92" display="https://www.jivi.com.ar/ficha.php?id=148"/>
    <hyperlink ref="AB213" r:id="rId93" display="https://www.jivi.com.ar/ficha.php?id=158"/>
    <hyperlink ref="AB610" r:id="rId94" display="https://www.jivi.com.ar/ficha.php?id=621"/>
    <hyperlink ref="AB611" r:id="rId95" display="https://www.jivi.com.ar/ficha.php?id=622"/>
    <hyperlink ref="AB94" r:id="rId96" display="https://www.jivi.com.ar/ficha.php?id=456"/>
    <hyperlink ref="AB258" r:id="rId97" display="https://www.jivi.com.ar/ficha.php?id=246"/>
    <hyperlink ref="AB413" r:id="rId98" display="https://www.jivi.com.ar/ficha.php?id=431"/>
    <hyperlink ref="AB417" r:id="rId99" display="https://www.jivi.com.ar/ficha.php?id=728"/>
    <hyperlink ref="AB431" r:id="rId100"/>
    <hyperlink ref="AB433" r:id="rId101"/>
    <hyperlink ref="AB443" r:id="rId102"/>
    <hyperlink ref="AB445" r:id="rId103"/>
    <hyperlink ref="AB447" r:id="rId104"/>
    <hyperlink ref="AB448" r:id="rId105"/>
    <hyperlink ref="AB449" r:id="rId106"/>
    <hyperlink ref="AB451" r:id="rId107"/>
    <hyperlink ref="AB452" r:id="rId108"/>
    <hyperlink ref="AB454" r:id="rId109"/>
    <hyperlink ref="AB457" r:id="rId110"/>
    <hyperlink ref="AB458" r:id="rId111"/>
    <hyperlink ref="AB459" r:id="rId112"/>
    <hyperlink ref="AB593" r:id="rId113"/>
    <hyperlink ref="AB598" r:id="rId114"/>
    <hyperlink ref="AB599" r:id="rId115"/>
    <hyperlink ref="AB96" r:id="rId116" display="https://www.jivi.com.ar/ficha.php?id=234"/>
    <hyperlink ref="AB306" r:id="rId117" display="https://www.jivi.com.ar/ficha.php?id=51"/>
    <hyperlink ref="AB322" r:id="rId118"/>
    <hyperlink ref="AB256" r:id="rId119" display="https://www.jivi.com.ar/ficha.php?id=783"/>
    <hyperlink ref="B7:V7" location="'Artículos Publicitarios'!A686" display="PARA IR A LOS RECARGOS POR IMPRESIONES ADICIONALES CLICK AQUÍ"/>
    <hyperlink ref="AB435" r:id="rId120"/>
    <hyperlink ref="AC51" r:id="rId121"/>
    <hyperlink ref="AD51" r:id="rId122"/>
    <hyperlink ref="AE51" r:id="rId123"/>
    <hyperlink ref="B7:W7" location="'Artículos Publicitarios'!A661" display="PARA IR A LOS RECARGOS POR IMPRESIONES ADICIONALES CLICK AQUÍ"/>
    <hyperlink ref="AB221" r:id="rId124" display="https://www.jivi.com.ar/ficha.php?id=840"/>
    <hyperlink ref="AE2:AF2" location="'Artículos Publicitarios'!A839" display="CLICK AQUÍ"/>
    <hyperlink ref="AE2" location="'Artículos Publicitarios'!A833" display="CLICK AQUÍ"/>
    <hyperlink ref="AB505" r:id="rId125" display="https://www.jivi.com.ar/ficha.php?id=846"/>
    <hyperlink ref="AB24" r:id="rId126" display="https://www.jivi.com.ar/ficha.php?id=848"/>
    <hyperlink ref="AB74" r:id="rId127"/>
    <hyperlink ref="AE2:AG2" location="'Artículos Publicitarios'!A707" display="CLICK AQUÍ"/>
    <hyperlink ref="B707:W707" location="'Artículos Publicitarios'!A3" display="PARA SUBIR AL PRINCIPIO DE LA LISTA CLICK AQUÍ"/>
    <hyperlink ref="AB253" r:id="rId128" display="https://www.jivi.com.ar/ficha.php?id=862"/>
    <hyperlink ref="AB42" r:id="rId129"/>
    <hyperlink ref="AB150" r:id="rId130" display="https://www.jivi.com.ar/ficha.php?id=882"/>
    <hyperlink ref="AB101" r:id="rId131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614" r:id="rId132" display="https://www.jivi.com.ar/ficha.php?id=903"/>
    <hyperlink ref="AB19" r:id="rId133"/>
    <hyperlink ref="AB311" r:id="rId134" display="https://www.jivi.com.ar/ficha.php?id=916"/>
    <hyperlink ref="AB607" r:id="rId135" display="https://www.jivi.com.ar/ficha.php?id=918"/>
    <hyperlink ref="AB301" r:id="rId136" display="https://www.jivi.com.ar/ficha.php?id=926"/>
    <hyperlink ref="AB65" r:id="rId137"/>
    <hyperlink ref="AB429" r:id="rId138"/>
    <hyperlink ref="AB176" r:id="rId139" display="https://www.jivi.com.ar/ficha.php?id=948"/>
    <hyperlink ref="AB313" r:id="rId140" display="https://www.jivi.com.ar/ficha.php?id=954"/>
    <hyperlink ref="AB130" r:id="rId141"/>
    <hyperlink ref="AB132" r:id="rId142"/>
    <hyperlink ref="AB131" r:id="rId143"/>
    <hyperlink ref="AB436" r:id="rId144"/>
    <hyperlink ref="AB25" r:id="rId145"/>
    <hyperlink ref="AB307" r:id="rId146" display="https://www.jivi.com.ar/ficha.php?id=850"/>
    <hyperlink ref="AB133" r:id="rId147"/>
    <hyperlink ref="AB455" r:id="rId148"/>
    <hyperlink ref="AB456" r:id="rId149"/>
    <hyperlink ref="AB338" r:id="rId150" display="https://www.jivi.com.ar/ficha.php?id=1023"/>
    <hyperlink ref="AB305" r:id="rId151" display="https://www.jivi.com.ar/ficha.php?id=1024"/>
    <hyperlink ref="AB302" r:id="rId152" display="https://www.jivi.com.ar/ficha.php?id=1025"/>
    <hyperlink ref="AF23" location="'Artículos Publicitarios'!A122" display="IR A PINES"/>
    <hyperlink ref="AB309" r:id="rId153" display="https://www.jivi.com.ar/ficha.php?id=647"/>
    <hyperlink ref="AB297" r:id="rId154" display="https://www.jivi.com.ar/ficha.php?id=1049"/>
    <hyperlink ref="AB441" r:id="rId155"/>
    <hyperlink ref="AB187" r:id="rId156" display="https://www.jivi.com.ar/ficha.php?id=1059"/>
    <hyperlink ref="AB189" r:id="rId157" display="https://www.jivi.com.ar/ficha.php?id=1061"/>
    <hyperlink ref="AB190" r:id="rId158" display="https://www.jivi.com.ar/ficha.php?id=1062"/>
    <hyperlink ref="AB21" r:id="rId159" display="https://www.jivi.com.ar/ficha.php?id=364"/>
    <hyperlink ref="AF25:AI25" location="'Artículos Publicitarios'!A475" display="IR A GORROS"/>
    <hyperlink ref="AB23" r:id="rId160"/>
    <hyperlink ref="AB22" r:id="rId161"/>
    <hyperlink ref="AF21:AI21" location="'Artículos Publicitarios'!A583" display="IR A PROD. SUBLIMADOS"/>
    <hyperlink ref="AB577" r:id="rId162" display="https://www.jivi.com.ar/ficha.php?id=1088"/>
    <hyperlink ref="AB578" r:id="rId163" display="https://www.jivi.com.ar/ficha.php?id=1089"/>
    <hyperlink ref="AB579" r:id="rId164" display="https://www.jivi.com.ar/ficha.php?id=1090"/>
    <hyperlink ref="AB580" r:id="rId165" display="https://www.jivi.com.ar/ficha.php?id=1091"/>
    <hyperlink ref="AB326" r:id="rId166" display="https://www.jivi.com.ar/ficha.php?id=1095"/>
    <hyperlink ref="AB303" r:id="rId167" display="https://www.jivi.com.ar/ficha.php?id=1094"/>
    <hyperlink ref="AB299" r:id="rId168" display="https://www.jivi.com.ar/ficha.php?id=297"/>
    <hyperlink ref="AB343" r:id="rId169" display="https://www.jivi.com.ar/ficha.php?id=1097"/>
    <hyperlink ref="AB98" r:id="rId170" display="https://www.jivi.com.ar/ficha.php?id=1098"/>
    <hyperlink ref="AB18" r:id="rId171"/>
    <hyperlink ref="AB215" r:id="rId172"/>
    <hyperlink ref="AB296" r:id="rId173" display="https://www.jivi.com.ar/ficha.php?id=1108"/>
    <hyperlink ref="AB329" r:id="rId174" display="https://www.jivi.com.ar/ficha.php?id=1116"/>
    <hyperlink ref="AF590:AH590" location="'Artículos Publicitarios'!A3" display="IR A PAGINA 1"/>
    <hyperlink ref="AF23:AI23" location="'Artículos Publicitarios'!A91" display="IR A PINES"/>
    <hyperlink ref="AF22:AI22" location="'Artículos Publicitarios'!A159" display="IR A CARPITAS"/>
    <hyperlink ref="AF18:AI18" location="'Artículos Publicitarios'!A132" display="IR A CINTAS COLGANTES"/>
    <hyperlink ref="AF26:AI26" location="'Artículos Publicitarios'!A264" display="IR A PORTADOCUMENTOS"/>
    <hyperlink ref="AB169" r:id="rId175" display="https://www.jivi.com.ar/ficha.php?id=1119"/>
    <hyperlink ref="AB170" r:id="rId176"/>
    <hyperlink ref="AB602" r:id="rId177" display="https://www.jivi.com.ar/ficha.php?id=1154"/>
    <hyperlink ref="AB612" r:id="rId178" display="https://www.jivi.com.ar/ficha.php?id=1157"/>
    <hyperlink ref="AB613" r:id="rId179" display="https://www.jivi.com.ar/ficha.php?id=1158"/>
    <hyperlink ref="AB575" r:id="rId180"/>
    <hyperlink ref="AB581" r:id="rId181" display="hhttps://www.jivi.com.ar/ficha.php?id=1155"/>
    <hyperlink ref="AB583" r:id="rId182" display="https://www.jivi.com.ar/ficha.php?id=1156"/>
    <hyperlink ref="AB586" r:id="rId183"/>
    <hyperlink ref="AB304" r:id="rId184"/>
    <hyperlink ref="AB52" r:id="rId185" display="https://www.jivi.com.ar/ficha.php?id=1172"/>
    <hyperlink ref="AB308" r:id="rId186"/>
    <hyperlink ref="AB97" r:id="rId187"/>
    <hyperlink ref="AB119" r:id="rId188"/>
    <hyperlink ref="AB310" r:id="rId189" display="https://www.jivi.com.ar/ficha.php?id=915"/>
    <hyperlink ref="AB107" r:id="rId190" display="https://www.jivi.com.ar/ficha.php?id=1182"/>
    <hyperlink ref="AB118" r:id="rId191" display="https://www.jivi.com.ar/ficha.php?id=1183"/>
    <hyperlink ref="AB120" r:id="rId192"/>
    <hyperlink ref="AB314" r:id="rId193" display="https://www.jivi.com.ar/ficha.php?id=349"/>
    <hyperlink ref="AB380" r:id="rId194" display="https://www.jivi.com.ar/ficha.php?id=1190"/>
    <hyperlink ref="AB379" r:id="rId195" display="https://www.jivi.com.ar/ficha.php?id=1192"/>
    <hyperlink ref="AB105" r:id="rId196" display="https://www.jivi.com.ar/ficha.php?id=1181"/>
    <hyperlink ref="AB324" r:id="rId197"/>
    <hyperlink ref="AB437" r:id="rId198"/>
    <hyperlink ref="AB382" r:id="rId199" display="https://www.jivi.com.ar/ficha.php?id=1219"/>
    <hyperlink ref="AB47" r:id="rId200"/>
    <hyperlink ref="AB46" r:id="rId201"/>
    <hyperlink ref="AB48" r:id="rId202"/>
    <hyperlink ref="AB615" r:id="rId203" display="https://www.jivi.com.ar/ficha.php?id=904"/>
    <hyperlink ref="AB59" r:id="rId204"/>
    <hyperlink ref="AB409" r:id="rId205" display="https://www.jivi.com.ar/ficha.php?id=1225"/>
    <hyperlink ref="AB41" r:id="rId206"/>
    <hyperlink ref="AB608" r:id="rId207" display="https://www.jivi.com.ar/ficha.php?id=919"/>
    <hyperlink ref="AB188" r:id="rId208" display="https://www.jivi.com.ar/ficha.php?id=1060"/>
    <hyperlink ref="AB40" r:id="rId209"/>
    <hyperlink ref="AB151" r:id="rId210" display="https://www.jivi.com.ar/ficha.php?id=883"/>
    <hyperlink ref="AB460" r:id="rId211"/>
    <hyperlink ref="AB127" r:id="rId212" display="https://www.jivi.com.ar/ficha.php?id=1055"/>
    <hyperlink ref="AB507" r:id="rId213" display="https://www.jivi.com.ar/ficha.php?id=1248"/>
    <hyperlink ref="AB327" r:id="rId214" display="https://www.jivi.com.ar/ficha.php?id=1253"/>
    <hyperlink ref="AF560:AH560" location="'Artículos Publicitarios'!A3" display="IR A PAGINA 1"/>
    <hyperlink ref="AB254" r:id="rId215" display="https://www.jivi.com.ar/ficha.php?id=1124"/>
    <hyperlink ref="AB152" r:id="rId216" display="https://www.jivi.com.ar/ficha.php?id=1261"/>
    <hyperlink ref="AB358" r:id="rId217" display="https://www.jivi.com.ar/ficha.php?id=1267"/>
    <hyperlink ref="AB410" r:id="rId218" display="https://www.jivi.com.ar/ficha.php?id=1268"/>
    <hyperlink ref="AB359" r:id="rId219" display="https://www.jivi.com.ar/ficha.php?id=1277"/>
    <hyperlink ref="AB360" r:id="rId220" display="https://www.jivi.com.ar/ficha.php?id=1278"/>
    <hyperlink ref="AB361" r:id="rId221" display="https://www.jivi.com.ar/ficha.php?id=1280"/>
    <hyperlink ref="AB625" r:id="rId222"/>
    <hyperlink ref="AB95" r:id="rId223" display="https://www.jivi.com.ar/ficha.php?id=378"/>
    <hyperlink ref="AB167" r:id="rId224"/>
    <hyperlink ref="AB106" r:id="rId225"/>
    <hyperlink ref="AB108" r:id="rId226"/>
    <hyperlink ref="AB113" r:id="rId227" display="https://www.jivi.com.ar/ficha.php?id=1305"/>
    <hyperlink ref="AB114" r:id="rId228"/>
    <hyperlink ref="AB214" r:id="rId229" display="https://www.jivi.com.ar/ficha.php?id=1287"/>
    <hyperlink ref="AB585" r:id="rId230" display="https://www.jivi.com.ar/ficha.php?id=1290"/>
    <hyperlink ref="AB162" r:id="rId231" display="https://www.jivi.com.ar/ficha.php?id=1316"/>
    <hyperlink ref="AB102" r:id="rId232" display="https://www.jivi.com.ar/ficha.php?id=1314"/>
    <hyperlink ref="AJ1:AJ2" location="'Artículos Publicitarios'!A3" display="IR A PAGINA 1"/>
    <hyperlink ref="AB166" r:id="rId233"/>
    <hyperlink ref="AB347" r:id="rId234" display="https://www.jivi.com.ar/ficha.php?id=1344"/>
    <hyperlink ref="AB115" r:id="rId235"/>
    <hyperlink ref="AF667:AH667" location="'Artículos Publicitarios'!A3" display="IR A PAGINA 1"/>
    <hyperlink ref="AB160" r:id="rId236" display="https://www.jivi.com.ar/ficha.php?id=1346"/>
    <hyperlink ref="AB161" r:id="rId237" display="https://www.jivi.com.ar/ficha.php?id=1347"/>
    <hyperlink ref="AB186" r:id="rId238" display="https://www.jivi.com.ar/ficha.php?id=1348"/>
    <hyperlink ref="AB348" r:id="rId239" display="https://www.jivi.com.ar/ficha.php?id=1359"/>
    <hyperlink ref="AB362" r:id="rId240" display="https://www.jivi.com.ar/ficha.php?id=1360"/>
    <hyperlink ref="AB168" r:id="rId241"/>
    <hyperlink ref="AB103" r:id="rId242" display="https://www.jivi.com.ar/ficha.php?id=1366"/>
    <hyperlink ref="AC8:AI9" r:id="rId243" display="REGISTRATE EN NUESTRA WEB PARA BAJAR LISTA DE PRECIOS DESDE CUALQUIER PC"/>
    <hyperlink ref="AB255" r:id="rId244" display="https://www.jivi.com.ar/ficha.php?id=864"/>
    <hyperlink ref="AB366" r:id="rId245" display="https://www.jivi.com.ar/ficha.php?id=1372"/>
    <hyperlink ref="AB365" r:id="rId246" display="https://www.jivi.com.ar/ficha.php?id=1378"/>
    <hyperlink ref="AB367" r:id="rId247" display="https://www.jivi.com.ar/ficha.php?id=1382"/>
    <hyperlink ref="AB364" r:id="rId248" display="https://www.jivi.com.ar/ficha.php?id=1383"/>
    <hyperlink ref="AB385" r:id="rId249" display="https://www.jivi.com.ar/ficha.php?id=1384"/>
    <hyperlink ref="AB125" r:id="rId250" display="https://www.jivi.com.ar/ficha.php?id=1428"/>
    <hyperlink ref="AB386" r:id="rId251" display="https://www.jivi.com.ar/ficha.php?id=1385"/>
    <hyperlink ref="AB384" r:id="rId252" display="https://www.jivi.com.ar/ficha.php?id=1387"/>
    <hyperlink ref="AB387" r:id="rId253" display="https://www.jivi.com.ar/ficha.php?id=1389"/>
    <hyperlink ref="AB388" r:id="rId254" display="https://www.jivi.com.ar/ficha.php?id=1390"/>
    <hyperlink ref="AB20" r:id="rId255" display="https://www.jivi.com.ar/ficha.php?id=363"/>
    <hyperlink ref="AF20" location="'Artículos Publicitarios'!A582" display="IR A REMERAS"/>
    <hyperlink ref="AF20:AI20" location="'Artículos Publicitarios'!A468" display="IR A REMERAS"/>
    <hyperlink ref="AF26:AJ26" location="'Artículos Publicitarios'!A223" display="IR A PORTADOCUMENTOS"/>
    <hyperlink ref="AF24:AH24" location="'Artículos Publicitarios'!A427" display="IR A BOLIGRAFOS"/>
    <hyperlink ref="AF24:AI24" location="'Artículos Publicitarios'!A128" display="IR A LLAVEROS DE CUERO"/>
    <hyperlink ref="AF24:AJ24" location="'Artículos Publicitarios'!A612" display="IR A ART. DE CUERO - CUCHILLERIA"/>
    <hyperlink ref="AB58" r:id="rId256" display="https://www.jivi.com.ar/ficha.php?id=236"/>
    <hyperlink ref="AB163" r:id="rId257" display="https://www.jivi.com.ar/ficha.php?id=1343"/>
    <hyperlink ref="AF13:AH13" location="'Artículos Publicitarios'!A342" display="IR A PAGINA 5"/>
    <hyperlink ref="AF14:AH14" location="'Artículos Publicitarios'!A421" display="IR A PAGINA 6"/>
    <hyperlink ref="AB368" r:id="rId258" display="https://www.jivi.com.ar/ficha.php?id=1394"/>
    <hyperlink ref="AB216" r:id="rId259" display="https://www.jivi.com.ar/ficha.php?id=872"/>
    <hyperlink ref="AB145" r:id="rId260" display="https://www.jivi.com.ar/ficha.php?id=1399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317" display="IR A BOLIGRAFOS"/>
    <hyperlink ref="AB383" r:id="rId261" display="https://www.jivi.com.ar/ficha.php?id=1262"/>
    <hyperlink ref="AB363" r:id="rId262" display="https://www.jivi.com.ar/ficha.php?id=1400"/>
    <hyperlink ref="AB369" r:id="rId263" display="https://www.jivi.com.ar/ficha.php?id=1401"/>
    <hyperlink ref="AB153" r:id="rId264" display="https://www.jivi.com.ar/ficha.php?id=1392"/>
    <hyperlink ref="AB248" r:id="rId265" display="https://www.jivi.com.ar/ficha.php?id=1230"/>
    <hyperlink ref="AB349" r:id="rId266" display="https://www.jivi.com.ar/ficha.php?id=1110"/>
    <hyperlink ref="AB352" r:id="rId267" display="https://www.jivi.com.ar/ficha.php?id=1111"/>
    <hyperlink ref="AF19:AI19" location="'Artículos Publicitarios'!A325" display="IR A SET DE NOTAS"/>
    <hyperlink ref="AF19:AJ19" location="'Artículos Publicitarios'!A502" display="IR A PARAGUAS"/>
    <hyperlink ref="AB91" r:id="rId268" display="https://www.jivi.com.ar/ficha.php?id=477"/>
    <hyperlink ref="AB93" r:id="rId269" display="https://www.jivi.com.ar/ficha.php?id=376"/>
    <hyperlink ref="AB13" r:id="rId270" display="https://www.jivi.com.ar/ficha.php?id=1402"/>
    <hyperlink ref="AB501" r:id="rId271" display="https://www.jivi.com.ar/ficha.php?id=1393"/>
    <hyperlink ref="AB15" r:id="rId272" display="https://www.jivi.com.ar/ficha.php?id=1405"/>
    <hyperlink ref="AB123" r:id="rId273" display="https://www.jivi.com.ar/ficha.php?id=1413"/>
    <hyperlink ref="AB165" r:id="rId274" display="https://www.jivi.com.ar/ficha.php?id=1415"/>
    <hyperlink ref="AF12:AH12" location="'Artículos Publicitarios'!A260" display="IR A PAGINA 4"/>
    <hyperlink ref="AB293" r:id="rId275" display="https://www.jivi.com.ar/ficha.php?id=1356"/>
    <hyperlink ref="AB203" r:id="rId276" display="https://www.jivi.com.ar/ficha.php?id=1084"/>
    <hyperlink ref="AB290" r:id="rId277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51" display="IR A DELANTALES"/>
    <hyperlink ref="AB628" r:id="rId278"/>
    <hyperlink ref="AB631" r:id="rId279"/>
    <hyperlink ref="AB609" r:id="rId280" display="https://www.jivi.com.ar/ficha.php?id=1281"/>
    <hyperlink ref="AB623" r:id="rId281"/>
    <hyperlink ref="AB273" r:id="rId282" display="https://www.jivi.com.ar/ficha.php?id=1421"/>
    <hyperlink ref="AB276" r:id="rId283" display="https://www.jivi.com.ar/ficha.php?id=1422"/>
    <hyperlink ref="AB277" r:id="rId284" display="https://www.jivi.com.ar/ficha.php?id=1423"/>
    <hyperlink ref="AB288" r:id="rId285" display="https://www.jivi.com.ar/ficha.php?id=1425"/>
    <hyperlink ref="AB289" r:id="rId286" display="https://www.jivi.com.ar/ficha.php?id=1426"/>
    <hyperlink ref="AB407" r:id="rId287" display="https://www.jivi.com.ar/ficha.php?id=1429"/>
    <hyperlink ref="AB438" r:id="rId288"/>
    <hyperlink ref="AB440" r:id="rId289"/>
    <hyperlink ref="AB495" r:id="rId290" display="https://www.jivi.com.ar/ficha.php?id=1436"/>
    <hyperlink ref="AB496" r:id="rId291" display="https://www.jivi.com.ar/ficha.php?id=1437"/>
    <hyperlink ref="AB497" r:id="rId292"/>
    <hyperlink ref="AB499" r:id="rId293" display="https://www.jivi.com.ar/ficha.php?id=1439"/>
    <hyperlink ref="AB275" r:id="rId294" display="https://www.jivi.com.ar/ficha.php?id=1442"/>
    <hyperlink ref="AB287" r:id="rId295" display="https://www.jivi.com.ar/ficha.php?id=1427"/>
    <hyperlink ref="AB600" r:id="rId296"/>
    <hyperlink ref="AB342" r:id="rId297" display="https://www.jivi.com.ar/ficha.php?id=1056"/>
    <hyperlink ref="AB247" r:id="rId298" display="https://www.jivi.com.ar/ficha.php?id=1334"/>
    <hyperlink ref="AB243" r:id="rId299" display="https://www.jivi.com.ar/ficha.php?id=1335"/>
    <hyperlink ref="AB284" r:id="rId300" display="https://www.jivi.com.ar/ficha.php?id=1446"/>
    <hyperlink ref="AB291" r:id="rId301" display="https://www.jivi.com.ar/ficha.php?id=1354"/>
    <hyperlink ref="AB286" r:id="rId302" display="https://www.jivi.com.ar/ficha.php?id=1448"/>
    <hyperlink ref="AB295" r:id="rId303" display="https://www.jivi.com.ar/ficha.php?id=1450"/>
    <hyperlink ref="AB184" r:id="rId304"/>
    <hyperlink ref="AB192" r:id="rId305" display="https://www.jivi.com.ar/ficha.php?id=1064"/>
    <hyperlink ref="AB191" r:id="rId306" display="https://www.jivi.com.ar/ficha.php?id=1063"/>
    <hyperlink ref="AB430" r:id="rId307"/>
    <hyperlink ref="AB626" r:id="rId308"/>
    <hyperlink ref="AB375" r:id="rId309" display="https://www.jivi.com.ar/ficha.php?id=1463"/>
    <hyperlink ref="AB376" r:id="rId310" display="https://www.jivi.com.ar/ficha.php?id=1464"/>
    <hyperlink ref="AB377" r:id="rId311" display="https://www.jivi.com.ar/ficha.php?id=1465"/>
    <hyperlink ref="AB391" r:id="rId312" display="https://www.jivi.com.ar/ficha.php?id=1466"/>
    <hyperlink ref="AB502" r:id="rId313" display="https://www.jivi.com.ar/ficha.php?id=1467"/>
    <hyperlink ref="AB500" r:id="rId314" display="https://www.jivi.com.ar/ficha.php?id=1468"/>
    <hyperlink ref="AB506" r:id="rId315" display="https://www.jivi.com.ar/ficha.php?id=1470"/>
    <hyperlink ref="AB510" r:id="rId316"/>
    <hyperlink ref="AB511" r:id="rId317" display="https://www.jivi.com.ar/ficha.php?id=1472"/>
    <hyperlink ref="AB450" r:id="rId318"/>
    <hyperlink ref="AB573" r:id="rId319"/>
    <hyperlink ref="AB574" r:id="rId320"/>
    <hyperlink ref="AB572" r:id="rId321"/>
    <hyperlink ref="AB207" r:id="rId322" display="https://www.jivi.com.ar/ficha.php?id=1478"/>
    <hyperlink ref="AB208" r:id="rId323"/>
    <hyperlink ref="AB209" r:id="rId324"/>
    <hyperlink ref="AB202" r:id="rId325" display="https://www.jivi.com.ar/ficha.php?id=1481"/>
    <hyperlink ref="AB217" r:id="rId326" display="https://www.jivi.com.ar/ficha.php?id=1483"/>
    <hyperlink ref="AB241" r:id="rId327" display="https://www.jivi.com.ar/ficha.php?id=1486"/>
    <hyperlink ref="AB242" r:id="rId328" display="https://www.jivi.com.ar/ficha.php?id=1488"/>
    <hyperlink ref="AB603" r:id="rId329" display="https://www.jivi.com.ar/ficha.php?id=1492"/>
    <hyperlink ref="AB604" r:id="rId330" display="https://www.jivi.com.ar/ficha.php?id=1493"/>
    <hyperlink ref="AB605" r:id="rId331" display="https://www.jivi.com.ar/ficha.php?id=1494"/>
    <hyperlink ref="AB606" r:id="rId332"/>
    <hyperlink ref="AB259" r:id="rId333" display="https://www.jivi.com.ar/ficha.php?id=1496"/>
    <hyperlink ref="AB260" r:id="rId334" display="https://www.jivi.com.ar/ficha.php?id=1497"/>
    <hyperlink ref="AB262" r:id="rId335" display="httphttps://www.jivi.com.ar/ficha.php?id=1498"/>
    <hyperlink ref="AB263" r:id="rId336" display="https://www.jivi.com.ar/ficha.php?id=1499"/>
    <hyperlink ref="AB264" r:id="rId337" display="https://www.jivi.com.ar/ficha.php?id=1500"/>
    <hyperlink ref="AB35" r:id="rId338"/>
    <hyperlink ref="AB272" r:id="rId339" display="https://www.jivi.com.ar/ficha.php?id=1503"/>
    <hyperlink ref="AB37" r:id="rId340"/>
    <hyperlink ref="AB34" r:id="rId341"/>
    <hyperlink ref="AB36" r:id="rId342"/>
    <hyperlink ref="AB38" r:id="rId343"/>
    <hyperlink ref="AB39" r:id="rId344"/>
    <hyperlink ref="AB494" r:id="rId345" display="https://www.jivi.com.ar/ficha.php?id=1509"/>
    <hyperlink ref="AB462" r:id="rId346"/>
    <hyperlink ref="AB271" r:id="rId347" display="https://www.jivi.com.ar/ficha.php?id=1515"/>
    <hyperlink ref="AB69" r:id="rId348"/>
    <hyperlink ref="AB71" r:id="rId349"/>
    <hyperlink ref="AB371" r:id="rId350" display="https://www.jivi.com.ar/ficha.php?id=1523"/>
    <hyperlink ref="AB624" r:id="rId351"/>
    <hyperlink ref="AB270" r:id="rId352" display="https://www.jivi.com.ar/ficha.php?id=1524"/>
    <hyperlink ref="AB274" r:id="rId353" display="https://www.jivi.com.ar/ficha.php?id=1527"/>
    <hyperlink ref="AB229" r:id="rId354" display="https://www.jivi.com.ar/ficha.php?id=1532"/>
    <hyperlink ref="AB234" r:id="rId355" display="https://www.jivi.com.ar/ficha.php?id=1534"/>
    <hyperlink ref="AB619" r:id="rId356" display="https://www.jivi.com.ar/ficha.php?id=1535"/>
    <hyperlink ref="AB620" r:id="rId357" display="https://www.jivi.com.ar/ficha.php?id=1536"/>
    <hyperlink ref="AB219" r:id="rId358" display="https://www.jivi.com.ar/ficha.php?id=1539"/>
    <hyperlink ref="AB129" r:id="rId359" display="https://www.jivi.com.ar/ficha.php?id=1540"/>
    <hyperlink ref="AB508" r:id="rId360" display="https://www.jivi.com.ar/ficha.php?id=1541"/>
    <hyperlink ref="AB509" r:id="rId361" display="https://www.jivi.com.ar/ficha.php?id=1542"/>
    <hyperlink ref="AB245" r:id="rId362" display="https://www.jivi.com.ar/ficha.php?id=1363"/>
    <hyperlink ref="AB225" r:id="rId363" display="https://www.jivi.com.ar/ficha.php?id=1545"/>
    <hyperlink ref="AB351" r:id="rId364"/>
    <hyperlink ref="AB350" r:id="rId365"/>
    <hyperlink ref="AB325" r:id="rId366" display="https://www.jivi.com.ar/ficha.php?id=981"/>
    <hyperlink ref="AB372" r:id="rId367" display="https://www.jivi.com.ar/ficha.php?id=1548"/>
    <hyperlink ref="AB373" r:id="rId368" display="https://www.jivi.com.ar/ficha.php?id=1549"/>
    <hyperlink ref="AB419" r:id="rId369"/>
    <hyperlink ref="AB406" r:id="rId370" display="https://www.jivi.com.ar/ficha.php?id=1552"/>
    <hyperlink ref="AB345" r:id="rId371" display="https://www.jivi.com.ar/ficha.php?id=1311"/>
    <hyperlink ref="AB144" r:id="rId372" display="https://www.jivi.com.ar/ficha.php?id=1553"/>
    <hyperlink ref="AB140" r:id="rId373" display="https://www.jivi.com.ar/ficha.php?id=1554"/>
    <hyperlink ref="AB220" r:id="rId374" display="https://www.jivi.com.ar/ficha.php?id=1397"/>
    <hyperlink ref="AB541" r:id="rId375" display="https://www.jivi.com.ar/ficha.php?id=1555"/>
    <hyperlink ref="AB57" r:id="rId376" display="https://www.jivi.com.ar/ficha.php?id=1557"/>
    <hyperlink ref="AB629" r:id="rId377"/>
    <hyperlink ref="AB218" r:id="rId378" display="https://www.jivi.com.ar/ficha.php?id=518"/>
    <hyperlink ref="AB185" r:id="rId379" display="https://www.jivi.com.ar/ficha.php?id=1561"/>
    <hyperlink ref="AB10" r:id="rId380" display="https://www.jivi.com.ar/ficha.php?id=26"/>
    <hyperlink ref="AB222" r:id="rId381" display="https://www.jivi.com.ar/ficha.php?id=1066"/>
    <hyperlink ref="AB223" r:id="rId382" display="https://www.jivi.com.ar/ficha.php?id=1562"/>
    <hyperlink ref="AB414" r:id="rId383" display="https://www.jivi.com.ar/ficha.php?id=1563"/>
    <hyperlink ref="AB154" r:id="rId384" display="https://www.jivi.com.ar/ficha.php?id=1414"/>
    <hyperlink ref="AB16" r:id="rId385" display="https://www.jivi.com.ar/ficha.php?id=790"/>
    <hyperlink ref="AB281" r:id="rId386" display="https://www.jivi.com.ar/ficha.php?id=1407"/>
    <hyperlink ref="AB280" r:id="rId387" display="https://www.jivi.com.ar/ficha.php?id=1409"/>
    <hyperlink ref="AB282" r:id="rId388" display="https://www.jivi.com.ar/ficha.php?id=1408"/>
    <hyperlink ref="AB268" r:id="rId389" display="https://www.jivi.com.ar/ficha.php?id=1564"/>
    <hyperlink ref="AB27" r:id="rId390" display="https://www.jivi.com.ar/ficha.php?id=1434"/>
    <hyperlink ref="AB378" r:id="rId391" display="https://www.jivi.com.ar/ficha.php?id=1567"/>
    <hyperlink ref="AB43" r:id="rId392"/>
    <hyperlink ref="AB44" r:id="rId393"/>
    <hyperlink ref="AB45" r:id="rId394"/>
    <hyperlink ref="AB126" r:id="rId395" display="https://www.jivi.com.ar/ficha.php?id=1571"/>
    <hyperlink ref="AB201" r:id="rId396"/>
    <hyperlink ref="AB374" r:id="rId397" display="https://www.jivi.com.ar/ficha.php?id=1572"/>
    <hyperlink ref="AB269" r:id="rId398" display="https://www.jivi.com.ar/ficha.php?id=1573"/>
    <hyperlink ref="AB518" r:id="rId399" display="https://www.jivi.com.ar/ficha.php?id=1294"/>
    <hyperlink ref="AF28:AJ28" location="'Artículos Publicitarios'!A530" display="IR A MOCHILAS"/>
    <hyperlink ref="AB523" r:id="rId400" display="https://www.jivi.com.ar/ficha.php?id=1271"/>
    <hyperlink ref="AB522" r:id="rId401" display="https://www.jivi.com.ar/ficha.php?id=1296"/>
    <hyperlink ref="AB525" r:id="rId402" display="https://www.jivi.com.ar/ficha.php?id=1139"/>
    <hyperlink ref="AB520" r:id="rId403" display="https://www.jivi.com.ar/ficha.php?id=1249"/>
    <hyperlink ref="AB551" r:id="rId404" display="https://www.jivi.com.ar/ficha.php?id=1574"/>
    <hyperlink ref="AB521" r:id="rId405" display="https://www.jivi.com.ar/ficha.php?id=1576"/>
    <hyperlink ref="AB527" r:id="rId406" display="https://www.jivi.com.ar/ficha.php?id=1580"/>
    <hyperlink ref="AB528" r:id="rId407" display="https://www.jivi.com.ar/ficha.php?id=1581"/>
    <hyperlink ref="AB532" r:id="rId408" display="https://www.jivi.com.ar/ficha.php?id=1583"/>
    <hyperlink ref="AB533" r:id="rId409" display="https://www.jivi.com.ar/ficha.php?id=1584"/>
    <hyperlink ref="AB535" r:id="rId410" display="https://www.jivi.com.ar/ficha.php?id=1586"/>
    <hyperlink ref="AB537" r:id="rId411" display="https://www.jivi.com.ar/ficha.php?id=1587"/>
    <hyperlink ref="AF29:AJ29" location="'Artículos Publicitarios'!A251" display="IR A CUADERNOS"/>
    <hyperlink ref="AB250" r:id="rId412" display="https://www.jivi.com.ar/ficha.php?id=1221"/>
    <hyperlink ref="AB257" r:id="rId413" display="https://www.jivi.com.ar/ficha.php?id=1588"/>
    <hyperlink ref="AB489" r:id="rId414"/>
    <hyperlink ref="AB490" r:id="rId415" display="https://www.jivi.com.ar/ficha.php?id=1590"/>
    <hyperlink ref="AB491" r:id="rId416"/>
    <hyperlink ref="AB492" r:id="rId417" display="https://www.jivi.com.ar/ficha.php?id=1592"/>
    <hyperlink ref="AB542" r:id="rId418" display="https://www.jivi.com.ar/ficha.php?id=1593"/>
    <hyperlink ref="AB267" r:id="rId419" display="https://www.jivi.com.ar/ficha.php?id=1595"/>
    <hyperlink ref="AB394" r:id="rId420" display="https://www.jivi.com.ar/ficha.php?id=1596"/>
    <hyperlink ref="AB543" r:id="rId421" display="https://www.jivi.com.ar/ficha.php?id=1598"/>
    <hyperlink ref="AB534" r:id="rId422" display="https://www.jivi.com.ar/ficha.php?id=1599"/>
    <hyperlink ref="AB544" r:id="rId423" display="https://www.jivi.com.ar/ficha.php?id=1602"/>
    <hyperlink ref="AB545" r:id="rId424" display="https://www.jivi.com.ar/ficha.php?id=1603"/>
    <hyperlink ref="AB60" r:id="rId425"/>
    <hyperlink ref="AB546" r:id="rId426" display="https://www.jivi.com.ar/ficha.php?id=1604"/>
    <hyperlink ref="AB547" r:id="rId427" display="https://www.jivi.com.ar/ficha.php?id=1606"/>
    <hyperlink ref="AB285" r:id="rId428" display="https://www.jivi.com.ar/ficha.php?id=1424"/>
    <hyperlink ref="AB171" r:id="rId429"/>
    <hyperlink ref="AB233" r:id="rId430" display="https://www.jivi.com.ar/ficha.php?id=1459"/>
    <hyperlink ref="AB232" r:id="rId431" display="https://www.jivi.com.ar/ficha.php?id=1608"/>
    <hyperlink ref="AB231" r:id="rId432" display="https://www.jivi.com.ar/ficha.php?id=1609"/>
    <hyperlink ref="AB251" r:id="rId433" display="https://www.jivi.com.ar/ficha.php?id=1274"/>
    <hyperlink ref="AB403" r:id="rId434" display="https://www.jivi.com.ar/ficha.php?id=1610"/>
    <hyperlink ref="AB536" r:id="rId435" display="https://www.jivi.com.ar/ficha.php?id=1396"/>
    <hyperlink ref="AB531" r:id="rId436" display="https://www.jivi.com.ar/ficha.php?id=1611"/>
    <hyperlink ref="AB530" r:id="rId437" display="https://www.jivi.com.ar/ficha.php?id=1612"/>
    <hyperlink ref="AB529" r:id="rId438" display="https://www.jivi.com.ar/ficha.php?id=1613"/>
    <hyperlink ref="AB195" r:id="rId439" display="https://www.jivi.com.ar/ficha.php?id=1614"/>
    <hyperlink ref="AB193" r:id="rId440" display="https://www.jivi.com.ar/ficha.php?id=1452"/>
    <hyperlink ref="AB211" r:id="rId441" display="https://www.jivi.com.ar/ficha.php?id=608"/>
    <hyperlink ref="AB356" r:id="rId442" display="https://www.jivi.com.ar/ficha.php?id=1615"/>
    <hyperlink ref="AB553" r:id="rId443" display="https://www.jivi.com.ar/ficha.php?id=1617"/>
    <hyperlink ref="AB554" r:id="rId444" display="https://www.jivi.com.ar/ficha.php?id=1618"/>
    <hyperlink ref="AB487" r:id="rId445"/>
    <hyperlink ref="AB488" r:id="rId446" display="https://www.jivi.com.ar/ficha.php?id=1620"/>
    <hyperlink ref="AB292" r:id="rId447" display="https://www.jivi.com.ar/ficha.php?id=1355"/>
    <hyperlink ref="AB503" r:id="rId448" display="https://www.jivi.com.ar/ficha.php?id=1204"/>
    <hyperlink ref="AB504" r:id="rId449"/>
    <hyperlink ref="AB323" r:id="rId450"/>
    <hyperlink ref="AB461" r:id="rId451"/>
    <hyperlink ref="AB594" r:id="rId452"/>
    <hyperlink ref="AB633" r:id="rId453"/>
    <hyperlink ref="AB634" r:id="rId454"/>
    <hyperlink ref="AB635" r:id="rId455"/>
    <hyperlink ref="AB354" r:id="rId456" display="https://www.jivi.com.ar/ficha.php?id=1641"/>
    <hyperlink ref="AB421" r:id="rId457"/>
    <hyperlink ref="AB423" r:id="rId458"/>
    <hyperlink ref="AB424" r:id="rId459"/>
    <hyperlink ref="AB425" r:id="rId460"/>
    <hyperlink ref="AB621" r:id="rId461"/>
    <hyperlink ref="AB420" r:id="rId462"/>
    <hyperlink ref="AB164" r:id="rId463" display="https://www.jivi.com.ar/ficha.php?id=1660"/>
    <hyperlink ref="AB146" r:id="rId464" display="https://www.jivi.com.ar/ficha.php?id=1663"/>
    <hyperlink ref="AB99" r:id="rId465" display="https://www.jivi.com.ar/ficha.php?id=440"/>
    <hyperlink ref="AB622" r:id="rId466"/>
    <hyperlink ref="AB627" r:id="rId467"/>
    <hyperlink ref="AB632" r:id="rId468"/>
    <hyperlink ref="AB493" r:id="rId469" display="https://www.jivi.com.ar/ficha.php?id=1684"/>
    <hyperlink ref="AB357" r:id="rId470" display="https://www.jivi.com.ar/ficha.php?id=1272"/>
    <hyperlink ref="AB355" r:id="rId471" display="https://www.jivi.com.ar/ficha.php?id=1687"/>
    <hyperlink ref="AB353" r:id="rId472" display="https://www.jivi.com.ar/ficha.php?id=1672"/>
    <hyperlink ref="AB538" r:id="rId473" display="https://www.jivi.com.ar/ficha.php?id=1690"/>
    <hyperlink ref="AB486" r:id="rId474" display="https://www.jivi.com.ar/ficha.php?id=1691"/>
    <hyperlink ref="AB404" r:id="rId475" display="https://www.jivi.com.ar/ficha.php?id=1692"/>
    <hyperlink ref="AB498" r:id="rId476" display="https://www.jivi.com.ar/ficha.php?id=1438"/>
    <hyperlink ref="AF479:AH479" location="'Artículos Publicitarios'!A3" display="IR A PAGINA 1"/>
    <hyperlink ref="AF516:AH516" location="'Artículos Publicitarios'!A3" display="IR A PAGINA 1"/>
    <hyperlink ref="AB400" r:id="rId477" display="https://www.jivi.com.ar/ficha.php?id=1695"/>
    <hyperlink ref="AB28" r:id="rId478" display="https://www.jivi.com.ar/ficha.php?id=36"/>
    <hyperlink ref="AB484" r:id="rId479"/>
    <hyperlink ref="AB485" r:id="rId480" display="https://www.jivi.com.ar/ficha.php?id=1698"/>
    <hyperlink ref="AB401" r:id="rId481" display="https://www.jivi.com.ar/ficha.php?id=1699"/>
    <hyperlink ref="AB463" r:id="rId482"/>
    <hyperlink ref="AB370" r:id="rId483" display="https://www.jivi.com.ar/ficha.php?id=1462"/>
    <hyperlink ref="AB228" r:id="rId484" display="https://www.jivi.com.ar/ficha.php?id=1531"/>
    <hyperlink ref="AB227" r:id="rId485" display="https://www.jivi.com.ar/ficha.php?id=1528"/>
    <hyperlink ref="AB408" r:id="rId486"/>
    <hyperlink ref="AB331" r:id="rId487" display="https://www.jivi.com.ar/ficha.php?id=977"/>
    <hyperlink ref="AB390" r:id="rId488" display="https://www.jivi.com.ar/ficha.php?id=1457"/>
    <hyperlink ref="AB389" r:id="rId489" display="https://www.jivi.com.ar/ficha.php?id=1456"/>
    <hyperlink ref="AB332" r:id="rId490" display="https://www.jivi.com.ar/ficha.php?id=1707"/>
    <hyperlink ref="AB333" r:id="rId491" display="https://www.jivi.com.ar/ficha.php?id=1708"/>
    <hyperlink ref="AB392" r:id="rId492"/>
    <hyperlink ref="AB483" r:id="rId493" display="https://www.jivi.com.ar/ficha.php?id=1722"/>
    <hyperlink ref="AB14" r:id="rId494" display="https://www.jivi.com.ar/ficha.php?id=1723"/>
    <hyperlink ref="AB182" r:id="rId495"/>
    <hyperlink ref="AB178" r:id="rId496"/>
    <hyperlink ref="AB180" r:id="rId497"/>
    <hyperlink ref="AB179" r:id="rId498"/>
    <hyperlink ref="AB181" r:id="rId499"/>
    <hyperlink ref="AB177" r:id="rId500"/>
    <hyperlink ref="AB595" r:id="rId501"/>
    <hyperlink ref="AB596" r:id="rId502"/>
    <hyperlink ref="AB597" r:id="rId503"/>
    <hyperlink ref="AB252" r:id="rId504" display="https://www.jivi.com.ar/ficha.php?id=1077"/>
    <hyperlink ref="AB616" r:id="rId505"/>
    <hyperlink ref="AB617" r:id="rId506"/>
    <hyperlink ref="AB618" r:id="rId507"/>
    <hyperlink ref="AB601" r:id="rId508"/>
    <hyperlink ref="AB552" r:id="rId509" display="https://www.jivi.com.ar/ficha.php?id=1575"/>
    <hyperlink ref="AB548" r:id="rId510" display="https://www.jivi.com.ar/ficha.php?id=1743"/>
    <hyperlink ref="AB549" r:id="rId511" display="https://www.jivi.com.ar/ficha.php?id=1744"/>
    <hyperlink ref="AB550" r:id="rId512" display="https://www.jivi.com.ar/ficha.php?id=1745"/>
    <hyperlink ref="AB526" r:id="rId513" display="https://www.jivi.com.ar/ficha.php?id=1746"/>
    <hyperlink ref="AB592" r:id="rId514"/>
    <hyperlink ref="AB481" r:id="rId515"/>
    <hyperlink ref="AB482" r:id="rId516" display="https://www.jivi.com.ar/ficha.php?id=1749"/>
    <hyperlink ref="AB519" r:id="rId517"/>
    <hyperlink ref="AB630" r:id="rId518"/>
    <hyperlink ref="AB393" r:id="rId519"/>
    <hyperlink ref="AB278" r:id="rId520" display="https://www.jivi.com.ar/ficha.php?id=1461"/>
    <hyperlink ref="AB279" r:id="rId521" display="https://www.jivi.com.ar/ficha.php?id=1775"/>
    <hyperlink ref="AB539" r:id="rId522" display="https://www.jivi.com.ar/ficha.php?id=1776"/>
    <hyperlink ref="AB124" r:id="rId523" display="https://www.jivi.com.ar/ficha.php?id=1310"/>
    <hyperlink ref="AB439" r:id="rId524"/>
    <hyperlink ref="AB63" r:id="rId525" display="https://www.jivi.com.ar/ficha.php?id=76"/>
    <hyperlink ref="AB62" r:id="rId526"/>
    <hyperlink ref="AB61" r:id="rId527"/>
    <hyperlink ref="AB224" r:id="rId528" display="https://www.jivi.com.ar/ficha.php?id=1709"/>
    <hyperlink ref="AB555" r:id="rId529" display="https://www.jivi.com.ar/ficha.php?id=1710"/>
    <hyperlink ref="AB563" r:id="rId530"/>
    <hyperlink ref="AB565" r:id="rId531"/>
    <hyperlink ref="AB566" r:id="rId532"/>
    <hyperlink ref="AB569" r:id="rId533"/>
    <hyperlink ref="AB568" r:id="rId534"/>
    <hyperlink ref="AB405" r:id="rId535" display="https://www.jivi.com.ar/ficha.php?id=1786"/>
    <hyperlink ref="AB524" r:id="rId536" display="https://www.jivi.com.ar/ficha.php?id=1293"/>
    <hyperlink ref="AB246" r:id="rId537" display="https://www.jivi.com.ar/ficha.php?id=1340"/>
    <hyperlink ref="AB249" r:id="rId538" display="https://www.jivi.com.ar/ficha.php?id=1265"/>
    <hyperlink ref="AB240" r:id="rId539" display="https://www.jivi.com.ar/ficha.php?id=1487"/>
    <hyperlink ref="AB116" r:id="rId540"/>
    <hyperlink ref="AB121" r:id="rId541"/>
    <hyperlink ref="AB117" r:id="rId542"/>
    <hyperlink ref="AB197" r:id="rId543" display="https://www.jivi.com.ar/ficha.php?id=1319"/>
    <hyperlink ref="AB122" r:id="rId544"/>
    <hyperlink ref="AB283" r:id="rId545" display="https://www.jivi.com.ar/ficha.php?id=1447"/>
    <hyperlink ref="AB340" r:id="rId546" display="https://www.jivi.com.ar/ficha.php?id=1087"/>
    <hyperlink ref="AB442" r:id="rId547"/>
    <hyperlink ref="AB128" r:id="rId548" display="https://www.jivi.com.ar/ficha.php?id=1451"/>
    <hyperlink ref="AB422" r:id="rId549"/>
    <hyperlink ref="AB244" r:id="rId550"/>
    <hyperlink ref="AB336" r:id="rId551" display="https://www.jivi.com.ar/ficha.php?id=1805"/>
    <hyperlink ref="AB294" r:id="rId552" display="https://www.jivi.com.ar/ficha.php?id=1342"/>
    <hyperlink ref="AB341" r:id="rId553" display="https://www.jivi.com.ar/ficha.php?id=1070"/>
    <hyperlink ref="AB344" r:id="rId554"/>
    <hyperlink ref="AB339" r:id="rId555" display="https://www.jivi.com.ar/ficha.php?id=1299"/>
    <hyperlink ref="AB418" r:id="rId556"/>
    <hyperlink ref="AB402" r:id="rId557" display="https://www.jivi.com.ar/ficha.php?id=1597"/>
    <hyperlink ref="AB346" r:id="rId558" display="https://www.jivi.com.ar/ficha.php?id=1131"/>
    <hyperlink ref="AB265" r:id="rId559" display="https://www.jivi.com.ar/ficha.php?id=1774"/>
    <hyperlink ref="AB266" r:id="rId560" display="https://www.jivi.com.ar/ficha.php?id=1700"/>
    <hyperlink ref="AB381" r:id="rId561" display="https://www.jivi.com.ar/ficha.php?id=1820"/>
    <hyperlink ref="AB226" r:id="rId562" display="https://www.jivi.com.ar/ficha.php?id=1544"/>
    <hyperlink ref="AB230" r:id="rId563" display="https://www.jivi.com.ar/ficha.php?id=1533"/>
    <hyperlink ref="AF10:AH10" location="'Artículos Publicitarios'!A101" display="IR A PAGINA 2"/>
    <hyperlink ref="AB540" r:id="rId564" display="https://www.jivi.com.ar/ficha.php?id=1556"/>
  </hyperlinks>
  <pageMargins left="0.27559055118110237" right="0.11811023622047245" top="0.19685039370078741" bottom="0.15748031496062992" header="0.11811023622047245" footer="0.15748031496062992"/>
  <pageSetup paperSize="5" orientation="portrait" copies="5" r:id="rId565"/>
  <headerFooter alignWithMargins="0"/>
  <cellWatches>
    <cellWatch r="X8"/>
  </cellWatches>
  <ignoredErrors>
    <ignoredError sqref="AB621:AB626 AB616:AB618 AB592 AB601" numberStoredAsText="1"/>
    <ignoredError sqref="X585 B25:E25 C24:E24 A162 C162:E162 A186:E186 A103:E104 H395:Q395 C26:E26 H54:I54 G55:I56 H598:L600 G183 G253 G255:G256 B145:E145 C219:E219 G315:W315 U29 S37:S38 S34 U34 U37:U38 S40 U40 G53:I53 G347:G352 H431 H432:M432 H433:M433 H434:M434 H435:M435 H436:M436 O426 H426:H428 J431:M431 S426 U426 Q426 S46 U46 G427:G430 F464:T464 G219 G409:G410 W460 G325:G327 G263:M263 F203:W203 G186 V91:W92 F81:I88 F90:I90 F89:I89 Q105 I57:I59 U105 S105 J80:J90 G547 B248:E248 W298 G320:J322 W512:W513 H264:M264 G94:G98 H324:J328 G80:I80 G362:J364 G100:G104 G407 H342:J342 G259:M259 G260:M260 G261:M261 G262:M262 N94:W94 H93:W93 J10:L10 W97 G215:G217 G214:H214 X202:X204 P204:W204 G204:I204 W334:W335 H556 H463:V463 G329:G330 G231 J12:L12 X11 F462:V462 G127 W57 T220:V220 G483:G494 G563:V566 G293 G497 G538 G553:G555 H567:W569 G597 F624:T626 F621:V622 G601:W601 G551 G618:V618 H594:V595 H619:V620 G499:G511 H592:W592 F633:T635 G631:T632 G627:T627 G628:I628 H630:T630 G629:T629 L628:T628 G449:G453 G284 G461:V461 H570:V574 G153:K153 G145 H129:I129 F438:G438 G441 G202 O107:O108 S107:S108 Q107:Q108 U107:U108 W407:X407 U407:V409 V410:V412 G247:G248 V26:V27 S29 H29:M29 H27:I27 H211 W59 G68 I124:V127 U20:V22 G337:J338 G359:K359 R330:W330 Q330 P330 G358 G400:G401 G365:G369 G287:G291 G267:G277 G623:V623 F425:G425 F421:G421 G334:J335 I128 H407:T412 H347:J353 G416 J414:V415 H345:J345 A154:I154 F232:G233 G279:G282 W265 K362:K364 K320:V328 K341:K353 K331:V340 H354:K358 L341:V360 H329:W329 H365:K371 H400:V404 G458:J459 G455:J456 F457:J457 K455:V459 G443:W448 H449:V454 N259:V263 I257:V257 F241:G244 G258:V258 M10:V12 O29 Q29 H28:V28 J53:V62 W68 J64:V68 J63:W63 H61:I68 H95:V104 H94:M94 N109:V110 H140:K142 J147:V147 G160:G163 N172:V175 I174:M174 I173:M173 I172:M172 I175:M175 H172:H175 H183:V186 H177:K177 H178:K182 G199 H199:M199 G193:V198 G200:V201 N199:V199 G205:H210 H215:H219 G213:L213 I214:W219 P213:W213 I205:W210 M213:O213 P212:W212 G212:N212 W402 H405:I406 H429:I430 H222:V229 G228:G229 H230:W230 W231:W233 H162:Q162 U162:V162 H240:V256 H265:V313 H372:V379 G371:G379 G380:V393 I13:V14 H17:T26 H14:H16 K27:U27 J128:V129 H144:W146 L153:W154 H160:W161 L182 M177:W182 G176:W176 H163:V164 H166:V171 H165:W165 H231:V234 K314:V314 H394:V394 G221:W221 H220:K220 H202:V202 I211:V211 W211 H330:O330 J406:V406 F420:G420 F422:G422 F423:G423 F424:G424 S418:W418 Q418 O418 M418 K418 I418 J416:V416 H416:I416 H417:V417 W416 H419:W425 W417 H418 J418 L418 N418 P418 R418 F437:G437 F440:G440 H437:V442 W481 H513:I513 W482 U482 S482 Q482 O482 M482 K482 I482 U481 S481 Q481 O481 M481 K481 I481 H483:V511 H481 J481 L481 N481 P481 R481 T481 V481 H482 J482 L482 N482 P482 R482 T482 V482 H512:I512 K512 K513 M513 O513 Q513 S513 U513 U512 S512 Q512 O512 M512 W518 U518 S518 Q518 O518 M518 K518 H525:I525 I518 H519:V524 H518 J518 H526:V526 J525:V525 L518 N518 P518 R518 T518 V518 H527:V535 H537:V555 H536:I536 L536:V536 L362:V371 H597:V597 H596:K596 G616:V616 H617 G460 O460:U460 I460:M460 H460 N460 V460 L204:O204 H143:I143 H139:I139 K139 P139 N139 R139 T139 L139 S139 Q139 M139 O139 R140:R142 S140:S142 T140:T142 U140:U142 U139 V139:V142 L140:Q142 L143:W143 W139 W140:W142 Q413 S413 U413 M413:O413 I413:L413 P413 V413 T413 R413" formula="1"/>
    <ignoredError sqref="G343 G549 G519 G266" evalError="1"/>
    <ignoredError sqref="H343:J343" evalError="1" formula="1"/>
  </ignoredErrors>
  <drawing r:id="rId566"/>
  <legacyDrawing r:id="rId5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38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2024-08-23T14:40:19Z</cp:lastPrinted>
  <dcterms:created xsi:type="dcterms:W3CDTF">2003-01-03T20:20:32Z</dcterms:created>
  <dcterms:modified xsi:type="dcterms:W3CDTF">2024-08-23T19:36:54Z</dcterms:modified>
</cp:coreProperties>
</file>