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5\Lista en preparacion\"/>
    </mc:Choice>
  </mc:AlternateContent>
  <bookViews>
    <workbookView xWindow="0" yWindow="0" windowWidth="11265" windowHeight="8085"/>
  </bookViews>
  <sheets>
    <sheet name="Artículos Publicitari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625" i="1" l="1"/>
  <c r="W625" i="1" s="1"/>
  <c r="T625" i="1"/>
  <c r="U625" i="1" s="1"/>
  <c r="R625" i="1"/>
  <c r="S625" i="1" s="1"/>
  <c r="P625" i="1"/>
  <c r="Q625" i="1" s="1"/>
  <c r="N625" i="1"/>
  <c r="O625" i="1" s="1"/>
  <c r="G625" i="1"/>
  <c r="V58" i="1" l="1"/>
  <c r="W58" i="1" s="1"/>
  <c r="T58" i="1"/>
  <c r="U58" i="1" s="1"/>
  <c r="R58" i="1"/>
  <c r="S58" i="1" s="1"/>
  <c r="P58" i="1"/>
  <c r="Q58" i="1" s="1"/>
  <c r="N58" i="1"/>
  <c r="O58" i="1" s="1"/>
  <c r="L58" i="1"/>
  <c r="M58" i="1" s="1"/>
  <c r="G58" i="1"/>
  <c r="F213" i="1" l="1"/>
  <c r="F751" i="1"/>
  <c r="F752" i="1"/>
  <c r="F753" i="1"/>
  <c r="F750" i="1"/>
  <c r="F741" i="1"/>
  <c r="F740" i="1"/>
  <c r="F736" i="1"/>
  <c r="F725" i="1"/>
  <c r="F678" i="1"/>
  <c r="F670" i="1"/>
  <c r="F669" i="1"/>
  <c r="F667" i="1"/>
  <c r="F666" i="1"/>
  <c r="F665" i="1"/>
  <c r="F664" i="1"/>
  <c r="F663" i="1"/>
  <c r="F660" i="1"/>
  <c r="F656" i="1"/>
  <c r="F655" i="1"/>
  <c r="F653" i="1"/>
  <c r="F652" i="1"/>
  <c r="F651" i="1"/>
  <c r="F650" i="1"/>
  <c r="F649" i="1"/>
  <c r="F648" i="1"/>
  <c r="F647" i="1"/>
  <c r="F645" i="1"/>
  <c r="F644" i="1"/>
  <c r="F643" i="1"/>
  <c r="F637" i="1"/>
  <c r="F635" i="1"/>
  <c r="F634" i="1"/>
  <c r="F633" i="1"/>
  <c r="F632" i="1"/>
  <c r="F631" i="1"/>
  <c r="F630" i="1"/>
  <c r="F629" i="1"/>
  <c r="F628" i="1"/>
  <c r="F627" i="1"/>
  <c r="F626" i="1"/>
  <c r="F624" i="1"/>
  <c r="F623" i="1"/>
  <c r="F622" i="1"/>
  <c r="F621" i="1"/>
  <c r="F620" i="1"/>
  <c r="F618" i="1"/>
  <c r="F617" i="1"/>
  <c r="F616" i="1"/>
  <c r="F614" i="1"/>
  <c r="F613" i="1"/>
  <c r="F612" i="1"/>
  <c r="F610" i="1"/>
  <c r="F606" i="1"/>
  <c r="F605" i="1"/>
  <c r="F603" i="1"/>
  <c r="F586" i="1"/>
  <c r="F587" i="1"/>
  <c r="F588" i="1"/>
  <c r="F581" i="1"/>
  <c r="F580" i="1"/>
  <c r="F579" i="1"/>
  <c r="F578" i="1"/>
  <c r="F577" i="1"/>
  <c r="F575" i="1"/>
  <c r="F567" i="1"/>
  <c r="F566" i="1"/>
  <c r="F139" i="1"/>
  <c r="F137" i="1"/>
  <c r="F138" i="1"/>
  <c r="F565" i="1" l="1"/>
  <c r="F564" i="1"/>
  <c r="F563" i="1"/>
  <c r="F562" i="1"/>
  <c r="F544" i="1"/>
  <c r="F540" i="1"/>
  <c r="F539" i="1"/>
  <c r="F518" i="1"/>
  <c r="F517" i="1"/>
  <c r="F508" i="1"/>
  <c r="R508" i="1" s="1"/>
  <c r="S508" i="1" s="1"/>
  <c r="F507" i="1"/>
  <c r="L507" i="1" s="1"/>
  <c r="M507" i="1" s="1"/>
  <c r="W512" i="1"/>
  <c r="U512" i="1"/>
  <c r="S512" i="1"/>
  <c r="Q512" i="1"/>
  <c r="O512" i="1"/>
  <c r="W511" i="1"/>
  <c r="U511" i="1"/>
  <c r="S511" i="1"/>
  <c r="Q511" i="1"/>
  <c r="O511" i="1"/>
  <c r="W505" i="1"/>
  <c r="U505" i="1"/>
  <c r="S505" i="1"/>
  <c r="Q505" i="1"/>
  <c r="O505" i="1"/>
  <c r="W504" i="1"/>
  <c r="U504" i="1"/>
  <c r="S504" i="1"/>
  <c r="Q504" i="1"/>
  <c r="O504" i="1"/>
  <c r="F496" i="1"/>
  <c r="V496" i="1" s="1"/>
  <c r="F494" i="1"/>
  <c r="F493" i="1"/>
  <c r="F492" i="1"/>
  <c r="F491" i="1"/>
  <c r="F490" i="1"/>
  <c r="F489" i="1"/>
  <c r="F488" i="1"/>
  <c r="F487" i="1"/>
  <c r="F486" i="1"/>
  <c r="V482" i="1"/>
  <c r="T482" i="1"/>
  <c r="R482" i="1"/>
  <c r="P482" i="1"/>
  <c r="N482" i="1"/>
  <c r="L482" i="1"/>
  <c r="J482" i="1"/>
  <c r="V484" i="1"/>
  <c r="W484" i="1" s="1"/>
  <c r="T484" i="1"/>
  <c r="U484" i="1" s="1"/>
  <c r="R484" i="1"/>
  <c r="S484" i="1" s="1"/>
  <c r="P484" i="1"/>
  <c r="Q484" i="1" s="1"/>
  <c r="N484" i="1"/>
  <c r="O484" i="1" s="1"/>
  <c r="L484" i="1"/>
  <c r="M484" i="1" s="1"/>
  <c r="J484" i="1"/>
  <c r="K484" i="1" s="1"/>
  <c r="V481" i="1"/>
  <c r="T481" i="1"/>
  <c r="R481" i="1"/>
  <c r="P481" i="1"/>
  <c r="N481" i="1"/>
  <c r="L481" i="1"/>
  <c r="J481" i="1"/>
  <c r="P425" i="1"/>
  <c r="Q425" i="1" s="1"/>
  <c r="N425" i="1"/>
  <c r="O425" i="1" s="1"/>
  <c r="L425" i="1"/>
  <c r="M425" i="1" s="1"/>
  <c r="L395" i="1"/>
  <c r="M395" i="1" s="1"/>
  <c r="N395" i="1"/>
  <c r="O395" i="1" s="1"/>
  <c r="P395" i="1"/>
  <c r="Q395" i="1" s="1"/>
  <c r="R395" i="1"/>
  <c r="S395" i="1" s="1"/>
  <c r="T395" i="1"/>
  <c r="U395" i="1" s="1"/>
  <c r="L388" i="1"/>
  <c r="M388" i="1" s="1"/>
  <c r="N388" i="1"/>
  <c r="O388" i="1" s="1"/>
  <c r="P388" i="1"/>
  <c r="Q388" i="1" s="1"/>
  <c r="R388" i="1"/>
  <c r="S388" i="1" s="1"/>
  <c r="T388" i="1"/>
  <c r="U388" i="1" s="1"/>
  <c r="V388" i="1"/>
  <c r="W388" i="1" s="1"/>
  <c r="J346" i="1"/>
  <c r="V346" i="1"/>
  <c r="W346" i="1" s="1"/>
  <c r="T346" i="1"/>
  <c r="U346" i="1" s="1"/>
  <c r="R346" i="1"/>
  <c r="S346" i="1" s="1"/>
  <c r="P346" i="1"/>
  <c r="Q346" i="1" s="1"/>
  <c r="N346" i="1"/>
  <c r="O346" i="1" s="1"/>
  <c r="L346" i="1"/>
  <c r="M346" i="1" s="1"/>
  <c r="F456" i="1"/>
  <c r="V456" i="1" s="1"/>
  <c r="W456" i="1" s="1"/>
  <c r="F455" i="1"/>
  <c r="L455" i="1" s="1"/>
  <c r="M455" i="1" s="1"/>
  <c r="F453" i="1"/>
  <c r="T453" i="1" s="1"/>
  <c r="U453" i="1" s="1"/>
  <c r="F452" i="1"/>
  <c r="F447" i="1"/>
  <c r="F445" i="1"/>
  <c r="F444" i="1"/>
  <c r="F442" i="1"/>
  <c r="F440" i="1"/>
  <c r="F439" i="1"/>
  <c r="F437" i="1"/>
  <c r="F436" i="1"/>
  <c r="F435" i="1"/>
  <c r="F434" i="1"/>
  <c r="F432" i="1"/>
  <c r="F431" i="1"/>
  <c r="F430" i="1"/>
  <c r="F429" i="1"/>
  <c r="F428" i="1"/>
  <c r="R428" i="1" s="1"/>
  <c r="S428" i="1" s="1"/>
  <c r="F427" i="1"/>
  <c r="L427" i="1" s="1"/>
  <c r="M427" i="1" s="1"/>
  <c r="F426" i="1"/>
  <c r="T426" i="1" s="1"/>
  <c r="U426" i="1" s="1"/>
  <c r="F424" i="1"/>
  <c r="T424" i="1" s="1"/>
  <c r="U424" i="1" s="1"/>
  <c r="F422" i="1"/>
  <c r="T422" i="1" s="1"/>
  <c r="U422" i="1" s="1"/>
  <c r="F420" i="1"/>
  <c r="N420" i="1" s="1"/>
  <c r="O420" i="1" s="1"/>
  <c r="F419" i="1"/>
  <c r="V419" i="1" s="1"/>
  <c r="W419" i="1" s="1"/>
  <c r="F418" i="1"/>
  <c r="V418" i="1" s="1"/>
  <c r="W418" i="1" s="1"/>
  <c r="F416" i="1"/>
  <c r="P416" i="1" s="1"/>
  <c r="Q416" i="1" s="1"/>
  <c r="F414" i="1"/>
  <c r="L414" i="1" s="1"/>
  <c r="M414" i="1" s="1"/>
  <c r="F412" i="1"/>
  <c r="L412" i="1" s="1"/>
  <c r="M412" i="1" s="1"/>
  <c r="F411" i="1"/>
  <c r="N411" i="1" s="1"/>
  <c r="O411" i="1" s="1"/>
  <c r="F410" i="1"/>
  <c r="N410" i="1" s="1"/>
  <c r="O410" i="1" s="1"/>
  <c r="F409" i="1"/>
  <c r="T409" i="1" s="1"/>
  <c r="U409" i="1" s="1"/>
  <c r="F408" i="1"/>
  <c r="V408" i="1" s="1"/>
  <c r="W408" i="1" s="1"/>
  <c r="F405" i="1"/>
  <c r="V405" i="1" s="1"/>
  <c r="W405" i="1" s="1"/>
  <c r="F404" i="1"/>
  <c r="N404" i="1" s="1"/>
  <c r="O404" i="1" s="1"/>
  <c r="F402" i="1"/>
  <c r="L402" i="1" s="1"/>
  <c r="M402" i="1" s="1"/>
  <c r="F401" i="1"/>
  <c r="T401" i="1" s="1"/>
  <c r="U401" i="1" s="1"/>
  <c r="F394" i="1"/>
  <c r="N394" i="1" s="1"/>
  <c r="O394" i="1" s="1"/>
  <c r="F392" i="1"/>
  <c r="T392" i="1" s="1"/>
  <c r="U392" i="1" s="1"/>
  <c r="F393" i="1"/>
  <c r="T393" i="1" s="1"/>
  <c r="U393" i="1" s="1"/>
  <c r="F390" i="1"/>
  <c r="N390" i="1" s="1"/>
  <c r="O390" i="1" s="1"/>
  <c r="F391" i="1"/>
  <c r="F389" i="1"/>
  <c r="N389" i="1" s="1"/>
  <c r="O389" i="1" s="1"/>
  <c r="F387" i="1"/>
  <c r="T387" i="1" s="1"/>
  <c r="U387" i="1" s="1"/>
  <c r="F386" i="1"/>
  <c r="R386" i="1" s="1"/>
  <c r="S386" i="1" s="1"/>
  <c r="F385" i="1"/>
  <c r="T385" i="1" s="1"/>
  <c r="U385" i="1" s="1"/>
  <c r="F384" i="1"/>
  <c r="P384" i="1" s="1"/>
  <c r="Q384" i="1" s="1"/>
  <c r="F383" i="1"/>
  <c r="R383" i="1" s="1"/>
  <c r="S383" i="1" s="1"/>
  <c r="F381" i="1"/>
  <c r="P381" i="1" s="1"/>
  <c r="Q381" i="1" s="1"/>
  <c r="F382" i="1"/>
  <c r="P382" i="1" s="1"/>
  <c r="Q382" i="1" s="1"/>
  <c r="F380" i="1"/>
  <c r="N380" i="1" s="1"/>
  <c r="O380" i="1" s="1"/>
  <c r="F379" i="1"/>
  <c r="N379" i="1" s="1"/>
  <c r="O379" i="1" s="1"/>
  <c r="F378" i="1"/>
  <c r="F376" i="1"/>
  <c r="R376" i="1" s="1"/>
  <c r="S376" i="1" s="1"/>
  <c r="F375" i="1"/>
  <c r="V375" i="1" s="1"/>
  <c r="W375" i="1" s="1"/>
  <c r="F374" i="1"/>
  <c r="L374" i="1" s="1"/>
  <c r="M374" i="1" s="1"/>
  <c r="F373" i="1"/>
  <c r="R373" i="1" s="1"/>
  <c r="S373" i="1" s="1"/>
  <c r="F372" i="1"/>
  <c r="V372" i="1" s="1"/>
  <c r="W372" i="1" s="1"/>
  <c r="F368" i="1"/>
  <c r="T368" i="1" s="1"/>
  <c r="U368" i="1" s="1"/>
  <c r="F367" i="1"/>
  <c r="L367" i="1" s="1"/>
  <c r="M367" i="1" s="1"/>
  <c r="F366" i="1"/>
  <c r="R366" i="1" s="1"/>
  <c r="S366" i="1" s="1"/>
  <c r="F365" i="1"/>
  <c r="L365" i="1" s="1"/>
  <c r="M365" i="1" s="1"/>
  <c r="F362" i="1"/>
  <c r="F363" i="1"/>
  <c r="T363" i="1" s="1"/>
  <c r="U363" i="1" s="1"/>
  <c r="F364" i="1"/>
  <c r="T364" i="1" s="1"/>
  <c r="U364" i="1" s="1"/>
  <c r="F357" i="1"/>
  <c r="F356" i="1"/>
  <c r="N356" i="1" s="1"/>
  <c r="O356" i="1" s="1"/>
  <c r="F361" i="1"/>
  <c r="N361" i="1" s="1"/>
  <c r="O361" i="1" s="1"/>
  <c r="F355" i="1"/>
  <c r="L355" i="1" s="1"/>
  <c r="F354" i="1"/>
  <c r="T354" i="1" s="1"/>
  <c r="U354" i="1" s="1"/>
  <c r="F353" i="1"/>
  <c r="R353" i="1" s="1"/>
  <c r="S353" i="1" s="1"/>
  <c r="F352" i="1"/>
  <c r="P352" i="1" s="1"/>
  <c r="Q352" i="1" s="1"/>
  <c r="F351" i="1"/>
  <c r="L351" i="1" s="1"/>
  <c r="M351" i="1" s="1"/>
  <c r="F350" i="1"/>
  <c r="L350" i="1" s="1"/>
  <c r="M350" i="1" s="1"/>
  <c r="T508" i="1" l="1"/>
  <c r="U508" i="1" s="1"/>
  <c r="N496" i="1"/>
  <c r="N508" i="1"/>
  <c r="O508" i="1" s="1"/>
  <c r="P496" i="1"/>
  <c r="V508" i="1"/>
  <c r="W508" i="1" s="1"/>
  <c r="N427" i="1"/>
  <c r="O427" i="1" s="1"/>
  <c r="P379" i="1"/>
  <c r="Q379" i="1" s="1"/>
  <c r="V373" i="1"/>
  <c r="W373" i="1" s="1"/>
  <c r="V353" i="1"/>
  <c r="W353" i="1" s="1"/>
  <c r="T353" i="1"/>
  <c r="U353" i="1" s="1"/>
  <c r="L410" i="1"/>
  <c r="M410" i="1" s="1"/>
  <c r="L356" i="1"/>
  <c r="M356" i="1" s="1"/>
  <c r="V385" i="1"/>
  <c r="W385" i="1" s="1"/>
  <c r="V409" i="1"/>
  <c r="W409" i="1" s="1"/>
  <c r="P356" i="1"/>
  <c r="Q356" i="1" s="1"/>
  <c r="R385" i="1"/>
  <c r="S385" i="1" s="1"/>
  <c r="T404" i="1"/>
  <c r="U404" i="1" s="1"/>
  <c r="P404" i="1"/>
  <c r="Q404" i="1" s="1"/>
  <c r="T352" i="1"/>
  <c r="U352" i="1" s="1"/>
  <c r="L361" i="1"/>
  <c r="M361" i="1" s="1"/>
  <c r="V367" i="1"/>
  <c r="W367" i="1" s="1"/>
  <c r="T373" i="1"/>
  <c r="U373" i="1" s="1"/>
  <c r="P385" i="1"/>
  <c r="Q385" i="1" s="1"/>
  <c r="R401" i="1"/>
  <c r="S401" i="1" s="1"/>
  <c r="R419" i="1"/>
  <c r="S419" i="1" s="1"/>
  <c r="R402" i="1"/>
  <c r="S402" i="1" s="1"/>
  <c r="V427" i="1"/>
  <c r="W427" i="1" s="1"/>
  <c r="R352" i="1"/>
  <c r="S352" i="1" s="1"/>
  <c r="P361" i="1"/>
  <c r="Q361" i="1" s="1"/>
  <c r="L368" i="1"/>
  <c r="M368" i="1" s="1"/>
  <c r="P373" i="1"/>
  <c r="Q373" i="1" s="1"/>
  <c r="V384" i="1"/>
  <c r="W384" i="1" s="1"/>
  <c r="L379" i="1"/>
  <c r="M379" i="1" s="1"/>
  <c r="T416" i="1"/>
  <c r="U416" i="1" s="1"/>
  <c r="L409" i="1"/>
  <c r="M409" i="1" s="1"/>
  <c r="N402" i="1"/>
  <c r="O402" i="1" s="1"/>
  <c r="L428" i="1"/>
  <c r="M428" i="1" s="1"/>
  <c r="V366" i="1"/>
  <c r="W366" i="1" s="1"/>
  <c r="N363" i="1"/>
  <c r="O363" i="1" s="1"/>
  <c r="P368" i="1"/>
  <c r="Q368" i="1" s="1"/>
  <c r="V393" i="1"/>
  <c r="W393" i="1" s="1"/>
  <c r="T384" i="1"/>
  <c r="U384" i="1" s="1"/>
  <c r="J389" i="1"/>
  <c r="V401" i="1"/>
  <c r="W401" i="1" s="1"/>
  <c r="L424" i="1"/>
  <c r="M424" i="1" s="1"/>
  <c r="P428" i="1"/>
  <c r="Q428" i="1" s="1"/>
  <c r="R351" i="1"/>
  <c r="S351" i="1" s="1"/>
  <c r="R363" i="1"/>
  <c r="S363" i="1" s="1"/>
  <c r="R368" i="1"/>
  <c r="S368" i="1" s="1"/>
  <c r="L393" i="1"/>
  <c r="M393" i="1" s="1"/>
  <c r="R384" i="1"/>
  <c r="S384" i="1" s="1"/>
  <c r="R422" i="1"/>
  <c r="S422" i="1" s="1"/>
  <c r="R414" i="1"/>
  <c r="S414" i="1" s="1"/>
  <c r="T408" i="1"/>
  <c r="U408" i="1" s="1"/>
  <c r="N424" i="1"/>
  <c r="O424" i="1" s="1"/>
  <c r="T428" i="1"/>
  <c r="U428" i="1" s="1"/>
  <c r="P351" i="1"/>
  <c r="Q351" i="1" s="1"/>
  <c r="V368" i="1"/>
  <c r="W368" i="1" s="1"/>
  <c r="T383" i="1"/>
  <c r="U383" i="1" s="1"/>
  <c r="P422" i="1"/>
  <c r="Q422" i="1" s="1"/>
  <c r="P414" i="1"/>
  <c r="Q414" i="1" s="1"/>
  <c r="R408" i="1"/>
  <c r="S408" i="1" s="1"/>
  <c r="R424" i="1"/>
  <c r="S424" i="1" s="1"/>
  <c r="N351" i="1"/>
  <c r="O351" i="1" s="1"/>
  <c r="V363" i="1"/>
  <c r="W363" i="1" s="1"/>
  <c r="R372" i="1"/>
  <c r="S372" i="1" s="1"/>
  <c r="P383" i="1"/>
  <c r="Q383" i="1" s="1"/>
  <c r="N422" i="1"/>
  <c r="O422" i="1" s="1"/>
  <c r="N414" i="1"/>
  <c r="O414" i="1" s="1"/>
  <c r="V424" i="1"/>
  <c r="W424" i="1" s="1"/>
  <c r="R455" i="1"/>
  <c r="S455" i="1" s="1"/>
  <c r="V354" i="1"/>
  <c r="W354" i="1" s="1"/>
  <c r="T372" i="1"/>
  <c r="U372" i="1" s="1"/>
  <c r="P389" i="1"/>
  <c r="Q389" i="1" s="1"/>
  <c r="V387" i="1"/>
  <c r="W387" i="1" s="1"/>
  <c r="R381" i="1"/>
  <c r="S381" i="1" s="1"/>
  <c r="L422" i="1"/>
  <c r="M422" i="1" s="1"/>
  <c r="T405" i="1"/>
  <c r="U405" i="1" s="1"/>
  <c r="V426" i="1"/>
  <c r="W426" i="1" s="1"/>
  <c r="J456" i="1"/>
  <c r="K456" i="1" s="1"/>
  <c r="P350" i="1"/>
  <c r="Q350" i="1" s="1"/>
  <c r="N365" i="1"/>
  <c r="O365" i="1" s="1"/>
  <c r="L387" i="1"/>
  <c r="M387" i="1" s="1"/>
  <c r="V410" i="1"/>
  <c r="W410" i="1" s="1"/>
  <c r="R405" i="1"/>
  <c r="S405" i="1" s="1"/>
  <c r="T456" i="1"/>
  <c r="U456" i="1" s="1"/>
  <c r="T366" i="1"/>
  <c r="U366" i="1" s="1"/>
  <c r="N401" i="1"/>
  <c r="O401" i="1" s="1"/>
  <c r="R354" i="1"/>
  <c r="S354" i="1" s="1"/>
  <c r="N366" i="1"/>
  <c r="O366" i="1" s="1"/>
  <c r="V374" i="1"/>
  <c r="W374" i="1" s="1"/>
  <c r="L389" i="1"/>
  <c r="M389" i="1" s="1"/>
  <c r="T386" i="1"/>
  <c r="U386" i="1" s="1"/>
  <c r="N381" i="1"/>
  <c r="O381" i="1" s="1"/>
  <c r="V420" i="1"/>
  <c r="W420" i="1" s="1"/>
  <c r="T410" i="1"/>
  <c r="U410" i="1" s="1"/>
  <c r="P405" i="1"/>
  <c r="Q405" i="1" s="1"/>
  <c r="L375" i="1"/>
  <c r="T496" i="1"/>
  <c r="N507" i="1"/>
  <c r="O507" i="1" s="1"/>
  <c r="P401" i="1"/>
  <c r="Q401" i="1" s="1"/>
  <c r="T419" i="1"/>
  <c r="U419" i="1" s="1"/>
  <c r="N355" i="1"/>
  <c r="P366" i="1"/>
  <c r="Q366" i="1" s="1"/>
  <c r="T374" i="1"/>
  <c r="U374" i="1" s="1"/>
  <c r="L381" i="1"/>
  <c r="M381" i="1" s="1"/>
  <c r="L420" i="1"/>
  <c r="M420" i="1" s="1"/>
  <c r="N405" i="1"/>
  <c r="O405" i="1" s="1"/>
  <c r="N375" i="1"/>
  <c r="O375" i="1" s="1"/>
  <c r="R496" i="1"/>
  <c r="J508" i="1"/>
  <c r="K508" i="1" s="1"/>
  <c r="N391" i="1"/>
  <c r="O391" i="1" s="1"/>
  <c r="L391" i="1"/>
  <c r="M391" i="1" s="1"/>
  <c r="N378" i="1"/>
  <c r="O378" i="1" s="1"/>
  <c r="P378" i="1"/>
  <c r="Q378" i="1" s="1"/>
  <c r="R378" i="1"/>
  <c r="S378" i="1" s="1"/>
  <c r="T378" i="1"/>
  <c r="U378" i="1" s="1"/>
  <c r="V378" i="1"/>
  <c r="W378" i="1" s="1"/>
  <c r="P390" i="1"/>
  <c r="Q390" i="1" s="1"/>
  <c r="T390" i="1"/>
  <c r="U390" i="1" s="1"/>
  <c r="V390" i="1"/>
  <c r="W390" i="1" s="1"/>
  <c r="L390" i="1"/>
  <c r="M390" i="1" s="1"/>
  <c r="N412" i="1"/>
  <c r="O412" i="1" s="1"/>
  <c r="P412" i="1"/>
  <c r="Q412" i="1" s="1"/>
  <c r="R412" i="1"/>
  <c r="S412" i="1" s="1"/>
  <c r="T412" i="1"/>
  <c r="U412" i="1" s="1"/>
  <c r="V412" i="1"/>
  <c r="W412" i="1" s="1"/>
  <c r="T391" i="1"/>
  <c r="U391" i="1" s="1"/>
  <c r="V411" i="1"/>
  <c r="W411" i="1" s="1"/>
  <c r="L411" i="1"/>
  <c r="M411" i="1" s="1"/>
  <c r="P411" i="1"/>
  <c r="Q411" i="1" s="1"/>
  <c r="R411" i="1"/>
  <c r="S411" i="1" s="1"/>
  <c r="T411" i="1"/>
  <c r="U411" i="1" s="1"/>
  <c r="R391" i="1"/>
  <c r="S391" i="1" s="1"/>
  <c r="L378" i="1"/>
  <c r="M378" i="1" s="1"/>
  <c r="N362" i="1"/>
  <c r="O362" i="1" s="1"/>
  <c r="V362" i="1"/>
  <c r="W362" i="1" s="1"/>
  <c r="T362" i="1"/>
  <c r="U362" i="1" s="1"/>
  <c r="R362" i="1"/>
  <c r="S362" i="1" s="1"/>
  <c r="P362" i="1"/>
  <c r="Q362" i="1" s="1"/>
  <c r="L380" i="1"/>
  <c r="M380" i="1" s="1"/>
  <c r="P380" i="1"/>
  <c r="Q380" i="1" s="1"/>
  <c r="R380" i="1"/>
  <c r="S380" i="1" s="1"/>
  <c r="T380" i="1"/>
  <c r="U380" i="1" s="1"/>
  <c r="V380" i="1"/>
  <c r="W380" i="1" s="1"/>
  <c r="R392" i="1"/>
  <c r="S392" i="1" s="1"/>
  <c r="V392" i="1"/>
  <c r="W392" i="1" s="1"/>
  <c r="L392" i="1"/>
  <c r="M392" i="1" s="1"/>
  <c r="P392" i="1"/>
  <c r="Q392" i="1" s="1"/>
  <c r="N392" i="1"/>
  <c r="O392" i="1" s="1"/>
  <c r="N416" i="1"/>
  <c r="O416" i="1" s="1"/>
  <c r="R416" i="1"/>
  <c r="S416" i="1" s="1"/>
  <c r="V416" i="1"/>
  <c r="W416" i="1" s="1"/>
  <c r="L416" i="1"/>
  <c r="M416" i="1" s="1"/>
  <c r="V453" i="1"/>
  <c r="W453" i="1" s="1"/>
  <c r="R453" i="1"/>
  <c r="S453" i="1" s="1"/>
  <c r="P453" i="1"/>
  <c r="Q453" i="1" s="1"/>
  <c r="N453" i="1"/>
  <c r="O453" i="1" s="1"/>
  <c r="L453" i="1"/>
  <c r="M453" i="1" s="1"/>
  <c r="J453" i="1"/>
  <c r="K453" i="1" s="1"/>
  <c r="H453" i="1"/>
  <c r="I453" i="1" s="1"/>
  <c r="L362" i="1"/>
  <c r="M362" i="1" s="1"/>
  <c r="P391" i="1"/>
  <c r="Q391" i="1" s="1"/>
  <c r="T376" i="1"/>
  <c r="U376" i="1" s="1"/>
  <c r="P376" i="1"/>
  <c r="Q376" i="1" s="1"/>
  <c r="L376" i="1"/>
  <c r="M376" i="1" s="1"/>
  <c r="V376" i="1"/>
  <c r="W376" i="1" s="1"/>
  <c r="V391" i="1"/>
  <c r="W391" i="1" s="1"/>
  <c r="N382" i="1"/>
  <c r="O382" i="1" s="1"/>
  <c r="R382" i="1"/>
  <c r="S382" i="1" s="1"/>
  <c r="T382" i="1"/>
  <c r="U382" i="1" s="1"/>
  <c r="V382" i="1"/>
  <c r="W382" i="1" s="1"/>
  <c r="L382" i="1"/>
  <c r="M382" i="1" s="1"/>
  <c r="P418" i="1"/>
  <c r="Q418" i="1" s="1"/>
  <c r="T418" i="1"/>
  <c r="U418" i="1" s="1"/>
  <c r="L418" i="1"/>
  <c r="M418" i="1" s="1"/>
  <c r="N418" i="1"/>
  <c r="O418" i="1" s="1"/>
  <c r="V455" i="1"/>
  <c r="W455" i="1" s="1"/>
  <c r="T455" i="1"/>
  <c r="U455" i="1" s="1"/>
  <c r="P455" i="1"/>
  <c r="Q455" i="1" s="1"/>
  <c r="N455" i="1"/>
  <c r="O455" i="1" s="1"/>
  <c r="J455" i="1"/>
  <c r="K455" i="1" s="1"/>
  <c r="H455" i="1"/>
  <c r="I455" i="1" s="1"/>
  <c r="R357" i="1"/>
  <c r="S357" i="1" s="1"/>
  <c r="N357" i="1"/>
  <c r="O357" i="1" s="1"/>
  <c r="L357" i="1"/>
  <c r="M357" i="1" s="1"/>
  <c r="V364" i="1"/>
  <c r="W364" i="1" s="1"/>
  <c r="R364" i="1"/>
  <c r="S364" i="1" s="1"/>
  <c r="P364" i="1"/>
  <c r="Q364" i="1" s="1"/>
  <c r="N364" i="1"/>
  <c r="O364" i="1" s="1"/>
  <c r="L364" i="1"/>
  <c r="M364" i="1" s="1"/>
  <c r="N350" i="1"/>
  <c r="O350" i="1" s="1"/>
  <c r="R350" i="1"/>
  <c r="S350" i="1" s="1"/>
  <c r="T350" i="1"/>
  <c r="U350" i="1" s="1"/>
  <c r="V350" i="1"/>
  <c r="W350" i="1" s="1"/>
  <c r="P365" i="1"/>
  <c r="Q365" i="1" s="1"/>
  <c r="V365" i="1"/>
  <c r="W365" i="1" s="1"/>
  <c r="T365" i="1"/>
  <c r="U365" i="1" s="1"/>
  <c r="R365" i="1"/>
  <c r="S365" i="1" s="1"/>
  <c r="P357" i="1"/>
  <c r="Q357" i="1" s="1"/>
  <c r="R390" i="1"/>
  <c r="S390" i="1" s="1"/>
  <c r="R418" i="1"/>
  <c r="S418" i="1" s="1"/>
  <c r="L394" i="1"/>
  <c r="M394" i="1" s="1"/>
  <c r="P394" i="1"/>
  <c r="Q394" i="1" s="1"/>
  <c r="R394" i="1"/>
  <c r="S394" i="1" s="1"/>
  <c r="T394" i="1"/>
  <c r="U394" i="1" s="1"/>
  <c r="V394" i="1"/>
  <c r="W394" i="1" s="1"/>
  <c r="T357" i="1"/>
  <c r="U357" i="1" s="1"/>
  <c r="N376" i="1"/>
  <c r="O376" i="1" s="1"/>
  <c r="N352" i="1"/>
  <c r="O352" i="1" s="1"/>
  <c r="P353" i="1"/>
  <c r="Q353" i="1" s="1"/>
  <c r="L352" i="1"/>
  <c r="M352" i="1" s="1"/>
  <c r="R356" i="1"/>
  <c r="S356" i="1" s="1"/>
  <c r="L372" i="1"/>
  <c r="M372" i="1" s="1"/>
  <c r="N373" i="1"/>
  <c r="O373" i="1" s="1"/>
  <c r="R393" i="1"/>
  <c r="S393" i="1" s="1"/>
  <c r="R387" i="1"/>
  <c r="S387" i="1" s="1"/>
  <c r="P386" i="1"/>
  <c r="Q386" i="1" s="1"/>
  <c r="N384" i="1"/>
  <c r="O384" i="1" s="1"/>
  <c r="V379" i="1"/>
  <c r="W379" i="1" s="1"/>
  <c r="P419" i="1"/>
  <c r="Q419" i="1" s="1"/>
  <c r="R409" i="1"/>
  <c r="S409" i="1" s="1"/>
  <c r="P408" i="1"/>
  <c r="Q408" i="1" s="1"/>
  <c r="L404" i="1"/>
  <c r="M404" i="1" s="1"/>
  <c r="L426" i="1"/>
  <c r="M426" i="1" s="1"/>
  <c r="V428" i="1"/>
  <c r="W428" i="1" s="1"/>
  <c r="L456" i="1"/>
  <c r="M456" i="1" s="1"/>
  <c r="P375" i="1"/>
  <c r="Q375" i="1" s="1"/>
  <c r="P507" i="1"/>
  <c r="Q507" i="1" s="1"/>
  <c r="N367" i="1"/>
  <c r="O367" i="1" s="1"/>
  <c r="N353" i="1"/>
  <c r="O353" i="1" s="1"/>
  <c r="T356" i="1"/>
  <c r="U356" i="1" s="1"/>
  <c r="P367" i="1"/>
  <c r="Q367" i="1" s="1"/>
  <c r="R374" i="1"/>
  <c r="S374" i="1" s="1"/>
  <c r="L373" i="1"/>
  <c r="M373" i="1" s="1"/>
  <c r="P393" i="1"/>
  <c r="Q393" i="1" s="1"/>
  <c r="V389" i="1"/>
  <c r="W389" i="1" s="1"/>
  <c r="P387" i="1"/>
  <c r="Q387" i="1" s="1"/>
  <c r="N385" i="1"/>
  <c r="O385" i="1" s="1"/>
  <c r="L383" i="1"/>
  <c r="M383" i="1" s="1"/>
  <c r="T379" i="1"/>
  <c r="U379" i="1" s="1"/>
  <c r="V422" i="1"/>
  <c r="W422" i="1" s="1"/>
  <c r="R420" i="1"/>
  <c r="S420" i="1" s="1"/>
  <c r="V414" i="1"/>
  <c r="W414" i="1" s="1"/>
  <c r="R410" i="1"/>
  <c r="S410" i="1" s="1"/>
  <c r="P409" i="1"/>
  <c r="Q409" i="1" s="1"/>
  <c r="L405" i="1"/>
  <c r="M405" i="1" s="1"/>
  <c r="V402" i="1"/>
  <c r="W402" i="1" s="1"/>
  <c r="N426" i="1"/>
  <c r="O426" i="1" s="1"/>
  <c r="P427" i="1"/>
  <c r="Q427" i="1" s="1"/>
  <c r="N456" i="1"/>
  <c r="O456" i="1" s="1"/>
  <c r="R375" i="1"/>
  <c r="S375" i="1" s="1"/>
  <c r="P354" i="1"/>
  <c r="Q354" i="1" s="1"/>
  <c r="L353" i="1"/>
  <c r="M353" i="1" s="1"/>
  <c r="V351" i="1"/>
  <c r="W351" i="1" s="1"/>
  <c r="V356" i="1"/>
  <c r="W356" i="1" s="1"/>
  <c r="R367" i="1"/>
  <c r="S367" i="1" s="1"/>
  <c r="N372" i="1"/>
  <c r="O372" i="1" s="1"/>
  <c r="P374" i="1"/>
  <c r="Q374" i="1" s="1"/>
  <c r="T389" i="1"/>
  <c r="U389" i="1" s="1"/>
  <c r="N386" i="1"/>
  <c r="O386" i="1" s="1"/>
  <c r="L384" i="1"/>
  <c r="M384" i="1" s="1"/>
  <c r="V381" i="1"/>
  <c r="W381" i="1" s="1"/>
  <c r="P420" i="1"/>
  <c r="Q420" i="1" s="1"/>
  <c r="N419" i="1"/>
  <c r="O419" i="1" s="1"/>
  <c r="P410" i="1"/>
  <c r="Q410" i="1" s="1"/>
  <c r="N408" i="1"/>
  <c r="O408" i="1" s="1"/>
  <c r="P426" i="1"/>
  <c r="Q426" i="1" s="1"/>
  <c r="R427" i="1"/>
  <c r="S427" i="1" s="1"/>
  <c r="T375" i="1"/>
  <c r="U375" i="1" s="1"/>
  <c r="R507" i="1"/>
  <c r="S507" i="1" s="1"/>
  <c r="N354" i="1"/>
  <c r="O354" i="1" s="1"/>
  <c r="P372" i="1"/>
  <c r="Q372" i="1" s="1"/>
  <c r="N374" i="1"/>
  <c r="O374" i="1" s="1"/>
  <c r="N393" i="1"/>
  <c r="O393" i="1" s="1"/>
  <c r="N387" i="1"/>
  <c r="O387" i="1" s="1"/>
  <c r="L385" i="1"/>
  <c r="M385" i="1" s="1"/>
  <c r="T381" i="1"/>
  <c r="U381" i="1" s="1"/>
  <c r="R379" i="1"/>
  <c r="S379" i="1" s="1"/>
  <c r="L419" i="1"/>
  <c r="M419" i="1" s="1"/>
  <c r="T414" i="1"/>
  <c r="U414" i="1" s="1"/>
  <c r="N409" i="1"/>
  <c r="O409" i="1" s="1"/>
  <c r="V404" i="1"/>
  <c r="W404" i="1" s="1"/>
  <c r="T402" i="1"/>
  <c r="U402" i="1" s="1"/>
  <c r="R426" i="1"/>
  <c r="S426" i="1" s="1"/>
  <c r="T427" i="1"/>
  <c r="U427" i="1" s="1"/>
  <c r="P456" i="1"/>
  <c r="Q456" i="1" s="1"/>
  <c r="T507" i="1"/>
  <c r="U507" i="1" s="1"/>
  <c r="N383" i="1"/>
  <c r="O383" i="1" s="1"/>
  <c r="T420" i="1"/>
  <c r="U420" i="1" s="1"/>
  <c r="L354" i="1"/>
  <c r="M354" i="1" s="1"/>
  <c r="V352" i="1"/>
  <c r="W352" i="1" s="1"/>
  <c r="T351" i="1"/>
  <c r="U351" i="1" s="1"/>
  <c r="L363" i="1"/>
  <c r="M363" i="1" s="1"/>
  <c r="L366" i="1"/>
  <c r="M366" i="1" s="1"/>
  <c r="T367" i="1"/>
  <c r="U367" i="1" s="1"/>
  <c r="R389" i="1"/>
  <c r="S389" i="1" s="1"/>
  <c r="L386" i="1"/>
  <c r="M386" i="1" s="1"/>
  <c r="V383" i="1"/>
  <c r="W383" i="1" s="1"/>
  <c r="L401" i="1"/>
  <c r="M401" i="1" s="1"/>
  <c r="L408" i="1"/>
  <c r="M408" i="1" s="1"/>
  <c r="R456" i="1"/>
  <c r="S456" i="1" s="1"/>
  <c r="V507" i="1"/>
  <c r="W507" i="1" s="1"/>
  <c r="P402" i="1"/>
  <c r="Q402" i="1" s="1"/>
  <c r="P363" i="1"/>
  <c r="Q363" i="1" s="1"/>
  <c r="N368" i="1"/>
  <c r="O368" i="1" s="1"/>
  <c r="V386" i="1"/>
  <c r="W386" i="1" s="1"/>
  <c r="R404" i="1"/>
  <c r="S404" i="1" s="1"/>
  <c r="P424" i="1"/>
  <c r="Q424" i="1" s="1"/>
  <c r="N428" i="1"/>
  <c r="O428" i="1" s="1"/>
  <c r="L508" i="1"/>
  <c r="M508" i="1" s="1"/>
  <c r="J507" i="1"/>
  <c r="K507" i="1" s="1"/>
  <c r="P508" i="1"/>
  <c r="Q508" i="1" s="1"/>
  <c r="F348" i="1"/>
  <c r="F343" i="1"/>
  <c r="V200" i="1"/>
  <c r="W200" i="1" s="1"/>
  <c r="T200" i="1"/>
  <c r="U200" i="1" s="1"/>
  <c r="R200" i="1"/>
  <c r="S200" i="1" s="1"/>
  <c r="P200" i="1"/>
  <c r="Q200" i="1" s="1"/>
  <c r="N200" i="1"/>
  <c r="O200" i="1" s="1"/>
  <c r="L200" i="1"/>
  <c r="M200" i="1" s="1"/>
  <c r="V199" i="1"/>
  <c r="W199" i="1" s="1"/>
  <c r="T199" i="1"/>
  <c r="U199" i="1" s="1"/>
  <c r="R199" i="1"/>
  <c r="S199" i="1" s="1"/>
  <c r="P199" i="1"/>
  <c r="Q199" i="1" s="1"/>
  <c r="N199" i="1"/>
  <c r="O199" i="1" s="1"/>
  <c r="L199" i="1"/>
  <c r="M199" i="1" s="1"/>
  <c r="V198" i="1"/>
  <c r="W198" i="1" s="1"/>
  <c r="T198" i="1"/>
  <c r="U198" i="1" s="1"/>
  <c r="R198" i="1"/>
  <c r="S198" i="1" s="1"/>
  <c r="P198" i="1"/>
  <c r="Q198" i="1" s="1"/>
  <c r="N198" i="1"/>
  <c r="O198" i="1" s="1"/>
  <c r="L198" i="1"/>
  <c r="M198" i="1" s="1"/>
  <c r="V197" i="1"/>
  <c r="W197" i="1" s="1"/>
  <c r="T197" i="1"/>
  <c r="U197" i="1" s="1"/>
  <c r="R197" i="1"/>
  <c r="S197" i="1" s="1"/>
  <c r="P197" i="1"/>
  <c r="Q197" i="1" s="1"/>
  <c r="N197" i="1"/>
  <c r="O197" i="1" s="1"/>
  <c r="L197" i="1"/>
  <c r="M197" i="1" s="1"/>
  <c r="V196" i="1"/>
  <c r="W196" i="1" s="1"/>
  <c r="T196" i="1"/>
  <c r="U196" i="1" s="1"/>
  <c r="R196" i="1"/>
  <c r="S196" i="1" s="1"/>
  <c r="P196" i="1"/>
  <c r="Q196" i="1" s="1"/>
  <c r="N196" i="1"/>
  <c r="O196" i="1" s="1"/>
  <c r="L196" i="1"/>
  <c r="M196" i="1" s="1"/>
  <c r="V195" i="1"/>
  <c r="T195" i="1"/>
  <c r="R195" i="1"/>
  <c r="P195" i="1"/>
  <c r="N195" i="1"/>
  <c r="L195" i="1"/>
  <c r="F340" i="1"/>
  <c r="F336" i="1"/>
  <c r="F335" i="1"/>
  <c r="F334" i="1"/>
  <c r="F331" i="1"/>
  <c r="F330" i="1"/>
  <c r="F329" i="1"/>
  <c r="F327" i="1"/>
  <c r="F326" i="1"/>
  <c r="F325" i="1"/>
  <c r="F323" i="1"/>
  <c r="F322" i="1"/>
  <c r="F321" i="1"/>
  <c r="F315" i="1"/>
  <c r="F314" i="1"/>
  <c r="R348" i="1" l="1"/>
  <c r="S348" i="1" s="1"/>
  <c r="P348" i="1"/>
  <c r="Q348" i="1" s="1"/>
  <c r="N348" i="1"/>
  <c r="O348" i="1" s="1"/>
  <c r="L348" i="1"/>
  <c r="M348" i="1" s="1"/>
  <c r="V348" i="1"/>
  <c r="W348" i="1" s="1"/>
  <c r="T348" i="1"/>
  <c r="U348" i="1" s="1"/>
  <c r="J343" i="1"/>
  <c r="H343" i="1"/>
  <c r="V333" i="1"/>
  <c r="W333" i="1" s="1"/>
  <c r="T333" i="1"/>
  <c r="U333" i="1" s="1"/>
  <c r="R333" i="1"/>
  <c r="S333" i="1" s="1"/>
  <c r="P333" i="1"/>
  <c r="Q333" i="1" s="1"/>
  <c r="N333" i="1"/>
  <c r="O333" i="1" s="1"/>
  <c r="L333" i="1"/>
  <c r="M333" i="1" s="1"/>
  <c r="J333" i="1"/>
  <c r="K333" i="1" s="1"/>
  <c r="V296" i="1"/>
  <c r="W296" i="1" s="1"/>
  <c r="T296" i="1"/>
  <c r="U296" i="1" s="1"/>
  <c r="R296" i="1"/>
  <c r="S296" i="1" s="1"/>
  <c r="P296" i="1"/>
  <c r="Q296" i="1" s="1"/>
  <c r="V339" i="1"/>
  <c r="W339" i="1" s="1"/>
  <c r="T339" i="1"/>
  <c r="U339" i="1" s="1"/>
  <c r="R339" i="1"/>
  <c r="S339" i="1" s="1"/>
  <c r="P339" i="1"/>
  <c r="Q339" i="1" s="1"/>
  <c r="N339" i="1"/>
  <c r="O339" i="1" s="1"/>
  <c r="L339" i="1"/>
  <c r="M339" i="1" s="1"/>
  <c r="J339" i="1"/>
  <c r="K339" i="1" s="1"/>
  <c r="H339" i="1"/>
  <c r="I339" i="1" s="1"/>
  <c r="V338" i="1"/>
  <c r="W338" i="1" s="1"/>
  <c r="T338" i="1"/>
  <c r="U338" i="1" s="1"/>
  <c r="R338" i="1"/>
  <c r="S338" i="1" s="1"/>
  <c r="P338" i="1"/>
  <c r="Q338" i="1" s="1"/>
  <c r="N338" i="1"/>
  <c r="O338" i="1" s="1"/>
  <c r="L338" i="1"/>
  <c r="M338" i="1" s="1"/>
  <c r="J338" i="1"/>
  <c r="K338" i="1" s="1"/>
  <c r="H338" i="1"/>
  <c r="I338" i="1" s="1"/>
  <c r="V337" i="1"/>
  <c r="W337" i="1" s="1"/>
  <c r="T337" i="1"/>
  <c r="U337" i="1" s="1"/>
  <c r="R337" i="1"/>
  <c r="S337" i="1" s="1"/>
  <c r="P337" i="1"/>
  <c r="Q337" i="1" s="1"/>
  <c r="N337" i="1"/>
  <c r="O337" i="1" s="1"/>
  <c r="L337" i="1"/>
  <c r="M337" i="1" s="1"/>
  <c r="J337" i="1"/>
  <c r="K337" i="1" s="1"/>
  <c r="H337" i="1"/>
  <c r="I337" i="1" s="1"/>
  <c r="V324" i="1"/>
  <c r="W324" i="1" s="1"/>
  <c r="T324" i="1"/>
  <c r="U324" i="1" s="1"/>
  <c r="R324" i="1"/>
  <c r="S324" i="1" s="1"/>
  <c r="P324" i="1"/>
  <c r="Q324" i="1" s="1"/>
  <c r="N324" i="1"/>
  <c r="O324" i="1" s="1"/>
  <c r="L324" i="1"/>
  <c r="M324" i="1" s="1"/>
  <c r="J324" i="1"/>
  <c r="K324" i="1" s="1"/>
  <c r="H324" i="1"/>
  <c r="I324" i="1" s="1"/>
  <c r="V313" i="1"/>
  <c r="W313" i="1" s="1"/>
  <c r="T313" i="1"/>
  <c r="U313" i="1" s="1"/>
  <c r="R313" i="1"/>
  <c r="S313" i="1" s="1"/>
  <c r="P313" i="1"/>
  <c r="Q313" i="1" s="1"/>
  <c r="N313" i="1"/>
  <c r="O313" i="1" s="1"/>
  <c r="L313" i="1"/>
  <c r="M313" i="1" s="1"/>
  <c r="J313" i="1"/>
  <c r="K313" i="1" s="1"/>
  <c r="H313" i="1"/>
  <c r="I313" i="1" s="1"/>
  <c r="N296" i="1"/>
  <c r="O296" i="1" s="1"/>
  <c r="L296" i="1"/>
  <c r="M296" i="1" s="1"/>
  <c r="J296" i="1"/>
  <c r="K296" i="1" s="1"/>
  <c r="H296" i="1"/>
  <c r="I296" i="1" s="1"/>
  <c r="V308" i="1"/>
  <c r="W308" i="1" s="1"/>
  <c r="T308" i="1"/>
  <c r="U308" i="1" s="1"/>
  <c r="R308" i="1"/>
  <c r="S308" i="1" s="1"/>
  <c r="P308" i="1"/>
  <c r="Q308" i="1" s="1"/>
  <c r="N308" i="1"/>
  <c r="O308" i="1" s="1"/>
  <c r="L308" i="1"/>
  <c r="M308" i="1" s="1"/>
  <c r="J308" i="1"/>
  <c r="K308" i="1" s="1"/>
  <c r="H308" i="1"/>
  <c r="I308" i="1" s="1"/>
  <c r="V312" i="1"/>
  <c r="W312" i="1" s="1"/>
  <c r="T312" i="1"/>
  <c r="U312" i="1" s="1"/>
  <c r="R312" i="1"/>
  <c r="S312" i="1" s="1"/>
  <c r="P312" i="1"/>
  <c r="Q312" i="1" s="1"/>
  <c r="N312" i="1"/>
  <c r="O312" i="1" s="1"/>
  <c r="L312" i="1"/>
  <c r="M312" i="1" s="1"/>
  <c r="J312" i="1"/>
  <c r="K312" i="1" s="1"/>
  <c r="H312" i="1"/>
  <c r="I312" i="1" s="1"/>
  <c r="V311" i="1"/>
  <c r="W311" i="1" s="1"/>
  <c r="T311" i="1"/>
  <c r="U311" i="1" s="1"/>
  <c r="R311" i="1"/>
  <c r="S311" i="1" s="1"/>
  <c r="P311" i="1"/>
  <c r="Q311" i="1" s="1"/>
  <c r="N311" i="1"/>
  <c r="O311" i="1" s="1"/>
  <c r="L311" i="1"/>
  <c r="M311" i="1" s="1"/>
  <c r="J311" i="1"/>
  <c r="K311" i="1" s="1"/>
  <c r="H311" i="1"/>
  <c r="I311" i="1" s="1"/>
  <c r="V310" i="1"/>
  <c r="W310" i="1" s="1"/>
  <c r="T310" i="1"/>
  <c r="U310" i="1" s="1"/>
  <c r="R310" i="1"/>
  <c r="S310" i="1" s="1"/>
  <c r="P310" i="1"/>
  <c r="Q310" i="1" s="1"/>
  <c r="N310" i="1"/>
  <c r="O310" i="1" s="1"/>
  <c r="L310" i="1"/>
  <c r="M310" i="1" s="1"/>
  <c r="J310" i="1"/>
  <c r="K310" i="1" s="1"/>
  <c r="H310" i="1"/>
  <c r="I310" i="1" s="1"/>
  <c r="V309" i="1"/>
  <c r="W309" i="1" s="1"/>
  <c r="T309" i="1"/>
  <c r="U309" i="1" s="1"/>
  <c r="R309" i="1"/>
  <c r="S309" i="1" s="1"/>
  <c r="P309" i="1"/>
  <c r="Q309" i="1" s="1"/>
  <c r="N309" i="1"/>
  <c r="O309" i="1" s="1"/>
  <c r="L309" i="1"/>
  <c r="M309" i="1" s="1"/>
  <c r="J309" i="1"/>
  <c r="K309" i="1" s="1"/>
  <c r="H309" i="1"/>
  <c r="I309" i="1" s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J305" i="1"/>
  <c r="K305" i="1" s="1"/>
  <c r="H305" i="1"/>
  <c r="I305" i="1" s="1"/>
  <c r="V292" i="1"/>
  <c r="W292" i="1" s="1"/>
  <c r="T292" i="1"/>
  <c r="U292" i="1" s="1"/>
  <c r="R292" i="1"/>
  <c r="S292" i="1" s="1"/>
  <c r="P292" i="1"/>
  <c r="Q292" i="1" s="1"/>
  <c r="N292" i="1"/>
  <c r="O292" i="1" s="1"/>
  <c r="L292" i="1"/>
  <c r="M292" i="1" s="1"/>
  <c r="J292" i="1"/>
  <c r="K292" i="1" s="1"/>
  <c r="H292" i="1"/>
  <c r="I292" i="1" s="1"/>
  <c r="V302" i="1"/>
  <c r="W302" i="1" s="1"/>
  <c r="T302" i="1"/>
  <c r="U302" i="1" s="1"/>
  <c r="R302" i="1"/>
  <c r="S302" i="1" s="1"/>
  <c r="P302" i="1"/>
  <c r="Q302" i="1" s="1"/>
  <c r="N302" i="1"/>
  <c r="O302" i="1" s="1"/>
  <c r="L302" i="1"/>
  <c r="M302" i="1" s="1"/>
  <c r="V301" i="1"/>
  <c r="W301" i="1" s="1"/>
  <c r="T301" i="1"/>
  <c r="U301" i="1" s="1"/>
  <c r="R301" i="1"/>
  <c r="S301" i="1" s="1"/>
  <c r="P301" i="1"/>
  <c r="Q301" i="1" s="1"/>
  <c r="N301" i="1"/>
  <c r="O301" i="1" s="1"/>
  <c r="L301" i="1"/>
  <c r="M301" i="1" s="1"/>
  <c r="V300" i="1"/>
  <c r="W300" i="1" s="1"/>
  <c r="T300" i="1"/>
  <c r="U300" i="1" s="1"/>
  <c r="R300" i="1"/>
  <c r="S300" i="1" s="1"/>
  <c r="P300" i="1"/>
  <c r="Q300" i="1" s="1"/>
  <c r="N300" i="1"/>
  <c r="O300" i="1" s="1"/>
  <c r="L300" i="1"/>
  <c r="M300" i="1" s="1"/>
  <c r="F307" i="1"/>
  <c r="T307" i="1" s="1"/>
  <c r="U307" i="1" s="1"/>
  <c r="F306" i="1"/>
  <c r="F303" i="1"/>
  <c r="V303" i="1" s="1"/>
  <c r="W303" i="1" s="1"/>
  <c r="F299" i="1"/>
  <c r="T299" i="1" s="1"/>
  <c r="U299" i="1" s="1"/>
  <c r="F298" i="1"/>
  <c r="L298" i="1" s="1"/>
  <c r="M298" i="1" s="1"/>
  <c r="F297" i="1"/>
  <c r="R297" i="1" s="1"/>
  <c r="F293" i="1"/>
  <c r="V290" i="1"/>
  <c r="W290" i="1" s="1"/>
  <c r="T290" i="1"/>
  <c r="U290" i="1" s="1"/>
  <c r="R290" i="1"/>
  <c r="S290" i="1" s="1"/>
  <c r="P290" i="1"/>
  <c r="Q290" i="1" s="1"/>
  <c r="N290" i="1"/>
  <c r="O290" i="1" s="1"/>
  <c r="L290" i="1"/>
  <c r="M290" i="1" s="1"/>
  <c r="J290" i="1"/>
  <c r="K290" i="1" s="1"/>
  <c r="H251" i="1"/>
  <c r="I251" i="1" s="1"/>
  <c r="J251" i="1"/>
  <c r="K251" i="1" s="1"/>
  <c r="L251" i="1"/>
  <c r="M251" i="1" s="1"/>
  <c r="N251" i="1"/>
  <c r="O251" i="1" s="1"/>
  <c r="P251" i="1"/>
  <c r="Q251" i="1" s="1"/>
  <c r="R251" i="1"/>
  <c r="S251" i="1" s="1"/>
  <c r="T251" i="1"/>
  <c r="H254" i="1"/>
  <c r="I254" i="1" s="1"/>
  <c r="J254" i="1"/>
  <c r="K254" i="1" s="1"/>
  <c r="L254" i="1"/>
  <c r="M254" i="1" s="1"/>
  <c r="N254" i="1"/>
  <c r="O254" i="1" s="1"/>
  <c r="P254" i="1"/>
  <c r="Q254" i="1" s="1"/>
  <c r="R254" i="1"/>
  <c r="S254" i="1" s="1"/>
  <c r="T254" i="1"/>
  <c r="L247" i="1"/>
  <c r="J247" i="1"/>
  <c r="H247" i="1"/>
  <c r="F285" i="1"/>
  <c r="H285" i="1" s="1"/>
  <c r="I285" i="1" s="1"/>
  <c r="F277" i="1"/>
  <c r="L277" i="1" s="1"/>
  <c r="M277" i="1" s="1"/>
  <c r="F272" i="1"/>
  <c r="L272" i="1" s="1"/>
  <c r="M272" i="1" s="1"/>
  <c r="F270" i="1"/>
  <c r="T270" i="1" s="1"/>
  <c r="U270" i="1" s="1"/>
  <c r="F268" i="1"/>
  <c r="N268" i="1" s="1"/>
  <c r="O268" i="1" s="1"/>
  <c r="F264" i="1"/>
  <c r="J264" i="1" s="1"/>
  <c r="K264" i="1" s="1"/>
  <c r="F262" i="1"/>
  <c r="H262" i="1" s="1"/>
  <c r="I262" i="1" s="1"/>
  <c r="F261" i="1"/>
  <c r="N261" i="1" s="1"/>
  <c r="O261" i="1" s="1"/>
  <c r="F259" i="1"/>
  <c r="N259" i="1" s="1"/>
  <c r="O259" i="1" s="1"/>
  <c r="F257" i="1"/>
  <c r="T257" i="1" s="1"/>
  <c r="F248" i="1"/>
  <c r="R248" i="1" s="1"/>
  <c r="S248" i="1" s="1"/>
  <c r="F244" i="1"/>
  <c r="V244" i="1" s="1"/>
  <c r="W244" i="1" s="1"/>
  <c r="F243" i="1"/>
  <c r="T243" i="1" s="1"/>
  <c r="U243" i="1" s="1"/>
  <c r="F242" i="1"/>
  <c r="P242" i="1" s="1"/>
  <c r="Q242" i="1" s="1"/>
  <c r="L232" i="1"/>
  <c r="N231" i="1"/>
  <c r="O231" i="1" s="1"/>
  <c r="L231" i="1"/>
  <c r="M231" i="1" s="1"/>
  <c r="J231" i="1"/>
  <c r="K231" i="1" s="1"/>
  <c r="V233" i="1"/>
  <c r="W233" i="1" s="1"/>
  <c r="T233" i="1"/>
  <c r="U233" i="1" s="1"/>
  <c r="R233" i="1"/>
  <c r="S233" i="1" s="1"/>
  <c r="P233" i="1"/>
  <c r="Q233" i="1" s="1"/>
  <c r="N233" i="1"/>
  <c r="O233" i="1" s="1"/>
  <c r="L233" i="1"/>
  <c r="M233" i="1" s="1"/>
  <c r="V224" i="1"/>
  <c r="W224" i="1" s="1"/>
  <c r="V225" i="1"/>
  <c r="W225" i="1" s="1"/>
  <c r="V226" i="1"/>
  <c r="W226" i="1" s="1"/>
  <c r="V227" i="1"/>
  <c r="W227" i="1" s="1"/>
  <c r="V228" i="1"/>
  <c r="W228" i="1" s="1"/>
  <c r="V229" i="1"/>
  <c r="W229" i="1" s="1"/>
  <c r="V230" i="1"/>
  <c r="W230" i="1" s="1"/>
  <c r="V223" i="1"/>
  <c r="W223" i="1" s="1"/>
  <c r="T230" i="1"/>
  <c r="U230" i="1" s="1"/>
  <c r="R230" i="1"/>
  <c r="S230" i="1" s="1"/>
  <c r="P230" i="1"/>
  <c r="Q230" i="1" s="1"/>
  <c r="N230" i="1"/>
  <c r="O230" i="1" s="1"/>
  <c r="L230" i="1"/>
  <c r="M230" i="1" s="1"/>
  <c r="J230" i="1"/>
  <c r="K230" i="1" s="1"/>
  <c r="T229" i="1"/>
  <c r="U229" i="1" s="1"/>
  <c r="R229" i="1"/>
  <c r="S229" i="1" s="1"/>
  <c r="P229" i="1"/>
  <c r="Q229" i="1" s="1"/>
  <c r="N229" i="1"/>
  <c r="O229" i="1" s="1"/>
  <c r="L229" i="1"/>
  <c r="M229" i="1" s="1"/>
  <c r="J229" i="1"/>
  <c r="K229" i="1" s="1"/>
  <c r="T228" i="1"/>
  <c r="U228" i="1" s="1"/>
  <c r="R228" i="1"/>
  <c r="S228" i="1" s="1"/>
  <c r="P228" i="1"/>
  <c r="Q228" i="1" s="1"/>
  <c r="N228" i="1"/>
  <c r="O228" i="1" s="1"/>
  <c r="L228" i="1"/>
  <c r="M228" i="1" s="1"/>
  <c r="J228" i="1"/>
  <c r="K228" i="1" s="1"/>
  <c r="T227" i="1"/>
  <c r="U227" i="1" s="1"/>
  <c r="R227" i="1"/>
  <c r="S227" i="1" s="1"/>
  <c r="P227" i="1"/>
  <c r="Q227" i="1" s="1"/>
  <c r="N227" i="1"/>
  <c r="O227" i="1" s="1"/>
  <c r="L227" i="1"/>
  <c r="M227" i="1" s="1"/>
  <c r="J227" i="1"/>
  <c r="K227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T225" i="1"/>
  <c r="U225" i="1" s="1"/>
  <c r="R225" i="1"/>
  <c r="S225" i="1" s="1"/>
  <c r="P225" i="1"/>
  <c r="Q225" i="1" s="1"/>
  <c r="N225" i="1"/>
  <c r="O225" i="1" s="1"/>
  <c r="L225" i="1"/>
  <c r="M225" i="1" s="1"/>
  <c r="J225" i="1"/>
  <c r="K225" i="1" s="1"/>
  <c r="R218" i="1"/>
  <c r="S218" i="1" s="1"/>
  <c r="P218" i="1"/>
  <c r="Q218" i="1" s="1"/>
  <c r="N218" i="1"/>
  <c r="O218" i="1" s="1"/>
  <c r="T224" i="1"/>
  <c r="U224" i="1" s="1"/>
  <c r="R224" i="1"/>
  <c r="S224" i="1" s="1"/>
  <c r="P224" i="1"/>
  <c r="Q224" i="1" s="1"/>
  <c r="N224" i="1"/>
  <c r="O224" i="1" s="1"/>
  <c r="T223" i="1"/>
  <c r="U223" i="1" s="1"/>
  <c r="R223" i="1"/>
  <c r="S223" i="1" s="1"/>
  <c r="P223" i="1"/>
  <c r="Q223" i="1" s="1"/>
  <c r="N223" i="1"/>
  <c r="O223" i="1" s="1"/>
  <c r="V220" i="1"/>
  <c r="W220" i="1" s="1"/>
  <c r="T220" i="1"/>
  <c r="U220" i="1" s="1"/>
  <c r="V219" i="1"/>
  <c r="W219" i="1" s="1"/>
  <c r="T219" i="1"/>
  <c r="U219" i="1" s="1"/>
  <c r="V217" i="1"/>
  <c r="W217" i="1" s="1"/>
  <c r="T217" i="1"/>
  <c r="U217" i="1" s="1"/>
  <c r="R217" i="1"/>
  <c r="S217" i="1" s="1"/>
  <c r="P217" i="1"/>
  <c r="Q217" i="1" s="1"/>
  <c r="N217" i="1"/>
  <c r="O217" i="1" s="1"/>
  <c r="L217" i="1"/>
  <c r="M217" i="1" s="1"/>
  <c r="J217" i="1"/>
  <c r="K217" i="1" s="1"/>
  <c r="N216" i="1"/>
  <c r="P216" i="1"/>
  <c r="R216" i="1"/>
  <c r="T216" i="1"/>
  <c r="V214" i="1"/>
  <c r="W214" i="1" s="1"/>
  <c r="T214" i="1"/>
  <c r="U214" i="1" s="1"/>
  <c r="R214" i="1"/>
  <c r="S214" i="1" s="1"/>
  <c r="P214" i="1"/>
  <c r="Q214" i="1" s="1"/>
  <c r="N214" i="1"/>
  <c r="O214" i="1" s="1"/>
  <c r="L214" i="1"/>
  <c r="M214" i="1" s="1"/>
  <c r="J214" i="1"/>
  <c r="K214" i="1" s="1"/>
  <c r="V169" i="1"/>
  <c r="W169" i="1" s="1"/>
  <c r="T169" i="1"/>
  <c r="U169" i="1" s="1"/>
  <c r="R169" i="1"/>
  <c r="S169" i="1" s="1"/>
  <c r="P169" i="1"/>
  <c r="Q169" i="1" s="1"/>
  <c r="N169" i="1"/>
  <c r="O169" i="1" s="1"/>
  <c r="L169" i="1"/>
  <c r="M169" i="1" s="1"/>
  <c r="J169" i="1"/>
  <c r="K169" i="1" s="1"/>
  <c r="V176" i="1"/>
  <c r="W176" i="1" s="1"/>
  <c r="T176" i="1"/>
  <c r="U176" i="1" s="1"/>
  <c r="R176" i="1"/>
  <c r="S176" i="1" s="1"/>
  <c r="P176" i="1"/>
  <c r="Q176" i="1" s="1"/>
  <c r="N176" i="1"/>
  <c r="O176" i="1" s="1"/>
  <c r="L176" i="1"/>
  <c r="M176" i="1" s="1"/>
  <c r="J176" i="1"/>
  <c r="K176" i="1" s="1"/>
  <c r="H176" i="1"/>
  <c r="I176" i="1" s="1"/>
  <c r="F209" i="1"/>
  <c r="T209" i="1" s="1"/>
  <c r="U209" i="1" s="1"/>
  <c r="F592" i="1"/>
  <c r="F591" i="1"/>
  <c r="F180" i="1"/>
  <c r="F179" i="1"/>
  <c r="L179" i="1" s="1"/>
  <c r="M179" i="1" s="1"/>
  <c r="F177" i="1"/>
  <c r="N177" i="1" s="1"/>
  <c r="O177" i="1" s="1"/>
  <c r="L209" i="1" l="1"/>
  <c r="M209" i="1" s="1"/>
  <c r="H299" i="1"/>
  <c r="I299" i="1" s="1"/>
  <c r="L307" i="1"/>
  <c r="M307" i="1" s="1"/>
  <c r="H298" i="1"/>
  <c r="I298" i="1" s="1"/>
  <c r="L303" i="1"/>
  <c r="M303" i="1" s="1"/>
  <c r="N303" i="1"/>
  <c r="O303" i="1" s="1"/>
  <c r="J272" i="1"/>
  <c r="K272" i="1" s="1"/>
  <c r="T303" i="1"/>
  <c r="U303" i="1" s="1"/>
  <c r="N270" i="1"/>
  <c r="O270" i="1" s="1"/>
  <c r="R285" i="1"/>
  <c r="S285" i="1" s="1"/>
  <c r="R177" i="1"/>
  <c r="S177" i="1" s="1"/>
  <c r="N209" i="1"/>
  <c r="O209" i="1" s="1"/>
  <c r="P261" i="1"/>
  <c r="Q261" i="1" s="1"/>
  <c r="J298" i="1"/>
  <c r="K298" i="1" s="1"/>
  <c r="T298" i="1"/>
  <c r="U298" i="1" s="1"/>
  <c r="P299" i="1"/>
  <c r="Q299" i="1" s="1"/>
  <c r="N298" i="1"/>
  <c r="O298" i="1" s="1"/>
  <c r="J244" i="1"/>
  <c r="K244" i="1" s="1"/>
  <c r="P298" i="1"/>
  <c r="Q298" i="1" s="1"/>
  <c r="L299" i="1"/>
  <c r="M299" i="1" s="1"/>
  <c r="R298" i="1"/>
  <c r="S298" i="1" s="1"/>
  <c r="N299" i="1"/>
  <c r="O299" i="1" s="1"/>
  <c r="V298" i="1"/>
  <c r="W298" i="1" s="1"/>
  <c r="H297" i="1"/>
  <c r="P177" i="1"/>
  <c r="Q177" i="1" s="1"/>
  <c r="R261" i="1"/>
  <c r="S261" i="1" s="1"/>
  <c r="J297" i="1"/>
  <c r="P297" i="1"/>
  <c r="T297" i="1"/>
  <c r="H303" i="1"/>
  <c r="I303" i="1" s="1"/>
  <c r="R299" i="1"/>
  <c r="S299" i="1" s="1"/>
  <c r="P209" i="1"/>
  <c r="Q209" i="1" s="1"/>
  <c r="V297" i="1"/>
  <c r="J303" i="1"/>
  <c r="K303" i="1" s="1"/>
  <c r="V299" i="1"/>
  <c r="W299" i="1" s="1"/>
  <c r="P179" i="1"/>
  <c r="Q179" i="1" s="1"/>
  <c r="J242" i="1"/>
  <c r="K242" i="1" s="1"/>
  <c r="R306" i="1"/>
  <c r="S306" i="1" s="1"/>
  <c r="N306" i="1"/>
  <c r="O306" i="1" s="1"/>
  <c r="L306" i="1"/>
  <c r="M306" i="1" s="1"/>
  <c r="V306" i="1"/>
  <c r="W306" i="1" s="1"/>
  <c r="J306" i="1"/>
  <c r="K306" i="1" s="1"/>
  <c r="R209" i="1"/>
  <c r="S209" i="1" s="1"/>
  <c r="R179" i="1"/>
  <c r="S179" i="1" s="1"/>
  <c r="T177" i="1"/>
  <c r="U177" i="1" s="1"/>
  <c r="R244" i="1"/>
  <c r="S244" i="1" s="1"/>
  <c r="P244" i="1"/>
  <c r="Q244" i="1" s="1"/>
  <c r="N244" i="1"/>
  <c r="O244" i="1" s="1"/>
  <c r="L244" i="1"/>
  <c r="M244" i="1" s="1"/>
  <c r="R270" i="1"/>
  <c r="S270" i="1" s="1"/>
  <c r="L270" i="1"/>
  <c r="M270" i="1" s="1"/>
  <c r="J270" i="1"/>
  <c r="K270" i="1" s="1"/>
  <c r="H270" i="1"/>
  <c r="I270" i="1" s="1"/>
  <c r="V270" i="1"/>
  <c r="W270" i="1" s="1"/>
  <c r="L242" i="1"/>
  <c r="M242" i="1" s="1"/>
  <c r="T244" i="1"/>
  <c r="U244" i="1" s="1"/>
  <c r="N264" i="1"/>
  <c r="O264" i="1" s="1"/>
  <c r="V307" i="1"/>
  <c r="W307" i="1" s="1"/>
  <c r="J307" i="1"/>
  <c r="K307" i="1" s="1"/>
  <c r="R307" i="1"/>
  <c r="S307" i="1" s="1"/>
  <c r="P307" i="1"/>
  <c r="Q307" i="1" s="1"/>
  <c r="N307" i="1"/>
  <c r="O307" i="1" s="1"/>
  <c r="H307" i="1"/>
  <c r="I307" i="1" s="1"/>
  <c r="T179" i="1"/>
  <c r="U179" i="1" s="1"/>
  <c r="V177" i="1"/>
  <c r="W177" i="1" s="1"/>
  <c r="P248" i="1"/>
  <c r="Q248" i="1" s="1"/>
  <c r="J248" i="1"/>
  <c r="K248" i="1" s="1"/>
  <c r="T248" i="1"/>
  <c r="L248" i="1"/>
  <c r="M248" i="1" s="1"/>
  <c r="N248" i="1"/>
  <c r="O248" i="1" s="1"/>
  <c r="N272" i="1"/>
  <c r="O272" i="1" s="1"/>
  <c r="P272" i="1"/>
  <c r="Q272" i="1" s="1"/>
  <c r="H272" i="1"/>
  <c r="I272" i="1" s="1"/>
  <c r="R272" i="1"/>
  <c r="S272" i="1" s="1"/>
  <c r="V242" i="1"/>
  <c r="W242" i="1" s="1"/>
  <c r="N242" i="1"/>
  <c r="O242" i="1" s="1"/>
  <c r="L268" i="1"/>
  <c r="M268" i="1" s="1"/>
  <c r="P268" i="1"/>
  <c r="Q268" i="1" s="1"/>
  <c r="H268" i="1"/>
  <c r="I268" i="1" s="1"/>
  <c r="R268" i="1"/>
  <c r="S268" i="1" s="1"/>
  <c r="V179" i="1"/>
  <c r="W179" i="1" s="1"/>
  <c r="H177" i="1"/>
  <c r="I177" i="1" s="1"/>
  <c r="L257" i="1"/>
  <c r="M257" i="1" s="1"/>
  <c r="N257" i="1"/>
  <c r="O257" i="1" s="1"/>
  <c r="P257" i="1"/>
  <c r="Q257" i="1" s="1"/>
  <c r="J277" i="1"/>
  <c r="K277" i="1" s="1"/>
  <c r="T277" i="1"/>
  <c r="U277" i="1" s="1"/>
  <c r="N277" i="1"/>
  <c r="O277" i="1" s="1"/>
  <c r="P277" i="1"/>
  <c r="Q277" i="1" s="1"/>
  <c r="R277" i="1"/>
  <c r="S277" i="1" s="1"/>
  <c r="R242" i="1"/>
  <c r="S242" i="1" s="1"/>
  <c r="R257" i="1"/>
  <c r="S257" i="1" s="1"/>
  <c r="H277" i="1"/>
  <c r="I277" i="1" s="1"/>
  <c r="R293" i="1"/>
  <c r="S293" i="1" s="1"/>
  <c r="H293" i="1"/>
  <c r="I293" i="1" s="1"/>
  <c r="P293" i="1"/>
  <c r="Q293" i="1" s="1"/>
  <c r="N293" i="1"/>
  <c r="O293" i="1" s="1"/>
  <c r="V293" i="1"/>
  <c r="W293" i="1" s="1"/>
  <c r="L293" i="1"/>
  <c r="M293" i="1" s="1"/>
  <c r="T293" i="1"/>
  <c r="U293" i="1" s="1"/>
  <c r="J293" i="1"/>
  <c r="K293" i="1" s="1"/>
  <c r="H306" i="1"/>
  <c r="I306" i="1" s="1"/>
  <c r="N179" i="1"/>
  <c r="O179" i="1" s="1"/>
  <c r="J209" i="1"/>
  <c r="K209" i="1" s="1"/>
  <c r="V209" i="1"/>
  <c r="W209" i="1" s="1"/>
  <c r="H179" i="1"/>
  <c r="I179" i="1" s="1"/>
  <c r="J177" i="1"/>
  <c r="K177" i="1" s="1"/>
  <c r="L259" i="1"/>
  <c r="M259" i="1" s="1"/>
  <c r="P259" i="1"/>
  <c r="Q259" i="1" s="1"/>
  <c r="R259" i="1"/>
  <c r="S259" i="1" s="1"/>
  <c r="H259" i="1"/>
  <c r="I259" i="1" s="1"/>
  <c r="T259" i="1"/>
  <c r="P285" i="1"/>
  <c r="Q285" i="1" s="1"/>
  <c r="J285" i="1"/>
  <c r="K285" i="1" s="1"/>
  <c r="T285" i="1"/>
  <c r="U285" i="1" s="1"/>
  <c r="L285" i="1"/>
  <c r="M285" i="1" s="1"/>
  <c r="N285" i="1"/>
  <c r="O285" i="1" s="1"/>
  <c r="T242" i="1"/>
  <c r="U242" i="1" s="1"/>
  <c r="J257" i="1"/>
  <c r="K257" i="1" s="1"/>
  <c r="J268" i="1"/>
  <c r="K268" i="1" s="1"/>
  <c r="P306" i="1"/>
  <c r="Q306" i="1" s="1"/>
  <c r="L264" i="1"/>
  <c r="M264" i="1" s="1"/>
  <c r="P264" i="1"/>
  <c r="Q264" i="1" s="1"/>
  <c r="H264" i="1"/>
  <c r="I264" i="1" s="1"/>
  <c r="R264" i="1"/>
  <c r="S264" i="1" s="1"/>
  <c r="V243" i="1"/>
  <c r="W243" i="1" s="1"/>
  <c r="P243" i="1"/>
  <c r="Q243" i="1" s="1"/>
  <c r="N243" i="1"/>
  <c r="O243" i="1" s="1"/>
  <c r="L243" i="1"/>
  <c r="M243" i="1" s="1"/>
  <c r="J179" i="1"/>
  <c r="K179" i="1" s="1"/>
  <c r="L177" i="1"/>
  <c r="M177" i="1" s="1"/>
  <c r="H261" i="1"/>
  <c r="I261" i="1" s="1"/>
  <c r="T261" i="1"/>
  <c r="J261" i="1"/>
  <c r="K261" i="1" s="1"/>
  <c r="L261" i="1"/>
  <c r="M261" i="1" s="1"/>
  <c r="J243" i="1"/>
  <c r="K243" i="1" s="1"/>
  <c r="J259" i="1"/>
  <c r="K259" i="1" s="1"/>
  <c r="H257" i="1"/>
  <c r="I257" i="1" s="1"/>
  <c r="H248" i="1"/>
  <c r="I248" i="1" s="1"/>
  <c r="P270" i="1"/>
  <c r="Q270" i="1" s="1"/>
  <c r="T272" i="1"/>
  <c r="U272" i="1" s="1"/>
  <c r="T306" i="1"/>
  <c r="U306" i="1" s="1"/>
  <c r="R243" i="1"/>
  <c r="S243" i="1" s="1"/>
  <c r="J262" i="1"/>
  <c r="K262" i="1" s="1"/>
  <c r="L297" i="1"/>
  <c r="P303" i="1"/>
  <c r="Q303" i="1" s="1"/>
  <c r="N297" i="1"/>
  <c r="R303" i="1"/>
  <c r="S303" i="1" s="1"/>
  <c r="J299" i="1"/>
  <c r="K299" i="1" s="1"/>
  <c r="F175" i="1"/>
  <c r="F174" i="1"/>
  <c r="F172" i="1"/>
  <c r="F168" i="1"/>
  <c r="V154" i="1"/>
  <c r="W154" i="1" s="1"/>
  <c r="T154" i="1"/>
  <c r="U154" i="1" s="1"/>
  <c r="R154" i="1"/>
  <c r="S154" i="1" s="1"/>
  <c r="P154" i="1"/>
  <c r="Q154" i="1" s="1"/>
  <c r="N154" i="1"/>
  <c r="O154" i="1" s="1"/>
  <c r="L154" i="1"/>
  <c r="M154" i="1" s="1"/>
  <c r="J154" i="1"/>
  <c r="K154" i="1" s="1"/>
  <c r="V153" i="1"/>
  <c r="W153" i="1" s="1"/>
  <c r="T153" i="1"/>
  <c r="U153" i="1" s="1"/>
  <c r="R153" i="1"/>
  <c r="S153" i="1" s="1"/>
  <c r="P153" i="1"/>
  <c r="Q153" i="1" s="1"/>
  <c r="N153" i="1"/>
  <c r="O153" i="1" s="1"/>
  <c r="L153" i="1"/>
  <c r="M153" i="1" s="1"/>
  <c r="J153" i="1"/>
  <c r="K153" i="1" s="1"/>
  <c r="V150" i="1"/>
  <c r="T150" i="1"/>
  <c r="R150" i="1"/>
  <c r="P150" i="1"/>
  <c r="N150" i="1"/>
  <c r="L150" i="1"/>
  <c r="J150" i="1"/>
  <c r="V149" i="1"/>
  <c r="T149" i="1"/>
  <c r="R149" i="1"/>
  <c r="P149" i="1"/>
  <c r="N149" i="1"/>
  <c r="L149" i="1"/>
  <c r="J149" i="1"/>
  <c r="N64" i="1"/>
  <c r="N65" i="1"/>
  <c r="L65" i="1"/>
  <c r="L64" i="1"/>
  <c r="J64" i="1"/>
  <c r="J65" i="1"/>
  <c r="L95" i="1"/>
  <c r="J95" i="1"/>
  <c r="J97" i="1"/>
  <c r="V104" i="1"/>
  <c r="W104" i="1" s="1"/>
  <c r="T104" i="1"/>
  <c r="U104" i="1" s="1"/>
  <c r="R104" i="1"/>
  <c r="S104" i="1" s="1"/>
  <c r="P104" i="1"/>
  <c r="Q104" i="1" s="1"/>
  <c r="N104" i="1"/>
  <c r="O104" i="1" s="1"/>
  <c r="L104" i="1"/>
  <c r="M104" i="1" s="1"/>
  <c r="J104" i="1"/>
  <c r="K104" i="1" s="1"/>
  <c r="H70" i="1"/>
  <c r="R56" i="1"/>
  <c r="T56" i="1"/>
  <c r="V56" i="1"/>
  <c r="P56" i="1"/>
  <c r="N56" i="1"/>
  <c r="L56" i="1"/>
  <c r="J56" i="1"/>
  <c r="V55" i="1"/>
  <c r="W55" i="1" s="1"/>
  <c r="T55" i="1"/>
  <c r="U55" i="1" s="1"/>
  <c r="R55" i="1"/>
  <c r="S55" i="1" s="1"/>
  <c r="P55" i="1"/>
  <c r="Q55" i="1" s="1"/>
  <c r="N55" i="1"/>
  <c r="O55" i="1" s="1"/>
  <c r="L55" i="1"/>
  <c r="M55" i="1" s="1"/>
  <c r="J55" i="1"/>
  <c r="K55" i="1" s="1"/>
  <c r="V54" i="1"/>
  <c r="W54" i="1" s="1"/>
  <c r="T54" i="1"/>
  <c r="U54" i="1" s="1"/>
  <c r="R54" i="1"/>
  <c r="S54" i="1" s="1"/>
  <c r="P54" i="1"/>
  <c r="Q54" i="1" s="1"/>
  <c r="N54" i="1"/>
  <c r="O54" i="1" s="1"/>
  <c r="L54" i="1"/>
  <c r="M54" i="1" s="1"/>
  <c r="J54" i="1"/>
  <c r="K54" i="1" s="1"/>
  <c r="V53" i="1"/>
  <c r="W53" i="1" s="1"/>
  <c r="T53" i="1"/>
  <c r="U53" i="1" s="1"/>
  <c r="R53" i="1"/>
  <c r="S53" i="1" s="1"/>
  <c r="P53" i="1"/>
  <c r="Q53" i="1" s="1"/>
  <c r="N53" i="1"/>
  <c r="O53" i="1" s="1"/>
  <c r="L53" i="1"/>
  <c r="M53" i="1" s="1"/>
  <c r="J53" i="1"/>
  <c r="K53" i="1" s="1"/>
  <c r="T52" i="1"/>
  <c r="V52" i="1"/>
  <c r="R52" i="1"/>
  <c r="P52" i="1"/>
  <c r="N52" i="1"/>
  <c r="L52" i="1"/>
  <c r="J52" i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W10" i="1" s="1"/>
  <c r="T10" i="1"/>
  <c r="U10" i="1" s="1"/>
  <c r="R10" i="1"/>
  <c r="S10" i="1" s="1"/>
  <c r="P10" i="1"/>
  <c r="Q10" i="1" s="1"/>
  <c r="N10" i="1"/>
  <c r="O10" i="1" s="1"/>
  <c r="J70" i="1"/>
  <c r="K70" i="1" s="1"/>
  <c r="V70" i="1"/>
  <c r="W70" i="1" s="1"/>
  <c r="T70" i="1"/>
  <c r="U70" i="1" s="1"/>
  <c r="R70" i="1"/>
  <c r="S70" i="1" s="1"/>
  <c r="P70" i="1"/>
  <c r="Q70" i="1" s="1"/>
  <c r="N70" i="1"/>
  <c r="O70" i="1" s="1"/>
  <c r="L70" i="1"/>
  <c r="M70" i="1" s="1"/>
  <c r="V66" i="1"/>
  <c r="W66" i="1" s="1"/>
  <c r="T66" i="1"/>
  <c r="U66" i="1" s="1"/>
  <c r="R66" i="1"/>
  <c r="S66" i="1" s="1"/>
  <c r="P66" i="1"/>
  <c r="Q66" i="1" s="1"/>
  <c r="N66" i="1"/>
  <c r="O66" i="1" s="1"/>
  <c r="V67" i="1"/>
  <c r="W67" i="1" s="1"/>
  <c r="T67" i="1"/>
  <c r="U67" i="1" s="1"/>
  <c r="R67" i="1"/>
  <c r="S67" i="1" s="1"/>
  <c r="P67" i="1"/>
  <c r="Q67" i="1" s="1"/>
  <c r="N67" i="1"/>
  <c r="O67" i="1" s="1"/>
  <c r="F572" i="1"/>
  <c r="F571" i="1"/>
  <c r="R168" i="1" l="1"/>
  <c r="S168" i="1" s="1"/>
  <c r="P168" i="1"/>
  <c r="Q168" i="1" s="1"/>
  <c r="L168" i="1"/>
  <c r="M168" i="1" s="1"/>
  <c r="T168" i="1"/>
  <c r="U168" i="1" s="1"/>
  <c r="N168" i="1"/>
  <c r="O168" i="1" s="1"/>
  <c r="V168" i="1"/>
  <c r="W168" i="1" s="1"/>
  <c r="P174" i="1"/>
  <c r="Q174" i="1" s="1"/>
  <c r="T174" i="1"/>
  <c r="U174" i="1" s="1"/>
  <c r="N174" i="1"/>
  <c r="O174" i="1" s="1"/>
  <c r="J174" i="1"/>
  <c r="K174" i="1" s="1"/>
  <c r="L174" i="1"/>
  <c r="M174" i="1" s="1"/>
  <c r="R174" i="1"/>
  <c r="S174" i="1" s="1"/>
  <c r="H174" i="1"/>
  <c r="I174" i="1" s="1"/>
  <c r="V174" i="1"/>
  <c r="W174" i="1" s="1"/>
  <c r="N175" i="1"/>
  <c r="O175" i="1" s="1"/>
  <c r="L175" i="1"/>
  <c r="M175" i="1" s="1"/>
  <c r="J175" i="1"/>
  <c r="K175" i="1" s="1"/>
  <c r="P175" i="1"/>
  <c r="Q175" i="1" s="1"/>
  <c r="V175" i="1"/>
  <c r="W175" i="1" s="1"/>
  <c r="H175" i="1"/>
  <c r="I175" i="1" s="1"/>
  <c r="T175" i="1"/>
  <c r="U175" i="1" s="1"/>
  <c r="R175" i="1"/>
  <c r="S175" i="1" s="1"/>
  <c r="W136" i="1"/>
  <c r="U136" i="1"/>
  <c r="S136" i="1"/>
  <c r="Q136" i="1"/>
  <c r="O136" i="1"/>
  <c r="V62" i="1"/>
  <c r="W62" i="1" s="1"/>
  <c r="T62" i="1"/>
  <c r="U62" i="1" s="1"/>
  <c r="R62" i="1"/>
  <c r="S62" i="1" s="1"/>
  <c r="P62" i="1"/>
  <c r="Q62" i="1" s="1"/>
  <c r="N62" i="1"/>
  <c r="O62" i="1" s="1"/>
  <c r="L62" i="1"/>
  <c r="M62" i="1" s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V60" i="1"/>
  <c r="W60" i="1" s="1"/>
  <c r="T60" i="1"/>
  <c r="U60" i="1" s="1"/>
  <c r="R60" i="1"/>
  <c r="S60" i="1" s="1"/>
  <c r="P60" i="1"/>
  <c r="Q60" i="1" s="1"/>
  <c r="N60" i="1"/>
  <c r="O60" i="1" s="1"/>
  <c r="L60" i="1"/>
  <c r="M60" i="1" s="1"/>
  <c r="V57" i="1"/>
  <c r="W57" i="1" s="1"/>
  <c r="T57" i="1"/>
  <c r="U57" i="1" s="1"/>
  <c r="R57" i="1"/>
  <c r="S57" i="1" s="1"/>
  <c r="P57" i="1"/>
  <c r="Q57" i="1" s="1"/>
  <c r="N57" i="1"/>
  <c r="O57" i="1" s="1"/>
  <c r="L57" i="1"/>
  <c r="M57" i="1" s="1"/>
  <c r="L59" i="1"/>
  <c r="N59" i="1"/>
  <c r="P59" i="1"/>
  <c r="R59" i="1"/>
  <c r="T59" i="1"/>
  <c r="V59" i="1"/>
  <c r="W49" i="1"/>
  <c r="U49" i="1"/>
  <c r="S49" i="1"/>
  <c r="Q49" i="1"/>
  <c r="O49" i="1"/>
  <c r="W48" i="1"/>
  <c r="U48" i="1"/>
  <c r="S48" i="1"/>
  <c r="Q48" i="1"/>
  <c r="O48" i="1"/>
  <c r="W46" i="1"/>
  <c r="U46" i="1"/>
  <c r="S46" i="1"/>
  <c r="Q46" i="1"/>
  <c r="O46" i="1"/>
  <c r="W45" i="1"/>
  <c r="U45" i="1"/>
  <c r="S45" i="1"/>
  <c r="Q45" i="1"/>
  <c r="O45" i="1"/>
  <c r="O44" i="1"/>
  <c r="W43" i="1"/>
  <c r="U43" i="1"/>
  <c r="S43" i="1"/>
  <c r="Q43" i="1"/>
  <c r="O43" i="1"/>
  <c r="W42" i="1"/>
  <c r="U42" i="1"/>
  <c r="S42" i="1"/>
  <c r="Q42" i="1"/>
  <c r="O42" i="1"/>
  <c r="W40" i="1"/>
  <c r="U40" i="1"/>
  <c r="S40" i="1"/>
  <c r="Q40" i="1"/>
  <c r="O40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W31" i="1"/>
  <c r="U31" i="1"/>
  <c r="S31" i="1"/>
  <c r="Q31" i="1"/>
  <c r="O31" i="1"/>
  <c r="W37" i="1"/>
  <c r="U37" i="1"/>
  <c r="S37" i="1"/>
  <c r="Q37" i="1"/>
  <c r="O37" i="1"/>
  <c r="F29" i="1"/>
  <c r="F14" i="1"/>
  <c r="T29" i="1" l="1"/>
  <c r="U29" i="1" s="1"/>
  <c r="R29" i="1"/>
  <c r="S29" i="1" s="1"/>
  <c r="N29" i="1"/>
  <c r="O29" i="1" s="1"/>
  <c r="L29" i="1"/>
  <c r="M29" i="1" s="1"/>
  <c r="V29" i="1"/>
  <c r="W29" i="1" s="1"/>
  <c r="P29" i="1"/>
  <c r="Q29" i="1" s="1"/>
  <c r="Q757" i="1" l="1"/>
  <c r="V65" i="1" l="1"/>
  <c r="W65" i="1" s="1"/>
  <c r="T65" i="1"/>
  <c r="U65" i="1" s="1"/>
  <c r="R65" i="1"/>
  <c r="S65" i="1" s="1"/>
  <c r="P65" i="1"/>
  <c r="Q65" i="1" s="1"/>
  <c r="O65" i="1"/>
  <c r="M65" i="1"/>
  <c r="K65" i="1"/>
  <c r="V64" i="1"/>
  <c r="T64" i="1"/>
  <c r="R64" i="1"/>
  <c r="P64" i="1"/>
  <c r="G65" i="1"/>
  <c r="W167" i="1" l="1"/>
  <c r="U167" i="1"/>
  <c r="S167" i="1"/>
  <c r="Q167" i="1"/>
  <c r="O167" i="1"/>
  <c r="M167" i="1"/>
  <c r="K167" i="1"/>
  <c r="I167" i="1"/>
  <c r="W165" i="1"/>
  <c r="U165" i="1"/>
  <c r="S165" i="1"/>
  <c r="Q165" i="1"/>
  <c r="O165" i="1"/>
  <c r="M165" i="1"/>
  <c r="K165" i="1"/>
  <c r="I165" i="1"/>
  <c r="W163" i="1"/>
  <c r="U163" i="1"/>
  <c r="S163" i="1"/>
  <c r="Q163" i="1"/>
  <c r="O163" i="1"/>
  <c r="M163" i="1"/>
  <c r="K163" i="1"/>
  <c r="I163" i="1"/>
  <c r="W162" i="1"/>
  <c r="U162" i="1"/>
  <c r="S162" i="1"/>
  <c r="Q162" i="1"/>
  <c r="O162" i="1"/>
  <c r="M162" i="1"/>
  <c r="K162" i="1"/>
  <c r="I162" i="1"/>
  <c r="I164" i="1"/>
  <c r="K164" i="1"/>
  <c r="M164" i="1"/>
  <c r="W164" i="1"/>
  <c r="U164" i="1"/>
  <c r="S164" i="1"/>
  <c r="Q164" i="1"/>
  <c r="O164" i="1"/>
  <c r="W166" i="1"/>
  <c r="U166" i="1"/>
  <c r="S166" i="1"/>
  <c r="Q166" i="1"/>
  <c r="O166" i="1"/>
  <c r="M166" i="1"/>
  <c r="K166" i="1"/>
  <c r="I166" i="1"/>
  <c r="T445" i="1" l="1"/>
  <c r="U445" i="1" s="1"/>
  <c r="N445" i="1" l="1"/>
  <c r="O445" i="1" s="1"/>
  <c r="V445" i="1"/>
  <c r="W445" i="1" s="1"/>
  <c r="L445" i="1"/>
  <c r="M445" i="1" s="1"/>
  <c r="H445" i="1"/>
  <c r="I445" i="1" s="1"/>
  <c r="P445" i="1"/>
  <c r="Q445" i="1" s="1"/>
  <c r="G445" i="1"/>
  <c r="J445" i="1"/>
  <c r="K445" i="1" s="1"/>
  <c r="R445" i="1"/>
  <c r="S445" i="1" s="1"/>
  <c r="G233" i="1" l="1"/>
  <c r="G589" i="1"/>
  <c r="V589" i="1"/>
  <c r="W589" i="1" s="1"/>
  <c r="N589" i="1" l="1"/>
  <c r="O589" i="1" s="1"/>
  <c r="H589" i="1"/>
  <c r="I589" i="1" s="1"/>
  <c r="L589" i="1"/>
  <c r="M589" i="1" s="1"/>
  <c r="P589" i="1"/>
  <c r="Q589" i="1" s="1"/>
  <c r="R589" i="1"/>
  <c r="S589" i="1" s="1"/>
  <c r="T589" i="1"/>
  <c r="U589" i="1" s="1"/>
  <c r="J589" i="1"/>
  <c r="K589" i="1" s="1"/>
  <c r="W465" i="1"/>
  <c r="U465" i="1"/>
  <c r="S465" i="1"/>
  <c r="Q465" i="1"/>
  <c r="O465" i="1"/>
  <c r="W466" i="1" l="1"/>
  <c r="U466" i="1"/>
  <c r="S466" i="1"/>
  <c r="Q466" i="1"/>
  <c r="O466" i="1"/>
  <c r="W464" i="1"/>
  <c r="U464" i="1"/>
  <c r="S464" i="1"/>
  <c r="Q464" i="1"/>
  <c r="O464" i="1"/>
  <c r="W211" i="1" l="1"/>
  <c r="W210" i="1"/>
  <c r="U211" i="1"/>
  <c r="U210" i="1"/>
  <c r="S211" i="1"/>
  <c r="S210" i="1"/>
  <c r="Q211" i="1"/>
  <c r="Q210" i="1"/>
  <c r="O211" i="1"/>
  <c r="O210" i="1"/>
  <c r="W468" i="1"/>
  <c r="W467" i="1"/>
  <c r="U468" i="1"/>
  <c r="U467" i="1"/>
  <c r="S468" i="1"/>
  <c r="S467" i="1"/>
  <c r="Q468" i="1"/>
  <c r="Q467" i="1"/>
  <c r="O468" i="1"/>
  <c r="O467" i="1"/>
  <c r="F636" i="1" l="1"/>
  <c r="W475" i="1" l="1"/>
  <c r="U475" i="1"/>
  <c r="S475" i="1"/>
  <c r="Q475" i="1"/>
  <c r="O475" i="1"/>
  <c r="M475" i="1"/>
  <c r="W212" i="1" l="1"/>
  <c r="U212" i="1"/>
  <c r="S212" i="1"/>
  <c r="Q212" i="1"/>
  <c r="O212" i="1"/>
  <c r="F342" i="1" l="1"/>
  <c r="T342" i="1" l="1"/>
  <c r="U342" i="1" s="1"/>
  <c r="R342" i="1"/>
  <c r="S342" i="1" s="1"/>
  <c r="N342" i="1"/>
  <c r="O342" i="1" s="1"/>
  <c r="L342" i="1"/>
  <c r="M342" i="1" s="1"/>
  <c r="J342" i="1"/>
  <c r="K342" i="1" s="1"/>
  <c r="H342" i="1"/>
  <c r="I342" i="1" s="1"/>
  <c r="P342" i="1"/>
  <c r="Q342" i="1" s="1"/>
  <c r="V342" i="1"/>
  <c r="W342" i="1" s="1"/>
  <c r="N452" i="1"/>
  <c r="O452" i="1" s="1"/>
  <c r="P452" i="1" l="1"/>
  <c r="Q452" i="1" s="1"/>
  <c r="L452" i="1"/>
  <c r="M452" i="1" s="1"/>
  <c r="R452" i="1"/>
  <c r="S452" i="1" s="1"/>
  <c r="G452" i="1"/>
  <c r="H452" i="1"/>
  <c r="I452" i="1" s="1"/>
  <c r="T452" i="1"/>
  <c r="U452" i="1" s="1"/>
  <c r="J452" i="1"/>
  <c r="K452" i="1" s="1"/>
  <c r="V452" i="1"/>
  <c r="W452" i="1" s="1"/>
  <c r="T562" i="1"/>
  <c r="U562" i="1" s="1"/>
  <c r="R562" i="1" l="1"/>
  <c r="S562" i="1" s="1"/>
  <c r="G562" i="1"/>
  <c r="J562" i="1"/>
  <c r="K562" i="1" s="1"/>
  <c r="V562" i="1"/>
  <c r="W562" i="1" s="1"/>
  <c r="L562" i="1"/>
  <c r="M562" i="1" s="1"/>
  <c r="N562" i="1"/>
  <c r="O562" i="1" s="1"/>
  <c r="P562" i="1"/>
  <c r="Q562" i="1" s="1"/>
  <c r="H562" i="1"/>
  <c r="I562" i="1" s="1"/>
  <c r="F542" i="1"/>
  <c r="F541" i="1"/>
  <c r="G176" i="1" l="1"/>
  <c r="W118" i="1"/>
  <c r="U118" i="1"/>
  <c r="S118" i="1"/>
  <c r="Q118" i="1"/>
  <c r="O118" i="1"/>
  <c r="W117" i="1"/>
  <c r="U117" i="1"/>
  <c r="S117" i="1"/>
  <c r="Q117" i="1"/>
  <c r="O117" i="1"/>
  <c r="W116" i="1"/>
  <c r="W115" i="1"/>
  <c r="W114" i="1"/>
  <c r="W113" i="1"/>
  <c r="U116" i="1"/>
  <c r="U115" i="1"/>
  <c r="U114" i="1"/>
  <c r="U113" i="1"/>
  <c r="S116" i="1"/>
  <c r="S115" i="1"/>
  <c r="S114" i="1"/>
  <c r="S113" i="1"/>
  <c r="Q116" i="1"/>
  <c r="Q115" i="1"/>
  <c r="Q114" i="1"/>
  <c r="Q113" i="1"/>
  <c r="O116" i="1"/>
  <c r="O115" i="1"/>
  <c r="O114" i="1"/>
  <c r="O113" i="1"/>
  <c r="V25" i="1" l="1"/>
  <c r="W25" i="1" s="1"/>
  <c r="T25" i="1"/>
  <c r="U25" i="1" s="1"/>
  <c r="R25" i="1"/>
  <c r="S25" i="1" s="1"/>
  <c r="P25" i="1"/>
  <c r="Q25" i="1" s="1"/>
  <c r="N25" i="1"/>
  <c r="O25" i="1" s="1"/>
  <c r="L25" i="1"/>
  <c r="M25" i="1" s="1"/>
  <c r="J25" i="1"/>
  <c r="K25" i="1" s="1"/>
  <c r="F204" i="1" l="1"/>
  <c r="L204" i="1" l="1"/>
  <c r="M204" i="1" s="1"/>
  <c r="P204" i="1"/>
  <c r="Q204" i="1" s="1"/>
  <c r="N204" i="1"/>
  <c r="O204" i="1" s="1"/>
  <c r="V204" i="1"/>
  <c r="W204" i="1" s="1"/>
  <c r="T204" i="1"/>
  <c r="U204" i="1" s="1"/>
  <c r="R204" i="1"/>
  <c r="S204" i="1" s="1"/>
  <c r="F463" i="1"/>
  <c r="P463" i="1" s="1"/>
  <c r="Q463" i="1" s="1"/>
  <c r="R463" i="1" l="1"/>
  <c r="S463" i="1" s="1"/>
  <c r="T463" i="1"/>
  <c r="U463" i="1" s="1"/>
  <c r="V463" i="1"/>
  <c r="W463" i="1" s="1"/>
  <c r="G463" i="1"/>
  <c r="N463" i="1"/>
  <c r="O463" i="1" s="1"/>
  <c r="F215" i="1" l="1"/>
  <c r="T215" i="1" l="1"/>
  <c r="U215" i="1" s="1"/>
  <c r="R215" i="1"/>
  <c r="S215" i="1" s="1"/>
  <c r="N215" i="1"/>
  <c r="O215" i="1" s="1"/>
  <c r="P215" i="1"/>
  <c r="Q215" i="1" s="1"/>
  <c r="L215" i="1"/>
  <c r="M215" i="1" s="1"/>
  <c r="J215" i="1"/>
  <c r="K215" i="1" s="1"/>
  <c r="V215" i="1"/>
  <c r="W215" i="1" s="1"/>
  <c r="G215" i="1"/>
  <c r="H683" i="1"/>
  <c r="H680" i="1"/>
  <c r="H678" i="1"/>
  <c r="I678" i="1" s="1"/>
  <c r="G231" i="1"/>
  <c r="F462" i="1"/>
  <c r="P462" i="1" s="1"/>
  <c r="Q462" i="1" s="1"/>
  <c r="F461" i="1"/>
  <c r="N461" i="1" s="1"/>
  <c r="O461" i="1" s="1"/>
  <c r="F460" i="1"/>
  <c r="V460" i="1" s="1"/>
  <c r="W460" i="1" s="1"/>
  <c r="F459" i="1"/>
  <c r="V459" i="1" s="1"/>
  <c r="W459" i="1" s="1"/>
  <c r="F458" i="1"/>
  <c r="N458" i="1" s="1"/>
  <c r="O458" i="1" s="1"/>
  <c r="F457" i="1"/>
  <c r="G457" i="1" s="1"/>
  <c r="G607" i="1"/>
  <c r="N607" i="1"/>
  <c r="O607" i="1" s="1"/>
  <c r="J678" i="1" l="1"/>
  <c r="K678" i="1" s="1"/>
  <c r="L678" i="1"/>
  <c r="M678" i="1" s="1"/>
  <c r="N678" i="1"/>
  <c r="O678" i="1" s="1"/>
  <c r="T678" i="1"/>
  <c r="U678" i="1" s="1"/>
  <c r="P678" i="1"/>
  <c r="Q678" i="1" s="1"/>
  <c r="R678" i="1"/>
  <c r="S678" i="1" s="1"/>
  <c r="V678" i="1"/>
  <c r="W678" i="1" s="1"/>
  <c r="G462" i="1"/>
  <c r="R462" i="1"/>
  <c r="S462" i="1" s="1"/>
  <c r="T462" i="1"/>
  <c r="U462" i="1" s="1"/>
  <c r="V462" i="1"/>
  <c r="W462" i="1" s="1"/>
  <c r="N462" i="1"/>
  <c r="O462" i="1" s="1"/>
  <c r="N457" i="1"/>
  <c r="O457" i="1" s="1"/>
  <c r="R457" i="1"/>
  <c r="S457" i="1" s="1"/>
  <c r="V457" i="1"/>
  <c r="W457" i="1" s="1"/>
  <c r="P457" i="1"/>
  <c r="Q457" i="1" s="1"/>
  <c r="T457" i="1"/>
  <c r="U457" i="1" s="1"/>
  <c r="P461" i="1"/>
  <c r="Q461" i="1" s="1"/>
  <c r="R461" i="1"/>
  <c r="S461" i="1" s="1"/>
  <c r="V461" i="1"/>
  <c r="W461" i="1" s="1"/>
  <c r="G461" i="1"/>
  <c r="T461" i="1"/>
  <c r="U461" i="1" s="1"/>
  <c r="R460" i="1"/>
  <c r="S460" i="1" s="1"/>
  <c r="P460" i="1"/>
  <c r="Q460" i="1" s="1"/>
  <c r="N460" i="1"/>
  <c r="O460" i="1" s="1"/>
  <c r="T460" i="1"/>
  <c r="U460" i="1" s="1"/>
  <c r="G460" i="1"/>
  <c r="T459" i="1"/>
  <c r="U459" i="1" s="1"/>
  <c r="G459" i="1"/>
  <c r="N459" i="1"/>
  <c r="O459" i="1" s="1"/>
  <c r="P459" i="1"/>
  <c r="Q459" i="1" s="1"/>
  <c r="R459" i="1"/>
  <c r="S459" i="1" s="1"/>
  <c r="G458" i="1"/>
  <c r="P458" i="1"/>
  <c r="Q458" i="1" s="1"/>
  <c r="R458" i="1"/>
  <c r="S458" i="1" s="1"/>
  <c r="T458" i="1"/>
  <c r="U458" i="1" s="1"/>
  <c r="V458" i="1"/>
  <c r="W458" i="1" s="1"/>
  <c r="R607" i="1"/>
  <c r="S607" i="1" s="1"/>
  <c r="T607" i="1"/>
  <c r="U607" i="1" s="1"/>
  <c r="V607" i="1"/>
  <c r="W607" i="1" s="1"/>
  <c r="P607" i="1"/>
  <c r="Q607" i="1" s="1"/>
  <c r="V662" i="1"/>
  <c r="W662" i="1" s="1"/>
  <c r="T662" i="1"/>
  <c r="U662" i="1" s="1"/>
  <c r="R662" i="1"/>
  <c r="S662" i="1" s="1"/>
  <c r="P662" i="1"/>
  <c r="Q662" i="1" s="1"/>
  <c r="N662" i="1"/>
  <c r="O662" i="1" s="1"/>
  <c r="L662" i="1"/>
  <c r="M662" i="1" s="1"/>
  <c r="G662" i="1"/>
  <c r="V661" i="1"/>
  <c r="W661" i="1" s="1"/>
  <c r="T661" i="1"/>
  <c r="U661" i="1" s="1"/>
  <c r="R661" i="1"/>
  <c r="S661" i="1" s="1"/>
  <c r="P661" i="1"/>
  <c r="Q661" i="1" s="1"/>
  <c r="N661" i="1"/>
  <c r="O661" i="1" s="1"/>
  <c r="L661" i="1"/>
  <c r="M661" i="1" s="1"/>
  <c r="G661" i="1"/>
  <c r="V659" i="1"/>
  <c r="W659" i="1" s="1"/>
  <c r="T659" i="1"/>
  <c r="U659" i="1" s="1"/>
  <c r="R659" i="1"/>
  <c r="S659" i="1" s="1"/>
  <c r="P659" i="1"/>
  <c r="Q659" i="1" s="1"/>
  <c r="N659" i="1"/>
  <c r="O659" i="1" s="1"/>
  <c r="L659" i="1"/>
  <c r="M659" i="1" s="1"/>
  <c r="G659" i="1"/>
  <c r="V658" i="1"/>
  <c r="W658" i="1" s="1"/>
  <c r="T658" i="1"/>
  <c r="U658" i="1" s="1"/>
  <c r="R658" i="1"/>
  <c r="S658" i="1" s="1"/>
  <c r="P658" i="1"/>
  <c r="Q658" i="1" s="1"/>
  <c r="N658" i="1"/>
  <c r="O658" i="1" s="1"/>
  <c r="L658" i="1"/>
  <c r="M658" i="1" s="1"/>
  <c r="G658" i="1"/>
  <c r="V657" i="1"/>
  <c r="W657" i="1" s="1"/>
  <c r="T657" i="1"/>
  <c r="U657" i="1" s="1"/>
  <c r="R657" i="1"/>
  <c r="S657" i="1" s="1"/>
  <c r="P657" i="1"/>
  <c r="Q657" i="1" s="1"/>
  <c r="N657" i="1"/>
  <c r="O657" i="1" s="1"/>
  <c r="L657" i="1"/>
  <c r="M657" i="1" s="1"/>
  <c r="G657" i="1"/>
  <c r="F601" i="1" l="1"/>
  <c r="F446" i="1"/>
  <c r="F443" i="1"/>
  <c r="F438" i="1"/>
  <c r="F423" i="1"/>
  <c r="F421" i="1"/>
  <c r="F417" i="1"/>
  <c r="F413" i="1"/>
  <c r="F403" i="1"/>
  <c r="F377" i="1"/>
  <c r="F287" i="1"/>
  <c r="F63" i="1"/>
  <c r="F281" i="1"/>
  <c r="F278" i="1"/>
  <c r="F275" i="1"/>
  <c r="F274" i="1"/>
  <c r="F269" i="1"/>
  <c r="F267" i="1"/>
  <c r="F256" i="1"/>
  <c r="F253" i="1"/>
  <c r="F252" i="1"/>
  <c r="F250" i="1"/>
  <c r="F245" i="1"/>
  <c r="F208" i="1"/>
  <c r="F202" i="1"/>
  <c r="F203" i="1"/>
  <c r="F155" i="1"/>
  <c r="F370" i="1"/>
  <c r="F369" i="1"/>
  <c r="F360" i="1"/>
  <c r="F359" i="1"/>
  <c r="F358" i="1"/>
  <c r="F344" i="1"/>
  <c r="F349" i="1"/>
  <c r="F291" i="1"/>
  <c r="G293" i="1"/>
  <c r="V349" i="1" l="1"/>
  <c r="W349" i="1" s="1"/>
  <c r="P349" i="1"/>
  <c r="Q349" i="1" s="1"/>
  <c r="R349" i="1"/>
  <c r="S349" i="1" s="1"/>
  <c r="T349" i="1"/>
  <c r="U349" i="1" s="1"/>
  <c r="L349" i="1"/>
  <c r="M349" i="1" s="1"/>
  <c r="N349" i="1"/>
  <c r="O349" i="1" s="1"/>
  <c r="R344" i="1"/>
  <c r="V344" i="1"/>
  <c r="L344" i="1"/>
  <c r="T344" i="1"/>
  <c r="N344" i="1"/>
  <c r="P344" i="1"/>
  <c r="L358" i="1"/>
  <c r="M358" i="1" s="1"/>
  <c r="T358" i="1"/>
  <c r="U358" i="1" s="1"/>
  <c r="R358" i="1"/>
  <c r="S358" i="1" s="1"/>
  <c r="P358" i="1"/>
  <c r="Q358" i="1" s="1"/>
  <c r="N358" i="1"/>
  <c r="O358" i="1" s="1"/>
  <c r="V359" i="1"/>
  <c r="W359" i="1" s="1"/>
  <c r="R359" i="1"/>
  <c r="S359" i="1" s="1"/>
  <c r="N359" i="1"/>
  <c r="O359" i="1" s="1"/>
  <c r="L359" i="1"/>
  <c r="M359" i="1" s="1"/>
  <c r="P359" i="1"/>
  <c r="Q359" i="1" s="1"/>
  <c r="T359" i="1"/>
  <c r="U359" i="1" s="1"/>
  <c r="T360" i="1"/>
  <c r="U360" i="1" s="1"/>
  <c r="R360" i="1"/>
  <c r="S360" i="1" s="1"/>
  <c r="L360" i="1"/>
  <c r="M360" i="1" s="1"/>
  <c r="P360" i="1"/>
  <c r="Q360" i="1" s="1"/>
  <c r="N360" i="1"/>
  <c r="O360" i="1" s="1"/>
  <c r="V360" i="1"/>
  <c r="W360" i="1" s="1"/>
  <c r="L421" i="1"/>
  <c r="M421" i="1" s="1"/>
  <c r="N421" i="1"/>
  <c r="O421" i="1" s="1"/>
  <c r="P421" i="1"/>
  <c r="Q421" i="1" s="1"/>
  <c r="R421" i="1"/>
  <c r="S421" i="1" s="1"/>
  <c r="V421" i="1"/>
  <c r="W421" i="1" s="1"/>
  <c r="T421" i="1"/>
  <c r="U421" i="1" s="1"/>
  <c r="R377" i="1"/>
  <c r="S377" i="1" s="1"/>
  <c r="N377" i="1"/>
  <c r="O377" i="1" s="1"/>
  <c r="L377" i="1"/>
  <c r="M377" i="1" s="1"/>
  <c r="V377" i="1"/>
  <c r="W377" i="1" s="1"/>
  <c r="T377" i="1"/>
  <c r="U377" i="1" s="1"/>
  <c r="P377" i="1"/>
  <c r="Q377" i="1" s="1"/>
  <c r="N413" i="1"/>
  <c r="O413" i="1" s="1"/>
  <c r="R413" i="1"/>
  <c r="S413" i="1" s="1"/>
  <c r="T413" i="1"/>
  <c r="U413" i="1" s="1"/>
  <c r="V413" i="1"/>
  <c r="W413" i="1" s="1"/>
  <c r="L413" i="1"/>
  <c r="M413" i="1" s="1"/>
  <c r="P413" i="1"/>
  <c r="Q413" i="1" s="1"/>
  <c r="V423" i="1"/>
  <c r="W423" i="1" s="1"/>
  <c r="T423" i="1"/>
  <c r="U423" i="1" s="1"/>
  <c r="R423" i="1"/>
  <c r="S423" i="1" s="1"/>
  <c r="P423" i="1"/>
  <c r="Q423" i="1" s="1"/>
  <c r="N423" i="1"/>
  <c r="O423" i="1" s="1"/>
  <c r="N403" i="1"/>
  <c r="O403" i="1" s="1"/>
  <c r="P403" i="1"/>
  <c r="Q403" i="1" s="1"/>
  <c r="R403" i="1"/>
  <c r="S403" i="1" s="1"/>
  <c r="T403" i="1"/>
  <c r="U403" i="1" s="1"/>
  <c r="L403" i="1"/>
  <c r="M403" i="1" s="1"/>
  <c r="V403" i="1"/>
  <c r="W403" i="1" s="1"/>
  <c r="T417" i="1"/>
  <c r="U417" i="1" s="1"/>
  <c r="V417" i="1"/>
  <c r="W417" i="1" s="1"/>
  <c r="N417" i="1"/>
  <c r="O417" i="1" s="1"/>
  <c r="L417" i="1"/>
  <c r="M417" i="1" s="1"/>
  <c r="P417" i="1"/>
  <c r="Q417" i="1" s="1"/>
  <c r="R417" i="1"/>
  <c r="S417" i="1" s="1"/>
  <c r="T369" i="1"/>
  <c r="U369" i="1" s="1"/>
  <c r="R369" i="1"/>
  <c r="S369" i="1" s="1"/>
  <c r="P369" i="1"/>
  <c r="Q369" i="1" s="1"/>
  <c r="N369" i="1"/>
  <c r="O369" i="1" s="1"/>
  <c r="L369" i="1"/>
  <c r="M369" i="1" s="1"/>
  <c r="T370" i="1"/>
  <c r="U370" i="1" s="1"/>
  <c r="P370" i="1"/>
  <c r="Q370" i="1" s="1"/>
  <c r="V370" i="1"/>
  <c r="W370" i="1" s="1"/>
  <c r="R370" i="1"/>
  <c r="S370" i="1" s="1"/>
  <c r="N370" i="1"/>
  <c r="O370" i="1" s="1"/>
  <c r="L370" i="1"/>
  <c r="M370" i="1" s="1"/>
  <c r="V245" i="1"/>
  <c r="W245" i="1" s="1"/>
  <c r="J245" i="1"/>
  <c r="K245" i="1" s="1"/>
  <c r="P245" i="1"/>
  <c r="Q245" i="1" s="1"/>
  <c r="N245" i="1"/>
  <c r="O245" i="1" s="1"/>
  <c r="L245" i="1"/>
  <c r="M245" i="1" s="1"/>
  <c r="T245" i="1"/>
  <c r="U245" i="1" s="1"/>
  <c r="R245" i="1"/>
  <c r="S245" i="1" s="1"/>
  <c r="P278" i="1"/>
  <c r="Q278" i="1" s="1"/>
  <c r="J278" i="1"/>
  <c r="K278" i="1" s="1"/>
  <c r="T278" i="1"/>
  <c r="U278" i="1" s="1"/>
  <c r="L278" i="1"/>
  <c r="M278" i="1" s="1"/>
  <c r="H278" i="1"/>
  <c r="I278" i="1" s="1"/>
  <c r="N278" i="1"/>
  <c r="O278" i="1" s="1"/>
  <c r="R278" i="1"/>
  <c r="S278" i="1" s="1"/>
  <c r="L291" i="1"/>
  <c r="M291" i="1" s="1"/>
  <c r="J291" i="1"/>
  <c r="K291" i="1" s="1"/>
  <c r="V291" i="1"/>
  <c r="T291" i="1"/>
  <c r="U291" i="1" s="1"/>
  <c r="R291" i="1"/>
  <c r="S291" i="1" s="1"/>
  <c r="P291" i="1"/>
  <c r="Q291" i="1" s="1"/>
  <c r="N291" i="1"/>
  <c r="O291" i="1" s="1"/>
  <c r="H291" i="1"/>
  <c r="I291" i="1" s="1"/>
  <c r="N252" i="1"/>
  <c r="O252" i="1" s="1"/>
  <c r="H252" i="1"/>
  <c r="I252" i="1" s="1"/>
  <c r="J252" i="1"/>
  <c r="K252" i="1" s="1"/>
  <c r="R252" i="1"/>
  <c r="S252" i="1" s="1"/>
  <c r="L252" i="1"/>
  <c r="M252" i="1" s="1"/>
  <c r="T252" i="1"/>
  <c r="P252" i="1"/>
  <c r="Q252" i="1" s="1"/>
  <c r="L281" i="1"/>
  <c r="M281" i="1" s="1"/>
  <c r="R281" i="1"/>
  <c r="S281" i="1" s="1"/>
  <c r="H281" i="1"/>
  <c r="I281" i="1" s="1"/>
  <c r="T281" i="1"/>
  <c r="U281" i="1" s="1"/>
  <c r="J281" i="1"/>
  <c r="K281" i="1" s="1"/>
  <c r="N281" i="1"/>
  <c r="O281" i="1" s="1"/>
  <c r="P281" i="1"/>
  <c r="Q281" i="1" s="1"/>
  <c r="J250" i="1"/>
  <c r="K250" i="1" s="1"/>
  <c r="N250" i="1"/>
  <c r="O250" i="1" s="1"/>
  <c r="P250" i="1"/>
  <c r="Q250" i="1" s="1"/>
  <c r="H250" i="1"/>
  <c r="I250" i="1" s="1"/>
  <c r="L250" i="1"/>
  <c r="M250" i="1" s="1"/>
  <c r="R250" i="1"/>
  <c r="S250" i="1" s="1"/>
  <c r="T250" i="1"/>
  <c r="J253" i="1"/>
  <c r="K253" i="1" s="1"/>
  <c r="N253" i="1"/>
  <c r="O253" i="1" s="1"/>
  <c r="P253" i="1"/>
  <c r="Q253" i="1" s="1"/>
  <c r="R253" i="1"/>
  <c r="S253" i="1" s="1"/>
  <c r="H253" i="1"/>
  <c r="I253" i="1" s="1"/>
  <c r="L253" i="1"/>
  <c r="M253" i="1" s="1"/>
  <c r="T253" i="1"/>
  <c r="H287" i="1"/>
  <c r="I287" i="1" s="1"/>
  <c r="L287" i="1"/>
  <c r="M287" i="1" s="1"/>
  <c r="N287" i="1"/>
  <c r="O287" i="1" s="1"/>
  <c r="R287" i="1"/>
  <c r="S287" i="1" s="1"/>
  <c r="T287" i="1"/>
  <c r="U287" i="1" s="1"/>
  <c r="P287" i="1"/>
  <c r="Q287" i="1" s="1"/>
  <c r="J287" i="1"/>
  <c r="K287" i="1" s="1"/>
  <c r="H275" i="1"/>
  <c r="I275" i="1" s="1"/>
  <c r="R275" i="1"/>
  <c r="S275" i="1" s="1"/>
  <c r="L275" i="1"/>
  <c r="M275" i="1" s="1"/>
  <c r="N275" i="1"/>
  <c r="O275" i="1" s="1"/>
  <c r="P275" i="1"/>
  <c r="Q275" i="1" s="1"/>
  <c r="J275" i="1"/>
  <c r="K275" i="1" s="1"/>
  <c r="T275" i="1"/>
  <c r="U275" i="1" s="1"/>
  <c r="T203" i="1"/>
  <c r="U203" i="1" s="1"/>
  <c r="N203" i="1"/>
  <c r="O203" i="1" s="1"/>
  <c r="V203" i="1"/>
  <c r="W203" i="1" s="1"/>
  <c r="R203" i="1"/>
  <c r="S203" i="1" s="1"/>
  <c r="L203" i="1"/>
  <c r="M203" i="1" s="1"/>
  <c r="P203" i="1"/>
  <c r="Q203" i="1" s="1"/>
  <c r="V202" i="1"/>
  <c r="W202" i="1" s="1"/>
  <c r="T202" i="1"/>
  <c r="U202" i="1" s="1"/>
  <c r="R202" i="1"/>
  <c r="S202" i="1" s="1"/>
  <c r="L202" i="1"/>
  <c r="M202" i="1" s="1"/>
  <c r="P202" i="1"/>
  <c r="Q202" i="1" s="1"/>
  <c r="N202" i="1"/>
  <c r="O202" i="1" s="1"/>
  <c r="L269" i="1"/>
  <c r="M269" i="1" s="1"/>
  <c r="J269" i="1"/>
  <c r="K269" i="1" s="1"/>
  <c r="H269" i="1"/>
  <c r="I269" i="1" s="1"/>
  <c r="N269" i="1"/>
  <c r="O269" i="1" s="1"/>
  <c r="T256" i="1"/>
  <c r="N256" i="1"/>
  <c r="O256" i="1" s="1"/>
  <c r="H256" i="1"/>
  <c r="I256" i="1" s="1"/>
  <c r="P256" i="1"/>
  <c r="Q256" i="1" s="1"/>
  <c r="R256" i="1"/>
  <c r="S256" i="1" s="1"/>
  <c r="J256" i="1"/>
  <c r="K256" i="1" s="1"/>
  <c r="L256" i="1"/>
  <c r="M256" i="1" s="1"/>
  <c r="N267" i="1"/>
  <c r="O267" i="1" s="1"/>
  <c r="H267" i="1"/>
  <c r="I267" i="1" s="1"/>
  <c r="R267" i="1"/>
  <c r="S267" i="1" s="1"/>
  <c r="J267" i="1"/>
  <c r="K267" i="1" s="1"/>
  <c r="L267" i="1"/>
  <c r="M267" i="1" s="1"/>
  <c r="P267" i="1"/>
  <c r="Q267" i="1" s="1"/>
  <c r="L208" i="1"/>
  <c r="M208" i="1" s="1"/>
  <c r="J208" i="1"/>
  <c r="K208" i="1" s="1"/>
  <c r="N208" i="1"/>
  <c r="O208" i="1" s="1"/>
  <c r="H274" i="1"/>
  <c r="I274" i="1" s="1"/>
  <c r="R274" i="1"/>
  <c r="S274" i="1" s="1"/>
  <c r="J274" i="1"/>
  <c r="K274" i="1" s="1"/>
  <c r="T274" i="1"/>
  <c r="U274" i="1" s="1"/>
  <c r="N274" i="1"/>
  <c r="O274" i="1" s="1"/>
  <c r="P274" i="1"/>
  <c r="Q274" i="1" s="1"/>
  <c r="L274" i="1"/>
  <c r="M274" i="1" s="1"/>
  <c r="V63" i="1"/>
  <c r="W63" i="1" s="1"/>
  <c r="R63" i="1"/>
  <c r="S63" i="1" s="1"/>
  <c r="J63" i="1"/>
  <c r="P63" i="1"/>
  <c r="Q63" i="1" s="1"/>
  <c r="N63" i="1"/>
  <c r="O63" i="1" s="1"/>
  <c r="T63" i="1"/>
  <c r="U63" i="1" s="1"/>
  <c r="L63" i="1"/>
  <c r="M63" i="1" s="1"/>
  <c r="G291" i="1"/>
  <c r="W291" i="1"/>
  <c r="G224" i="1" l="1"/>
  <c r="F173" i="1"/>
  <c r="T173" i="1" l="1"/>
  <c r="U173" i="1" s="1"/>
  <c r="J173" i="1"/>
  <c r="K173" i="1" s="1"/>
  <c r="L173" i="1"/>
  <c r="M173" i="1" s="1"/>
  <c r="V173" i="1"/>
  <c r="W173" i="1" s="1"/>
  <c r="R173" i="1"/>
  <c r="S173" i="1" s="1"/>
  <c r="H173" i="1"/>
  <c r="I173" i="1" s="1"/>
  <c r="P173" i="1"/>
  <c r="Q173" i="1" s="1"/>
  <c r="N173" i="1"/>
  <c r="O173" i="1" s="1"/>
  <c r="V172" i="1"/>
  <c r="W172" i="1" s="1"/>
  <c r="L172" i="1" l="1"/>
  <c r="M172" i="1" s="1"/>
  <c r="R172" i="1"/>
  <c r="S172" i="1" s="1"/>
  <c r="N172" i="1"/>
  <c r="O172" i="1" s="1"/>
  <c r="P172" i="1"/>
  <c r="Q172" i="1" s="1"/>
  <c r="G172" i="1"/>
  <c r="H172" i="1"/>
  <c r="I172" i="1" s="1"/>
  <c r="T172" i="1"/>
  <c r="U172" i="1" s="1"/>
  <c r="J172" i="1"/>
  <c r="K172" i="1" s="1"/>
  <c r="G394" i="1" l="1"/>
  <c r="F406" i="1" l="1"/>
  <c r="F181" i="1"/>
  <c r="F178" i="1"/>
  <c r="F415" i="1"/>
  <c r="F441" i="1"/>
  <c r="P415" i="1" l="1"/>
  <c r="Q415" i="1" s="1"/>
  <c r="R415" i="1"/>
  <c r="S415" i="1" s="1"/>
  <c r="T415" i="1"/>
  <c r="U415" i="1" s="1"/>
  <c r="L415" i="1"/>
  <c r="M415" i="1" s="1"/>
  <c r="V415" i="1"/>
  <c r="W415" i="1" s="1"/>
  <c r="N415" i="1"/>
  <c r="O415" i="1" s="1"/>
  <c r="P406" i="1"/>
  <c r="Q406" i="1" s="1"/>
  <c r="R406" i="1"/>
  <c r="S406" i="1" s="1"/>
  <c r="T406" i="1"/>
  <c r="U406" i="1" s="1"/>
  <c r="L406" i="1"/>
  <c r="M406" i="1" s="1"/>
  <c r="N406" i="1"/>
  <c r="O406" i="1" s="1"/>
  <c r="V406" i="1"/>
  <c r="W406" i="1" s="1"/>
  <c r="N178" i="1"/>
  <c r="O178" i="1" s="1"/>
  <c r="L178" i="1"/>
  <c r="M178" i="1" s="1"/>
  <c r="H178" i="1"/>
  <c r="I178" i="1" s="1"/>
  <c r="P178" i="1"/>
  <c r="Q178" i="1" s="1"/>
  <c r="J178" i="1"/>
  <c r="K178" i="1" s="1"/>
  <c r="V178" i="1"/>
  <c r="W178" i="1" s="1"/>
  <c r="R178" i="1"/>
  <c r="S178" i="1" s="1"/>
  <c r="T178" i="1"/>
  <c r="U178" i="1" s="1"/>
  <c r="F294" i="1"/>
  <c r="J294" i="1" s="1"/>
  <c r="K294" i="1" s="1"/>
  <c r="N329" i="1" l="1"/>
  <c r="O329" i="1" s="1"/>
  <c r="L329" i="1"/>
  <c r="M329" i="1" s="1"/>
  <c r="J329" i="1"/>
  <c r="K329" i="1" s="1"/>
  <c r="V329" i="1"/>
  <c r="W329" i="1" s="1"/>
  <c r="H329" i="1"/>
  <c r="I329" i="1" s="1"/>
  <c r="T329" i="1"/>
  <c r="U329" i="1" s="1"/>
  <c r="R329" i="1"/>
  <c r="S329" i="1" s="1"/>
  <c r="P329" i="1"/>
  <c r="Q329" i="1" s="1"/>
  <c r="J340" i="1"/>
  <c r="K340" i="1" s="1"/>
  <c r="V340" i="1"/>
  <c r="W340" i="1" s="1"/>
  <c r="H340" i="1"/>
  <c r="I340" i="1" s="1"/>
  <c r="T340" i="1"/>
  <c r="U340" i="1" s="1"/>
  <c r="R340" i="1"/>
  <c r="S340" i="1" s="1"/>
  <c r="P340" i="1"/>
  <c r="Q340" i="1" s="1"/>
  <c r="N340" i="1"/>
  <c r="O340" i="1" s="1"/>
  <c r="L340" i="1"/>
  <c r="M340" i="1" s="1"/>
  <c r="L326" i="1"/>
  <c r="M326" i="1" s="1"/>
  <c r="J326" i="1"/>
  <c r="K326" i="1" s="1"/>
  <c r="V326" i="1"/>
  <c r="W326" i="1" s="1"/>
  <c r="T326" i="1"/>
  <c r="U326" i="1" s="1"/>
  <c r="R326" i="1"/>
  <c r="S326" i="1" s="1"/>
  <c r="P326" i="1"/>
  <c r="Q326" i="1" s="1"/>
  <c r="N326" i="1"/>
  <c r="O326" i="1" s="1"/>
  <c r="H326" i="1"/>
  <c r="I326" i="1" s="1"/>
  <c r="G326" i="1"/>
  <c r="G294" i="1"/>
  <c r="L294" i="1"/>
  <c r="M294" i="1" s="1"/>
  <c r="N294" i="1"/>
  <c r="O294" i="1" s="1"/>
  <c r="P294" i="1"/>
  <c r="Q294" i="1" s="1"/>
  <c r="V294" i="1"/>
  <c r="W294" i="1" s="1"/>
  <c r="R294" i="1"/>
  <c r="S294" i="1" s="1"/>
  <c r="H294" i="1"/>
  <c r="I294" i="1" s="1"/>
  <c r="T294" i="1"/>
  <c r="U294" i="1" s="1"/>
  <c r="P669" i="1" l="1"/>
  <c r="Q669" i="1" s="1"/>
  <c r="F255" i="1"/>
  <c r="T323" i="1" l="1"/>
  <c r="U323" i="1" s="1"/>
  <c r="R323" i="1"/>
  <c r="S323" i="1" s="1"/>
  <c r="N323" i="1"/>
  <c r="O323" i="1" s="1"/>
  <c r="L323" i="1"/>
  <c r="M323" i="1" s="1"/>
  <c r="J323" i="1"/>
  <c r="K323" i="1" s="1"/>
  <c r="H323" i="1"/>
  <c r="I323" i="1" s="1"/>
  <c r="V323" i="1"/>
  <c r="W323" i="1" s="1"/>
  <c r="P323" i="1"/>
  <c r="Q323" i="1" s="1"/>
  <c r="L336" i="1"/>
  <c r="M336" i="1" s="1"/>
  <c r="J336" i="1"/>
  <c r="K336" i="1" s="1"/>
  <c r="V336" i="1"/>
  <c r="W336" i="1" s="1"/>
  <c r="H336" i="1"/>
  <c r="I336" i="1" s="1"/>
  <c r="T336" i="1"/>
  <c r="U336" i="1" s="1"/>
  <c r="R336" i="1"/>
  <c r="S336" i="1" s="1"/>
  <c r="P336" i="1"/>
  <c r="Q336" i="1" s="1"/>
  <c r="N336" i="1"/>
  <c r="O336" i="1" s="1"/>
  <c r="V322" i="1"/>
  <c r="W322" i="1" s="1"/>
  <c r="J322" i="1"/>
  <c r="K322" i="1" s="1"/>
  <c r="T322" i="1"/>
  <c r="U322" i="1" s="1"/>
  <c r="H322" i="1"/>
  <c r="I322" i="1" s="1"/>
  <c r="P322" i="1"/>
  <c r="Q322" i="1" s="1"/>
  <c r="N322" i="1"/>
  <c r="O322" i="1" s="1"/>
  <c r="L322" i="1"/>
  <c r="M322" i="1" s="1"/>
  <c r="R322" i="1"/>
  <c r="S322" i="1" s="1"/>
  <c r="L321" i="1"/>
  <c r="M321" i="1" s="1"/>
  <c r="J321" i="1"/>
  <c r="K321" i="1" s="1"/>
  <c r="T321" i="1"/>
  <c r="U321" i="1" s="1"/>
  <c r="R321" i="1"/>
  <c r="S321" i="1" s="1"/>
  <c r="P321" i="1"/>
  <c r="Q321" i="1" s="1"/>
  <c r="V321" i="1"/>
  <c r="W321" i="1" s="1"/>
  <c r="N321" i="1"/>
  <c r="O321" i="1" s="1"/>
  <c r="H321" i="1"/>
  <c r="I321" i="1" s="1"/>
  <c r="R330" i="1"/>
  <c r="S330" i="1" s="1"/>
  <c r="N330" i="1"/>
  <c r="O330" i="1" s="1"/>
  <c r="L330" i="1"/>
  <c r="M330" i="1" s="1"/>
  <c r="V330" i="1"/>
  <c r="W330" i="1" s="1"/>
  <c r="J330" i="1"/>
  <c r="K330" i="1" s="1"/>
  <c r="T330" i="1"/>
  <c r="U330" i="1" s="1"/>
  <c r="P330" i="1"/>
  <c r="Q330" i="1" s="1"/>
  <c r="H330" i="1"/>
  <c r="I330" i="1" s="1"/>
  <c r="P331" i="1"/>
  <c r="Q331" i="1" s="1"/>
  <c r="N331" i="1"/>
  <c r="O331" i="1" s="1"/>
  <c r="V331" i="1"/>
  <c r="W331" i="1" s="1"/>
  <c r="J331" i="1"/>
  <c r="K331" i="1" s="1"/>
  <c r="T331" i="1"/>
  <c r="U331" i="1" s="1"/>
  <c r="H331" i="1"/>
  <c r="I331" i="1" s="1"/>
  <c r="R331" i="1"/>
  <c r="S331" i="1" s="1"/>
  <c r="L331" i="1"/>
  <c r="M331" i="1" s="1"/>
  <c r="N315" i="1"/>
  <c r="O315" i="1" s="1"/>
  <c r="V315" i="1"/>
  <c r="W315" i="1" s="1"/>
  <c r="J315" i="1"/>
  <c r="K315" i="1" s="1"/>
  <c r="T315" i="1"/>
  <c r="U315" i="1" s="1"/>
  <c r="H315" i="1"/>
  <c r="I315" i="1" s="1"/>
  <c r="R315" i="1"/>
  <c r="S315" i="1" s="1"/>
  <c r="P315" i="1"/>
  <c r="Q315" i="1" s="1"/>
  <c r="L315" i="1"/>
  <c r="M315" i="1" s="1"/>
  <c r="N325" i="1"/>
  <c r="O325" i="1" s="1"/>
  <c r="L325" i="1"/>
  <c r="M325" i="1" s="1"/>
  <c r="V325" i="1"/>
  <c r="W325" i="1" s="1"/>
  <c r="H325" i="1"/>
  <c r="I325" i="1" s="1"/>
  <c r="T325" i="1"/>
  <c r="U325" i="1" s="1"/>
  <c r="R325" i="1"/>
  <c r="S325" i="1" s="1"/>
  <c r="P325" i="1"/>
  <c r="Q325" i="1" s="1"/>
  <c r="J325" i="1"/>
  <c r="K325" i="1" s="1"/>
  <c r="N255" i="1"/>
  <c r="O255" i="1" s="1"/>
  <c r="R255" i="1"/>
  <c r="S255" i="1" s="1"/>
  <c r="H255" i="1"/>
  <c r="I255" i="1" s="1"/>
  <c r="T255" i="1"/>
  <c r="J255" i="1"/>
  <c r="K255" i="1" s="1"/>
  <c r="L255" i="1"/>
  <c r="M255" i="1" s="1"/>
  <c r="P255" i="1"/>
  <c r="Q255" i="1" s="1"/>
  <c r="L327" i="1"/>
  <c r="M327" i="1" s="1"/>
  <c r="V327" i="1"/>
  <c r="W327" i="1" s="1"/>
  <c r="J327" i="1"/>
  <c r="K327" i="1" s="1"/>
  <c r="R327" i="1"/>
  <c r="S327" i="1" s="1"/>
  <c r="P327" i="1"/>
  <c r="Q327" i="1" s="1"/>
  <c r="T327" i="1"/>
  <c r="U327" i="1" s="1"/>
  <c r="N327" i="1"/>
  <c r="O327" i="1" s="1"/>
  <c r="H327" i="1"/>
  <c r="I327" i="1" s="1"/>
  <c r="N334" i="1"/>
  <c r="O334" i="1" s="1"/>
  <c r="L334" i="1"/>
  <c r="M334" i="1" s="1"/>
  <c r="J334" i="1"/>
  <c r="K334" i="1" s="1"/>
  <c r="V334" i="1"/>
  <c r="W334" i="1" s="1"/>
  <c r="H334" i="1"/>
  <c r="I334" i="1" s="1"/>
  <c r="T334" i="1"/>
  <c r="U334" i="1" s="1"/>
  <c r="R334" i="1"/>
  <c r="S334" i="1" s="1"/>
  <c r="P334" i="1"/>
  <c r="Q334" i="1" s="1"/>
  <c r="N335" i="1"/>
  <c r="O335" i="1" s="1"/>
  <c r="L335" i="1"/>
  <c r="M335" i="1" s="1"/>
  <c r="J335" i="1"/>
  <c r="K335" i="1" s="1"/>
  <c r="H335" i="1"/>
  <c r="I335" i="1" s="1"/>
  <c r="V335" i="1"/>
  <c r="W335" i="1" s="1"/>
  <c r="T335" i="1"/>
  <c r="U335" i="1" s="1"/>
  <c r="R335" i="1"/>
  <c r="S335" i="1" s="1"/>
  <c r="P335" i="1"/>
  <c r="Q335" i="1" s="1"/>
  <c r="G669" i="1"/>
  <c r="H669" i="1"/>
  <c r="I669" i="1" s="1"/>
  <c r="J669" i="1"/>
  <c r="K669" i="1" s="1"/>
  <c r="L669" i="1"/>
  <c r="M669" i="1" s="1"/>
  <c r="R669" i="1"/>
  <c r="S669" i="1" s="1"/>
  <c r="T669" i="1"/>
  <c r="U669" i="1" s="1"/>
  <c r="V669" i="1"/>
  <c r="W669" i="1" s="1"/>
  <c r="N669" i="1"/>
  <c r="O669" i="1" s="1"/>
  <c r="G331" i="1"/>
  <c r="G330" i="1"/>
  <c r="G292" i="1"/>
  <c r="V341" i="1" l="1"/>
  <c r="W341" i="1" s="1"/>
  <c r="T341" i="1"/>
  <c r="U341" i="1" s="1"/>
  <c r="R341" i="1"/>
  <c r="S341" i="1" s="1"/>
  <c r="P341" i="1"/>
  <c r="Q341" i="1" s="1"/>
  <c r="N341" i="1"/>
  <c r="O341" i="1" s="1"/>
  <c r="L341" i="1"/>
  <c r="M341" i="1" s="1"/>
  <c r="J341" i="1"/>
  <c r="K341" i="1" s="1"/>
  <c r="H341" i="1"/>
  <c r="I341" i="1" s="1"/>
  <c r="G341" i="1"/>
  <c r="J644" i="1" l="1"/>
  <c r="J647" i="1"/>
  <c r="J648" i="1"/>
  <c r="J649" i="1"/>
  <c r="J650" i="1"/>
  <c r="J651" i="1"/>
  <c r="J645" i="1"/>
  <c r="J621" i="1"/>
  <c r="J622" i="1"/>
  <c r="J623" i="1"/>
  <c r="J624" i="1"/>
  <c r="J630" i="1"/>
  <c r="J631" i="1"/>
  <c r="J632" i="1"/>
  <c r="J633" i="1"/>
  <c r="J634" i="1"/>
  <c r="J635" i="1"/>
  <c r="J636" i="1"/>
  <c r="J637" i="1"/>
  <c r="J643" i="1"/>
  <c r="J619" i="1"/>
  <c r="K619" i="1" s="1"/>
  <c r="J618" i="1"/>
  <c r="J616" i="1"/>
  <c r="J615" i="1"/>
  <c r="J614" i="1"/>
  <c r="J613" i="1"/>
  <c r="G333" i="1" l="1"/>
  <c r="G340" i="1" l="1"/>
  <c r="F407" i="1"/>
  <c r="R407" i="1" l="1"/>
  <c r="S407" i="1" s="1"/>
  <c r="V407" i="1"/>
  <c r="W407" i="1" s="1"/>
  <c r="L407" i="1"/>
  <c r="M407" i="1" s="1"/>
  <c r="N407" i="1"/>
  <c r="O407" i="1" s="1"/>
  <c r="P407" i="1"/>
  <c r="Q407" i="1" s="1"/>
  <c r="T407" i="1"/>
  <c r="U407" i="1" s="1"/>
  <c r="F737" i="1"/>
  <c r="V737" i="1" s="1"/>
  <c r="W737" i="1" s="1"/>
  <c r="R740" i="1"/>
  <c r="V470" i="1"/>
  <c r="T470" i="1"/>
  <c r="J470" i="1"/>
  <c r="L470" i="1"/>
  <c r="N470" i="1"/>
  <c r="P470" i="1"/>
  <c r="R470" i="1"/>
  <c r="T469" i="1"/>
  <c r="R469" i="1"/>
  <c r="L469" i="1"/>
  <c r="V494" i="1"/>
  <c r="W494" i="1" s="1"/>
  <c r="J740" i="1" l="1"/>
  <c r="K740" i="1" s="1"/>
  <c r="L740" i="1"/>
  <c r="M740" i="1" s="1"/>
  <c r="N740" i="1"/>
  <c r="O740" i="1" s="1"/>
  <c r="P740" i="1"/>
  <c r="Q740" i="1" s="1"/>
  <c r="H740" i="1"/>
  <c r="I740" i="1" s="1"/>
  <c r="V740" i="1"/>
  <c r="W740" i="1" s="1"/>
  <c r="P737" i="1"/>
  <c r="Q737" i="1" s="1"/>
  <c r="T740" i="1"/>
  <c r="U740" i="1" s="1"/>
  <c r="N737" i="1"/>
  <c r="O737" i="1" s="1"/>
  <c r="L737" i="1"/>
  <c r="M737" i="1" s="1"/>
  <c r="R737" i="1"/>
  <c r="S737" i="1" s="1"/>
  <c r="G737" i="1"/>
  <c r="H737" i="1"/>
  <c r="I737" i="1" s="1"/>
  <c r="T737" i="1"/>
  <c r="U737" i="1" s="1"/>
  <c r="J737" i="1"/>
  <c r="K737" i="1" s="1"/>
  <c r="G740" i="1"/>
  <c r="S740" i="1"/>
  <c r="T494" i="1"/>
  <c r="U494" i="1" s="1"/>
  <c r="J494" i="1"/>
  <c r="K494" i="1" s="1"/>
  <c r="L494" i="1"/>
  <c r="M494" i="1" s="1"/>
  <c r="P494" i="1"/>
  <c r="Q494" i="1" s="1"/>
  <c r="H494" i="1"/>
  <c r="I494" i="1" s="1"/>
  <c r="N494" i="1"/>
  <c r="O494" i="1" s="1"/>
  <c r="R494" i="1"/>
  <c r="S494" i="1" s="1"/>
  <c r="G494" i="1"/>
  <c r="P489" i="1"/>
  <c r="Q489" i="1" s="1"/>
  <c r="V486" i="1"/>
  <c r="W486" i="1" s="1"/>
  <c r="L486" i="1" l="1"/>
  <c r="M486" i="1" s="1"/>
  <c r="N486" i="1"/>
  <c r="O486" i="1" s="1"/>
  <c r="R486" i="1"/>
  <c r="S486" i="1" s="1"/>
  <c r="P486" i="1"/>
  <c r="Q486" i="1" s="1"/>
  <c r="G486" i="1"/>
  <c r="H486" i="1"/>
  <c r="I486" i="1" s="1"/>
  <c r="T486" i="1"/>
  <c r="U486" i="1" s="1"/>
  <c r="J486" i="1"/>
  <c r="K486" i="1" s="1"/>
  <c r="L489" i="1"/>
  <c r="M489" i="1" s="1"/>
  <c r="G489" i="1"/>
  <c r="H489" i="1"/>
  <c r="I489" i="1" s="1"/>
  <c r="T489" i="1"/>
  <c r="U489" i="1" s="1"/>
  <c r="J489" i="1"/>
  <c r="K489" i="1" s="1"/>
  <c r="V489" i="1"/>
  <c r="W489" i="1" s="1"/>
  <c r="N489" i="1"/>
  <c r="O489" i="1" s="1"/>
  <c r="R489" i="1"/>
  <c r="S489" i="1" s="1"/>
  <c r="F495" i="1"/>
  <c r="J495" i="1" s="1"/>
  <c r="K495" i="1" s="1"/>
  <c r="P491" i="1"/>
  <c r="Q491" i="1" s="1"/>
  <c r="N495" i="1" l="1"/>
  <c r="O495" i="1" s="1"/>
  <c r="R495" i="1"/>
  <c r="S495" i="1" s="1"/>
  <c r="G495" i="1"/>
  <c r="T495" i="1"/>
  <c r="U495" i="1" s="1"/>
  <c r="L495" i="1"/>
  <c r="M495" i="1" s="1"/>
  <c r="V495" i="1"/>
  <c r="W495" i="1" s="1"/>
  <c r="P495" i="1"/>
  <c r="Q495" i="1" s="1"/>
  <c r="L491" i="1"/>
  <c r="M491" i="1" s="1"/>
  <c r="N491" i="1"/>
  <c r="O491" i="1" s="1"/>
  <c r="T491" i="1"/>
  <c r="U491" i="1" s="1"/>
  <c r="R491" i="1"/>
  <c r="S491" i="1" s="1"/>
  <c r="J491" i="1"/>
  <c r="K491" i="1" s="1"/>
  <c r="V491" i="1"/>
  <c r="W491" i="1" s="1"/>
  <c r="G491" i="1"/>
  <c r="H491" i="1"/>
  <c r="I491" i="1" s="1"/>
  <c r="T612" i="1"/>
  <c r="U612" i="1" s="1"/>
  <c r="F328" i="1"/>
  <c r="V328" i="1" l="1"/>
  <c r="W328" i="1" s="1"/>
  <c r="H328" i="1"/>
  <c r="I328" i="1" s="1"/>
  <c r="T328" i="1"/>
  <c r="U328" i="1" s="1"/>
  <c r="R328" i="1"/>
  <c r="S328" i="1" s="1"/>
  <c r="P328" i="1"/>
  <c r="Q328" i="1" s="1"/>
  <c r="N328" i="1"/>
  <c r="O328" i="1" s="1"/>
  <c r="L328" i="1"/>
  <c r="M328" i="1" s="1"/>
  <c r="J328" i="1"/>
  <c r="K328" i="1" s="1"/>
  <c r="V612" i="1"/>
  <c r="W612" i="1" s="1"/>
  <c r="G612" i="1"/>
  <c r="L612" i="1"/>
  <c r="M612" i="1" s="1"/>
  <c r="N612" i="1"/>
  <c r="O612" i="1" s="1"/>
  <c r="P612" i="1"/>
  <c r="Q612" i="1" s="1"/>
  <c r="R612" i="1"/>
  <c r="S612" i="1" s="1"/>
  <c r="G328" i="1"/>
  <c r="V469" i="1" l="1"/>
  <c r="P469" i="1"/>
  <c r="N469" i="1"/>
  <c r="O469" i="1" s="1"/>
  <c r="T474" i="1"/>
  <c r="U474" i="1" s="1"/>
  <c r="R474" i="1"/>
  <c r="S474" i="1" s="1"/>
  <c r="P474" i="1"/>
  <c r="Q474" i="1" s="1"/>
  <c r="N474" i="1"/>
  <c r="O474" i="1" s="1"/>
  <c r="L474" i="1"/>
  <c r="M474" i="1" s="1"/>
  <c r="T473" i="1"/>
  <c r="U473" i="1" s="1"/>
  <c r="R473" i="1"/>
  <c r="S473" i="1" s="1"/>
  <c r="P473" i="1"/>
  <c r="Q473" i="1" s="1"/>
  <c r="N473" i="1"/>
  <c r="O473" i="1" s="1"/>
  <c r="L473" i="1"/>
  <c r="M473" i="1" s="1"/>
  <c r="T472" i="1"/>
  <c r="U472" i="1" s="1"/>
  <c r="R472" i="1"/>
  <c r="S472" i="1" s="1"/>
  <c r="P472" i="1"/>
  <c r="Q472" i="1" s="1"/>
  <c r="N472" i="1"/>
  <c r="O472" i="1" s="1"/>
  <c r="L472" i="1"/>
  <c r="M472" i="1" s="1"/>
  <c r="T471" i="1"/>
  <c r="R471" i="1"/>
  <c r="P471" i="1"/>
  <c r="N471" i="1"/>
  <c r="L471" i="1"/>
  <c r="G334" i="1" l="1"/>
  <c r="P493" i="1"/>
  <c r="Q493" i="1" s="1"/>
  <c r="V490" i="1"/>
  <c r="W490" i="1" s="1"/>
  <c r="G488" i="1"/>
  <c r="L493" i="1" l="1"/>
  <c r="M493" i="1" s="1"/>
  <c r="N493" i="1"/>
  <c r="O493" i="1" s="1"/>
  <c r="R493" i="1"/>
  <c r="S493" i="1" s="1"/>
  <c r="G493" i="1"/>
  <c r="H493" i="1"/>
  <c r="I493" i="1" s="1"/>
  <c r="T493" i="1"/>
  <c r="U493" i="1" s="1"/>
  <c r="J493" i="1"/>
  <c r="K493" i="1" s="1"/>
  <c r="V493" i="1"/>
  <c r="W493" i="1" s="1"/>
  <c r="J490" i="1"/>
  <c r="K490" i="1" s="1"/>
  <c r="H490" i="1"/>
  <c r="I490" i="1" s="1"/>
  <c r="L490" i="1"/>
  <c r="M490" i="1" s="1"/>
  <c r="R490" i="1"/>
  <c r="S490" i="1" s="1"/>
  <c r="T490" i="1"/>
  <c r="U490" i="1" s="1"/>
  <c r="N490" i="1"/>
  <c r="O490" i="1" s="1"/>
  <c r="P490" i="1"/>
  <c r="Q490" i="1" s="1"/>
  <c r="G490" i="1"/>
  <c r="J488" i="1" l="1"/>
  <c r="K488" i="1" s="1"/>
  <c r="L488" i="1" l="1"/>
  <c r="M488" i="1" s="1"/>
  <c r="N488" i="1"/>
  <c r="O488" i="1" s="1"/>
  <c r="P488" i="1"/>
  <c r="Q488" i="1" s="1"/>
  <c r="R488" i="1"/>
  <c r="S488" i="1" s="1"/>
  <c r="T488" i="1"/>
  <c r="U488" i="1" s="1"/>
  <c r="V488" i="1"/>
  <c r="W488" i="1" s="1"/>
  <c r="H488" i="1"/>
  <c r="I488" i="1" s="1"/>
  <c r="V216" i="1"/>
  <c r="W216" i="1" s="1"/>
  <c r="U216" i="1"/>
  <c r="S216" i="1"/>
  <c r="Q216" i="1"/>
  <c r="O216" i="1"/>
  <c r="G216" i="1"/>
  <c r="V687" i="1" l="1"/>
  <c r="W687" i="1" s="1"/>
  <c r="T687" i="1"/>
  <c r="U687" i="1" s="1"/>
  <c r="R687" i="1"/>
  <c r="S687" i="1" s="1"/>
  <c r="P687" i="1"/>
  <c r="Q687" i="1" s="1"/>
  <c r="N687" i="1"/>
  <c r="O687" i="1" s="1"/>
  <c r="L687" i="1"/>
  <c r="M687" i="1" s="1"/>
  <c r="G16" i="1"/>
  <c r="F347" i="1" l="1"/>
  <c r="V248" i="1" l="1"/>
  <c r="W248" i="1" s="1"/>
  <c r="N660" i="1" l="1"/>
  <c r="O660" i="1" s="1"/>
  <c r="J660" i="1"/>
  <c r="V660" i="1"/>
  <c r="W660" i="1" s="1"/>
  <c r="K660" i="1"/>
  <c r="L660" i="1"/>
  <c r="M660" i="1" s="1"/>
  <c r="P660" i="1"/>
  <c r="Q660" i="1" s="1"/>
  <c r="R660" i="1"/>
  <c r="S660" i="1" s="1"/>
  <c r="G660" i="1"/>
  <c r="H660" i="1"/>
  <c r="I660" i="1" s="1"/>
  <c r="T660" i="1"/>
  <c r="U660" i="1" s="1"/>
  <c r="G248" i="1"/>
  <c r="U248" i="1"/>
  <c r="G121" i="1"/>
  <c r="G120" i="1"/>
  <c r="G119" i="1"/>
  <c r="F646" i="1" l="1"/>
  <c r="J646" i="1" s="1"/>
  <c r="J652" i="1"/>
  <c r="F654" i="1"/>
  <c r="J654" i="1" s="1"/>
  <c r="J620" i="1"/>
  <c r="J606" i="1"/>
  <c r="J617" i="1"/>
  <c r="J601" i="1"/>
  <c r="M136" i="1" l="1"/>
  <c r="G412" i="1" l="1"/>
  <c r="G62" i="1" l="1"/>
  <c r="V677" i="1" l="1"/>
  <c r="W677" i="1" s="1"/>
  <c r="T677" i="1"/>
  <c r="U677" i="1" s="1"/>
  <c r="R677" i="1"/>
  <c r="S677" i="1" s="1"/>
  <c r="P677" i="1"/>
  <c r="Q677" i="1" s="1"/>
  <c r="N677" i="1"/>
  <c r="O677" i="1" s="1"/>
  <c r="L677" i="1"/>
  <c r="M677" i="1" s="1"/>
  <c r="J677" i="1"/>
  <c r="K677" i="1" s="1"/>
  <c r="V295" i="1" l="1"/>
  <c r="W295" i="1" s="1"/>
  <c r="H314" i="1"/>
  <c r="I314" i="1" s="1"/>
  <c r="L295" i="1" l="1"/>
  <c r="M295" i="1" s="1"/>
  <c r="R295" i="1"/>
  <c r="S295" i="1" s="1"/>
  <c r="T295" i="1"/>
  <c r="U295" i="1" s="1"/>
  <c r="N295" i="1"/>
  <c r="O295" i="1" s="1"/>
  <c r="G295" i="1"/>
  <c r="P295" i="1"/>
  <c r="Q295" i="1" s="1"/>
  <c r="J295" i="1"/>
  <c r="K295" i="1" s="1"/>
  <c r="G314" i="1" l="1"/>
  <c r="F534" i="1"/>
  <c r="F205" i="1"/>
  <c r="F183" i="1"/>
  <c r="F182" i="1"/>
  <c r="L183" i="1" l="1"/>
  <c r="M183" i="1" s="1"/>
  <c r="J183" i="1"/>
  <c r="K183" i="1" s="1"/>
  <c r="V183" i="1"/>
  <c r="H183" i="1"/>
  <c r="I183" i="1" s="1"/>
  <c r="P183" i="1"/>
  <c r="Q183" i="1" s="1"/>
  <c r="T183" i="1"/>
  <c r="U183" i="1" s="1"/>
  <c r="R183" i="1"/>
  <c r="S183" i="1" s="1"/>
  <c r="N183" i="1"/>
  <c r="O183" i="1" s="1"/>
  <c r="V577" i="1"/>
  <c r="W577" i="1" s="1"/>
  <c r="J577" i="1" l="1"/>
  <c r="K577" i="1" s="1"/>
  <c r="L577" i="1"/>
  <c r="M577" i="1" s="1"/>
  <c r="N577" i="1"/>
  <c r="O577" i="1" s="1"/>
  <c r="G577" i="1"/>
  <c r="H577" i="1"/>
  <c r="I577" i="1" s="1"/>
  <c r="P577" i="1"/>
  <c r="Q577" i="1" s="1"/>
  <c r="R577" i="1"/>
  <c r="S577" i="1" s="1"/>
  <c r="T577" i="1"/>
  <c r="U577" i="1" s="1"/>
  <c r="V618" i="1"/>
  <c r="W618" i="1" s="1"/>
  <c r="N618" i="1" l="1"/>
  <c r="O618" i="1" s="1"/>
  <c r="P618" i="1"/>
  <c r="Q618" i="1" s="1"/>
  <c r="G618" i="1"/>
  <c r="H618" i="1"/>
  <c r="I618" i="1" s="1"/>
  <c r="T618" i="1"/>
  <c r="U618" i="1" s="1"/>
  <c r="L618" i="1"/>
  <c r="M618" i="1" s="1"/>
  <c r="R618" i="1"/>
  <c r="S618" i="1" s="1"/>
  <c r="K618" i="1"/>
  <c r="T644" i="1"/>
  <c r="H644" i="1" l="1"/>
  <c r="I644" i="1" s="1"/>
  <c r="K644" i="1"/>
  <c r="L644" i="1"/>
  <c r="R644" i="1"/>
  <c r="S644" i="1" s="1"/>
  <c r="U644" i="1"/>
  <c r="N644" i="1"/>
  <c r="O644" i="1" s="1"/>
  <c r="V644" i="1"/>
  <c r="W644" i="1" s="1"/>
  <c r="P644" i="1"/>
  <c r="Q644" i="1" s="1"/>
  <c r="M644" i="1"/>
  <c r="G644" i="1"/>
  <c r="G406" i="1" l="1"/>
  <c r="F276" i="1"/>
  <c r="N276" i="1" l="1"/>
  <c r="O276" i="1" s="1"/>
  <c r="H276" i="1"/>
  <c r="I276" i="1" s="1"/>
  <c r="R276" i="1"/>
  <c r="S276" i="1" s="1"/>
  <c r="J276" i="1"/>
  <c r="K276" i="1" s="1"/>
  <c r="T276" i="1"/>
  <c r="U276" i="1" s="1"/>
  <c r="L276" i="1"/>
  <c r="M276" i="1" s="1"/>
  <c r="P276" i="1"/>
  <c r="Q276" i="1" s="1"/>
  <c r="G508" i="1"/>
  <c r="G296" i="1"/>
  <c r="G15" i="1" l="1"/>
  <c r="T15" i="1"/>
  <c r="U15" i="1" s="1"/>
  <c r="J15" i="1" l="1"/>
  <c r="K15" i="1" s="1"/>
  <c r="P15" i="1"/>
  <c r="Q15" i="1" s="1"/>
  <c r="L15" i="1"/>
  <c r="M15" i="1" s="1"/>
  <c r="N15" i="1"/>
  <c r="O15" i="1" s="1"/>
  <c r="R15" i="1"/>
  <c r="S15" i="1" s="1"/>
  <c r="H15" i="1"/>
  <c r="I15" i="1" s="1"/>
  <c r="G70" i="1" l="1"/>
  <c r="G325" i="1" l="1"/>
  <c r="V22" i="1" l="1"/>
  <c r="W22" i="1" s="1"/>
  <c r="T22" i="1"/>
  <c r="U22" i="1" s="1"/>
  <c r="R22" i="1"/>
  <c r="S22" i="1" s="1"/>
  <c r="P22" i="1"/>
  <c r="Q22" i="1" s="1"/>
  <c r="N22" i="1"/>
  <c r="O22" i="1" s="1"/>
  <c r="L22" i="1"/>
  <c r="M22" i="1" s="1"/>
  <c r="J22" i="1"/>
  <c r="K22" i="1" s="1"/>
  <c r="V21" i="1"/>
  <c r="W21" i="1" s="1"/>
  <c r="T21" i="1"/>
  <c r="U21" i="1" s="1"/>
  <c r="R21" i="1"/>
  <c r="S21" i="1" s="1"/>
  <c r="P21" i="1"/>
  <c r="Q21" i="1" s="1"/>
  <c r="N21" i="1"/>
  <c r="O21" i="1" s="1"/>
  <c r="L21" i="1"/>
  <c r="M21" i="1" s="1"/>
  <c r="J21" i="1"/>
  <c r="K21" i="1" s="1"/>
  <c r="T13" i="1"/>
  <c r="R13" i="1"/>
  <c r="S13" i="1" s="1"/>
  <c r="P13" i="1"/>
  <c r="Q13" i="1" s="1"/>
  <c r="N13" i="1"/>
  <c r="O13" i="1" s="1"/>
  <c r="L13" i="1"/>
  <c r="M13" i="1" s="1"/>
  <c r="J13" i="1"/>
  <c r="K13" i="1" s="1"/>
  <c r="G161" i="1"/>
  <c r="J161" i="1"/>
  <c r="L161" i="1"/>
  <c r="N161" i="1"/>
  <c r="P161" i="1"/>
  <c r="R161" i="1"/>
  <c r="W112" i="1"/>
  <c r="U112" i="1"/>
  <c r="S112" i="1"/>
  <c r="Q112" i="1"/>
  <c r="O112" i="1"/>
  <c r="W111" i="1"/>
  <c r="U111" i="1"/>
  <c r="S111" i="1"/>
  <c r="Q111" i="1"/>
  <c r="O111" i="1"/>
  <c r="W110" i="1"/>
  <c r="U110" i="1"/>
  <c r="S110" i="1"/>
  <c r="Q110" i="1"/>
  <c r="O110" i="1"/>
  <c r="W109" i="1"/>
  <c r="U109" i="1"/>
  <c r="S109" i="1"/>
  <c r="Q109" i="1"/>
  <c r="O109" i="1"/>
  <c r="W130" i="1"/>
  <c r="U130" i="1"/>
  <c r="S130" i="1"/>
  <c r="Q130" i="1"/>
  <c r="O130" i="1"/>
  <c r="M130" i="1"/>
  <c r="W125" i="1"/>
  <c r="U125" i="1"/>
  <c r="S125" i="1"/>
  <c r="Q125" i="1"/>
  <c r="O125" i="1"/>
  <c r="M125" i="1"/>
  <c r="O106" i="1"/>
  <c r="O105" i="1"/>
  <c r="V679" i="1" l="1"/>
  <c r="W679" i="1" s="1"/>
  <c r="T679" i="1"/>
  <c r="U679" i="1" s="1"/>
  <c r="R679" i="1"/>
  <c r="S679" i="1" s="1"/>
  <c r="P679" i="1"/>
  <c r="Q679" i="1" s="1"/>
  <c r="N679" i="1"/>
  <c r="O679" i="1" s="1"/>
  <c r="L679" i="1"/>
  <c r="M679" i="1" s="1"/>
  <c r="V686" i="1"/>
  <c r="W686" i="1" s="1"/>
  <c r="T686" i="1"/>
  <c r="U686" i="1" s="1"/>
  <c r="R686" i="1"/>
  <c r="S686" i="1" s="1"/>
  <c r="P686" i="1"/>
  <c r="Q686" i="1" s="1"/>
  <c r="N686" i="1"/>
  <c r="O686" i="1" s="1"/>
  <c r="L686" i="1"/>
  <c r="M686" i="1" s="1"/>
  <c r="J686" i="1"/>
  <c r="K686" i="1" s="1"/>
  <c r="V685" i="1"/>
  <c r="W685" i="1" s="1"/>
  <c r="T685" i="1"/>
  <c r="U685" i="1" s="1"/>
  <c r="R685" i="1"/>
  <c r="S685" i="1" s="1"/>
  <c r="P685" i="1"/>
  <c r="Q685" i="1" s="1"/>
  <c r="N685" i="1"/>
  <c r="O685" i="1" s="1"/>
  <c r="L685" i="1"/>
  <c r="M685" i="1" s="1"/>
  <c r="J685" i="1"/>
  <c r="K685" i="1" s="1"/>
  <c r="V684" i="1"/>
  <c r="W684" i="1" s="1"/>
  <c r="T684" i="1"/>
  <c r="U684" i="1" s="1"/>
  <c r="R684" i="1"/>
  <c r="S684" i="1" s="1"/>
  <c r="P684" i="1"/>
  <c r="Q684" i="1" s="1"/>
  <c r="N684" i="1"/>
  <c r="O684" i="1" s="1"/>
  <c r="L684" i="1"/>
  <c r="M684" i="1" s="1"/>
  <c r="J684" i="1"/>
  <c r="K684" i="1" s="1"/>
  <c r="V683" i="1"/>
  <c r="W683" i="1" s="1"/>
  <c r="T683" i="1"/>
  <c r="U683" i="1" s="1"/>
  <c r="R683" i="1"/>
  <c r="S683" i="1" s="1"/>
  <c r="P683" i="1"/>
  <c r="Q683" i="1" s="1"/>
  <c r="N683" i="1"/>
  <c r="O683" i="1" s="1"/>
  <c r="L683" i="1"/>
  <c r="M683" i="1" s="1"/>
  <c r="J683" i="1"/>
  <c r="K683" i="1" s="1"/>
  <c r="V682" i="1"/>
  <c r="W682" i="1" s="1"/>
  <c r="T682" i="1"/>
  <c r="U682" i="1" s="1"/>
  <c r="R682" i="1"/>
  <c r="S682" i="1" s="1"/>
  <c r="P682" i="1"/>
  <c r="Q682" i="1" s="1"/>
  <c r="N682" i="1"/>
  <c r="O682" i="1" s="1"/>
  <c r="L682" i="1"/>
  <c r="M682" i="1" s="1"/>
  <c r="J682" i="1"/>
  <c r="K682" i="1" s="1"/>
  <c r="V681" i="1"/>
  <c r="W681" i="1" s="1"/>
  <c r="T681" i="1"/>
  <c r="U681" i="1" s="1"/>
  <c r="R681" i="1"/>
  <c r="S681" i="1" s="1"/>
  <c r="P681" i="1"/>
  <c r="Q681" i="1" s="1"/>
  <c r="N681" i="1"/>
  <c r="O681" i="1" s="1"/>
  <c r="L681" i="1"/>
  <c r="M681" i="1" s="1"/>
  <c r="J681" i="1"/>
  <c r="K681" i="1" s="1"/>
  <c r="V680" i="1"/>
  <c r="W680" i="1" s="1"/>
  <c r="T680" i="1"/>
  <c r="U680" i="1" s="1"/>
  <c r="R680" i="1"/>
  <c r="S680" i="1" s="1"/>
  <c r="P680" i="1"/>
  <c r="Q680" i="1" s="1"/>
  <c r="N680" i="1"/>
  <c r="O680" i="1" s="1"/>
  <c r="L680" i="1"/>
  <c r="M680" i="1" s="1"/>
  <c r="J680" i="1"/>
  <c r="K680" i="1" s="1"/>
  <c r="T676" i="1"/>
  <c r="R676" i="1"/>
  <c r="P676" i="1"/>
  <c r="L676" i="1"/>
  <c r="V676" i="1"/>
  <c r="N676" i="1"/>
  <c r="J676" i="1"/>
  <c r="V500" i="1"/>
  <c r="W500" i="1" s="1"/>
  <c r="T500" i="1"/>
  <c r="U500" i="1" s="1"/>
  <c r="R500" i="1"/>
  <c r="S500" i="1" s="1"/>
  <c r="P500" i="1"/>
  <c r="Q500" i="1" s="1"/>
  <c r="N500" i="1"/>
  <c r="O500" i="1" s="1"/>
  <c r="L500" i="1"/>
  <c r="M500" i="1" s="1"/>
  <c r="V499" i="1"/>
  <c r="W499" i="1" s="1"/>
  <c r="T499" i="1"/>
  <c r="U499" i="1" s="1"/>
  <c r="R499" i="1"/>
  <c r="S499" i="1" s="1"/>
  <c r="P499" i="1"/>
  <c r="Q499" i="1" s="1"/>
  <c r="N499" i="1"/>
  <c r="O499" i="1" s="1"/>
  <c r="L499" i="1"/>
  <c r="M499" i="1" s="1"/>
  <c r="V498" i="1"/>
  <c r="W498" i="1" s="1"/>
  <c r="T498" i="1"/>
  <c r="U498" i="1" s="1"/>
  <c r="R498" i="1"/>
  <c r="S498" i="1" s="1"/>
  <c r="P498" i="1"/>
  <c r="Q498" i="1" s="1"/>
  <c r="N498" i="1"/>
  <c r="O498" i="1" s="1"/>
  <c r="L498" i="1"/>
  <c r="M498" i="1" s="1"/>
  <c r="V497" i="1"/>
  <c r="W497" i="1" s="1"/>
  <c r="T497" i="1"/>
  <c r="U497" i="1" s="1"/>
  <c r="R497" i="1"/>
  <c r="S497" i="1" s="1"/>
  <c r="P497" i="1"/>
  <c r="Q497" i="1" s="1"/>
  <c r="N497" i="1"/>
  <c r="O497" i="1" s="1"/>
  <c r="L497" i="1"/>
  <c r="M497" i="1" s="1"/>
  <c r="H748" i="1"/>
  <c r="H747" i="1"/>
  <c r="J748" i="1"/>
  <c r="J747" i="1"/>
  <c r="V748" i="1"/>
  <c r="W748" i="1" s="1"/>
  <c r="T748" i="1"/>
  <c r="U748" i="1" s="1"/>
  <c r="R748" i="1"/>
  <c r="S748" i="1" s="1"/>
  <c r="P748" i="1"/>
  <c r="Q748" i="1" s="1"/>
  <c r="N748" i="1"/>
  <c r="O748" i="1" s="1"/>
  <c r="L748" i="1"/>
  <c r="M748" i="1" s="1"/>
  <c r="V747" i="1"/>
  <c r="W747" i="1" s="1"/>
  <c r="T747" i="1"/>
  <c r="U747" i="1" s="1"/>
  <c r="R747" i="1"/>
  <c r="S747" i="1" s="1"/>
  <c r="P747" i="1"/>
  <c r="Q747" i="1" s="1"/>
  <c r="N747" i="1"/>
  <c r="O747" i="1" s="1"/>
  <c r="L747" i="1"/>
  <c r="M747" i="1" s="1"/>
  <c r="V746" i="1"/>
  <c r="W746" i="1" s="1"/>
  <c r="T746" i="1"/>
  <c r="U746" i="1" s="1"/>
  <c r="R746" i="1"/>
  <c r="S746" i="1" s="1"/>
  <c r="P746" i="1"/>
  <c r="Q746" i="1" s="1"/>
  <c r="N746" i="1"/>
  <c r="O746" i="1" s="1"/>
  <c r="L746" i="1"/>
  <c r="M746" i="1" s="1"/>
  <c r="V744" i="1"/>
  <c r="W744" i="1" s="1"/>
  <c r="T744" i="1"/>
  <c r="U744" i="1" s="1"/>
  <c r="R744" i="1"/>
  <c r="S744" i="1" s="1"/>
  <c r="P744" i="1"/>
  <c r="Q744" i="1" s="1"/>
  <c r="N744" i="1"/>
  <c r="O744" i="1" s="1"/>
  <c r="L744" i="1"/>
  <c r="M744" i="1" s="1"/>
  <c r="V743" i="1"/>
  <c r="W743" i="1" s="1"/>
  <c r="T743" i="1"/>
  <c r="U743" i="1" s="1"/>
  <c r="R743" i="1"/>
  <c r="S743" i="1" s="1"/>
  <c r="P743" i="1"/>
  <c r="Q743" i="1" s="1"/>
  <c r="N743" i="1"/>
  <c r="O743" i="1" s="1"/>
  <c r="L743" i="1"/>
  <c r="M743" i="1" s="1"/>
  <c r="V711" i="1"/>
  <c r="W711" i="1" s="1"/>
  <c r="T711" i="1"/>
  <c r="U711" i="1" s="1"/>
  <c r="R711" i="1"/>
  <c r="S711" i="1" s="1"/>
  <c r="P711" i="1"/>
  <c r="Q711" i="1" s="1"/>
  <c r="V710" i="1"/>
  <c r="W710" i="1" s="1"/>
  <c r="T710" i="1"/>
  <c r="U710" i="1" s="1"/>
  <c r="R710" i="1"/>
  <c r="S710" i="1" s="1"/>
  <c r="P710" i="1"/>
  <c r="Q710" i="1" s="1"/>
  <c r="V709" i="1"/>
  <c r="W709" i="1" s="1"/>
  <c r="T709" i="1"/>
  <c r="U709" i="1" s="1"/>
  <c r="R709" i="1"/>
  <c r="S709" i="1" s="1"/>
  <c r="P709" i="1"/>
  <c r="Q709" i="1" s="1"/>
  <c r="V708" i="1"/>
  <c r="W708" i="1" s="1"/>
  <c r="T708" i="1"/>
  <c r="U708" i="1" s="1"/>
  <c r="R708" i="1"/>
  <c r="S708" i="1" s="1"/>
  <c r="P708" i="1"/>
  <c r="Q708" i="1" s="1"/>
  <c r="V707" i="1"/>
  <c r="W707" i="1" s="1"/>
  <c r="T707" i="1"/>
  <c r="U707" i="1" s="1"/>
  <c r="R707" i="1"/>
  <c r="S707" i="1" s="1"/>
  <c r="P707" i="1"/>
  <c r="Q707" i="1" s="1"/>
  <c r="V706" i="1"/>
  <c r="W706" i="1" s="1"/>
  <c r="T706" i="1"/>
  <c r="U706" i="1" s="1"/>
  <c r="R706" i="1"/>
  <c r="S706" i="1" s="1"/>
  <c r="P706" i="1"/>
  <c r="Q706" i="1" s="1"/>
  <c r="V705" i="1"/>
  <c r="W705" i="1" s="1"/>
  <c r="T705" i="1"/>
  <c r="U705" i="1" s="1"/>
  <c r="R705" i="1"/>
  <c r="S705" i="1" s="1"/>
  <c r="P705" i="1"/>
  <c r="Q705" i="1" s="1"/>
  <c r="V704" i="1"/>
  <c r="W704" i="1" s="1"/>
  <c r="T704" i="1"/>
  <c r="U704" i="1" s="1"/>
  <c r="R704" i="1"/>
  <c r="S704" i="1" s="1"/>
  <c r="P704" i="1"/>
  <c r="Q704" i="1" s="1"/>
  <c r="V733" i="1"/>
  <c r="W733" i="1" s="1"/>
  <c r="T733" i="1"/>
  <c r="U733" i="1" s="1"/>
  <c r="R733" i="1"/>
  <c r="S733" i="1" s="1"/>
  <c r="P733" i="1"/>
  <c r="Q733" i="1" s="1"/>
  <c r="N733" i="1"/>
  <c r="O733" i="1" s="1"/>
  <c r="L733" i="1"/>
  <c r="M733" i="1" s="1"/>
  <c r="J733" i="1"/>
  <c r="K733" i="1" s="1"/>
  <c r="H733" i="1"/>
  <c r="I733" i="1" s="1"/>
  <c r="V732" i="1"/>
  <c r="W732" i="1" s="1"/>
  <c r="T732" i="1"/>
  <c r="U732" i="1" s="1"/>
  <c r="R732" i="1"/>
  <c r="S732" i="1" s="1"/>
  <c r="P732" i="1"/>
  <c r="Q732" i="1" s="1"/>
  <c r="N732" i="1"/>
  <c r="O732" i="1" s="1"/>
  <c r="L732" i="1"/>
  <c r="M732" i="1" s="1"/>
  <c r="J732" i="1"/>
  <c r="K732" i="1" s="1"/>
  <c r="H732" i="1"/>
  <c r="I732" i="1" s="1"/>
  <c r="V730" i="1"/>
  <c r="W730" i="1" s="1"/>
  <c r="T730" i="1"/>
  <c r="U730" i="1" s="1"/>
  <c r="R730" i="1"/>
  <c r="S730" i="1" s="1"/>
  <c r="V729" i="1"/>
  <c r="W729" i="1" s="1"/>
  <c r="T729" i="1"/>
  <c r="U729" i="1" s="1"/>
  <c r="R729" i="1"/>
  <c r="S729" i="1" s="1"/>
  <c r="V728" i="1"/>
  <c r="W728" i="1" s="1"/>
  <c r="T728" i="1"/>
  <c r="U728" i="1" s="1"/>
  <c r="R728" i="1"/>
  <c r="S728" i="1" s="1"/>
  <c r="V727" i="1"/>
  <c r="W727" i="1" s="1"/>
  <c r="T727" i="1"/>
  <c r="U727" i="1" s="1"/>
  <c r="R727" i="1"/>
  <c r="S727" i="1" s="1"/>
  <c r="V726" i="1"/>
  <c r="W726" i="1" s="1"/>
  <c r="T726" i="1"/>
  <c r="U726" i="1" s="1"/>
  <c r="R726" i="1"/>
  <c r="S726" i="1" s="1"/>
  <c r="P726" i="1"/>
  <c r="Q726" i="1" s="1"/>
  <c r="N726" i="1"/>
  <c r="O726" i="1" s="1"/>
  <c r="L726" i="1"/>
  <c r="M726" i="1" s="1"/>
  <c r="W481" i="1" l="1"/>
  <c r="U481" i="1"/>
  <c r="S481" i="1"/>
  <c r="Q481" i="1"/>
  <c r="O481" i="1"/>
  <c r="M481" i="1"/>
  <c r="K481" i="1"/>
  <c r="T752" i="1"/>
  <c r="U752" i="1" s="1"/>
  <c r="T753" i="1"/>
  <c r="U753" i="1" s="1"/>
  <c r="R751" i="1"/>
  <c r="S751" i="1" s="1"/>
  <c r="T749" i="1"/>
  <c r="U749" i="1" s="1"/>
  <c r="R749" i="1"/>
  <c r="S749" i="1" s="1"/>
  <c r="P749" i="1"/>
  <c r="Q749" i="1" s="1"/>
  <c r="N749" i="1"/>
  <c r="O749" i="1" s="1"/>
  <c r="L749" i="1"/>
  <c r="M749" i="1" s="1"/>
  <c r="J749" i="1"/>
  <c r="K749" i="1" s="1"/>
  <c r="T745" i="1"/>
  <c r="U745" i="1" s="1"/>
  <c r="R745" i="1"/>
  <c r="S745" i="1" s="1"/>
  <c r="P745" i="1"/>
  <c r="Q745" i="1" s="1"/>
  <c r="N745" i="1"/>
  <c r="O745" i="1" s="1"/>
  <c r="L745" i="1"/>
  <c r="M745" i="1" s="1"/>
  <c r="J745" i="1"/>
  <c r="K745" i="1" s="1"/>
  <c r="J627" i="1"/>
  <c r="J626" i="1"/>
  <c r="L751" i="1" l="1"/>
  <c r="M751" i="1" s="1"/>
  <c r="N751" i="1"/>
  <c r="O751" i="1" s="1"/>
  <c r="N753" i="1"/>
  <c r="O753" i="1" s="1"/>
  <c r="P753" i="1"/>
  <c r="Q753" i="1" s="1"/>
  <c r="T751" i="1"/>
  <c r="U751" i="1" s="1"/>
  <c r="N752" i="1"/>
  <c r="O752" i="1" s="1"/>
  <c r="P752" i="1"/>
  <c r="Q752" i="1" s="1"/>
  <c r="J752" i="1"/>
  <c r="K752" i="1" s="1"/>
  <c r="R752" i="1"/>
  <c r="S752" i="1" s="1"/>
  <c r="L752" i="1"/>
  <c r="M752" i="1" s="1"/>
  <c r="J753" i="1"/>
  <c r="K753" i="1" s="1"/>
  <c r="R753" i="1"/>
  <c r="S753" i="1" s="1"/>
  <c r="L753" i="1"/>
  <c r="M753" i="1" s="1"/>
  <c r="P751" i="1"/>
  <c r="Q751" i="1" s="1"/>
  <c r="J751" i="1"/>
  <c r="K751" i="1" s="1"/>
  <c r="V585" i="1" l="1"/>
  <c r="W585" i="1" s="1"/>
  <c r="T585" i="1"/>
  <c r="U585" i="1" s="1"/>
  <c r="R585" i="1"/>
  <c r="S585" i="1" s="1"/>
  <c r="P585" i="1"/>
  <c r="Q585" i="1" s="1"/>
  <c r="N585" i="1"/>
  <c r="O585" i="1" s="1"/>
  <c r="L585" i="1"/>
  <c r="M585" i="1" s="1"/>
  <c r="J585" i="1"/>
  <c r="K585" i="1" s="1"/>
  <c r="H585" i="1"/>
  <c r="I585" i="1" s="1"/>
  <c r="V590" i="1"/>
  <c r="W590" i="1" s="1"/>
  <c r="T590" i="1"/>
  <c r="U590" i="1" s="1"/>
  <c r="R590" i="1"/>
  <c r="S590" i="1" s="1"/>
  <c r="P590" i="1"/>
  <c r="Q590" i="1" s="1"/>
  <c r="N590" i="1"/>
  <c r="O590" i="1" s="1"/>
  <c r="L590" i="1"/>
  <c r="M590" i="1" s="1"/>
  <c r="J590" i="1"/>
  <c r="K590" i="1" s="1"/>
  <c r="H590" i="1"/>
  <c r="I590" i="1" s="1"/>
  <c r="V619" i="1"/>
  <c r="W619" i="1" s="1"/>
  <c r="T619" i="1"/>
  <c r="U619" i="1" s="1"/>
  <c r="R619" i="1"/>
  <c r="S619" i="1" s="1"/>
  <c r="P619" i="1"/>
  <c r="Q619" i="1" s="1"/>
  <c r="N619" i="1"/>
  <c r="O619" i="1" s="1"/>
  <c r="L619" i="1"/>
  <c r="M619" i="1" s="1"/>
  <c r="H626" i="1"/>
  <c r="I626" i="1" s="1"/>
  <c r="K626" i="1"/>
  <c r="L626" i="1"/>
  <c r="M626" i="1" s="1"/>
  <c r="N626" i="1"/>
  <c r="O626" i="1" s="1"/>
  <c r="P626" i="1"/>
  <c r="Q626" i="1" s="1"/>
  <c r="R626" i="1"/>
  <c r="S626" i="1" s="1"/>
  <c r="T626" i="1"/>
  <c r="U626" i="1" s="1"/>
  <c r="V626" i="1"/>
  <c r="W626" i="1" s="1"/>
  <c r="H627" i="1"/>
  <c r="I627" i="1" s="1"/>
  <c r="K627" i="1"/>
  <c r="L627" i="1"/>
  <c r="M627" i="1" s="1"/>
  <c r="N627" i="1"/>
  <c r="O627" i="1" s="1"/>
  <c r="P627" i="1"/>
  <c r="Q627" i="1" s="1"/>
  <c r="R627" i="1"/>
  <c r="S627" i="1" s="1"/>
  <c r="T627" i="1"/>
  <c r="U627" i="1" s="1"/>
  <c r="V627" i="1"/>
  <c r="W627" i="1" s="1"/>
  <c r="V615" i="1"/>
  <c r="W615" i="1" s="1"/>
  <c r="T615" i="1"/>
  <c r="U615" i="1" s="1"/>
  <c r="R615" i="1"/>
  <c r="S615" i="1" s="1"/>
  <c r="P615" i="1"/>
  <c r="Q615" i="1" s="1"/>
  <c r="N615" i="1"/>
  <c r="O615" i="1" s="1"/>
  <c r="L615" i="1"/>
  <c r="M615" i="1" s="1"/>
  <c r="K615" i="1"/>
  <c r="H615" i="1"/>
  <c r="I615" i="1" s="1"/>
  <c r="V608" i="1"/>
  <c r="W608" i="1" s="1"/>
  <c r="T608" i="1"/>
  <c r="U608" i="1" s="1"/>
  <c r="R608" i="1"/>
  <c r="S608" i="1" s="1"/>
  <c r="V611" i="1"/>
  <c r="W611" i="1" s="1"/>
  <c r="T611" i="1"/>
  <c r="U611" i="1" s="1"/>
  <c r="R611" i="1"/>
  <c r="S611" i="1" s="1"/>
  <c r="P611" i="1"/>
  <c r="Q611" i="1" s="1"/>
  <c r="N611" i="1"/>
  <c r="O611" i="1" s="1"/>
  <c r="L611" i="1"/>
  <c r="M611" i="1" s="1"/>
  <c r="H533" i="1"/>
  <c r="H532" i="1"/>
  <c r="V538" i="1"/>
  <c r="W538" i="1" s="1"/>
  <c r="T538" i="1"/>
  <c r="U538" i="1" s="1"/>
  <c r="R538" i="1"/>
  <c r="S538" i="1" s="1"/>
  <c r="P538" i="1"/>
  <c r="Q538" i="1" s="1"/>
  <c r="N538" i="1"/>
  <c r="O538" i="1" s="1"/>
  <c r="L538" i="1"/>
  <c r="M538" i="1" s="1"/>
  <c r="J538" i="1"/>
  <c r="K538" i="1" s="1"/>
  <c r="V537" i="1"/>
  <c r="W537" i="1" s="1"/>
  <c r="T537" i="1"/>
  <c r="U537" i="1" s="1"/>
  <c r="R537" i="1"/>
  <c r="S537" i="1" s="1"/>
  <c r="P537" i="1"/>
  <c r="Q537" i="1" s="1"/>
  <c r="N537" i="1"/>
  <c r="O537" i="1" s="1"/>
  <c r="L537" i="1"/>
  <c r="M537" i="1" s="1"/>
  <c r="J537" i="1"/>
  <c r="K537" i="1" s="1"/>
  <c r="V536" i="1"/>
  <c r="W536" i="1" s="1"/>
  <c r="T536" i="1"/>
  <c r="U536" i="1" s="1"/>
  <c r="R536" i="1"/>
  <c r="S536" i="1" s="1"/>
  <c r="P536" i="1"/>
  <c r="Q536" i="1" s="1"/>
  <c r="N536" i="1"/>
  <c r="O536" i="1" s="1"/>
  <c r="L536" i="1"/>
  <c r="M536" i="1" s="1"/>
  <c r="J536" i="1"/>
  <c r="K536" i="1" s="1"/>
  <c r="V533" i="1"/>
  <c r="W533" i="1" s="1"/>
  <c r="T533" i="1"/>
  <c r="U533" i="1" s="1"/>
  <c r="R533" i="1"/>
  <c r="S533" i="1" s="1"/>
  <c r="P533" i="1"/>
  <c r="Q533" i="1" s="1"/>
  <c r="N533" i="1"/>
  <c r="O533" i="1" s="1"/>
  <c r="L533" i="1"/>
  <c r="M533" i="1" s="1"/>
  <c r="J533" i="1"/>
  <c r="K533" i="1" s="1"/>
  <c r="V532" i="1"/>
  <c r="W532" i="1" s="1"/>
  <c r="T532" i="1"/>
  <c r="U532" i="1" s="1"/>
  <c r="R532" i="1"/>
  <c r="S532" i="1" s="1"/>
  <c r="P532" i="1"/>
  <c r="Q532" i="1" s="1"/>
  <c r="N532" i="1"/>
  <c r="O532" i="1" s="1"/>
  <c r="L532" i="1"/>
  <c r="M532" i="1" s="1"/>
  <c r="J532" i="1"/>
  <c r="K532" i="1" s="1"/>
  <c r="J523" i="1"/>
  <c r="V523" i="1"/>
  <c r="W523" i="1" s="1"/>
  <c r="T523" i="1"/>
  <c r="U523" i="1" s="1"/>
  <c r="R523" i="1"/>
  <c r="S523" i="1" s="1"/>
  <c r="P523" i="1"/>
  <c r="Q523" i="1" s="1"/>
  <c r="N523" i="1"/>
  <c r="O523" i="1" s="1"/>
  <c r="L523" i="1"/>
  <c r="M523" i="1" s="1"/>
  <c r="V531" i="1"/>
  <c r="W531" i="1" s="1"/>
  <c r="T531" i="1"/>
  <c r="U531" i="1" s="1"/>
  <c r="R531" i="1"/>
  <c r="S531" i="1" s="1"/>
  <c r="P531" i="1"/>
  <c r="Q531" i="1" s="1"/>
  <c r="N531" i="1"/>
  <c r="O531" i="1" s="1"/>
  <c r="L531" i="1"/>
  <c r="M531" i="1" s="1"/>
  <c r="J531" i="1"/>
  <c r="K531" i="1" s="1"/>
  <c r="V530" i="1"/>
  <c r="W530" i="1" s="1"/>
  <c r="T530" i="1"/>
  <c r="U530" i="1" s="1"/>
  <c r="R530" i="1"/>
  <c r="S530" i="1" s="1"/>
  <c r="P530" i="1"/>
  <c r="Q530" i="1" s="1"/>
  <c r="N530" i="1"/>
  <c r="O530" i="1" s="1"/>
  <c r="L530" i="1"/>
  <c r="M530" i="1" s="1"/>
  <c r="J530" i="1"/>
  <c r="K530" i="1" s="1"/>
  <c r="H530" i="1"/>
  <c r="I530" i="1" s="1"/>
  <c r="V529" i="1"/>
  <c r="W529" i="1" s="1"/>
  <c r="T529" i="1"/>
  <c r="U529" i="1" s="1"/>
  <c r="R529" i="1"/>
  <c r="S529" i="1" s="1"/>
  <c r="P529" i="1"/>
  <c r="Q529" i="1" s="1"/>
  <c r="N529" i="1"/>
  <c r="O529" i="1" s="1"/>
  <c r="L529" i="1"/>
  <c r="M529" i="1" s="1"/>
  <c r="J529" i="1"/>
  <c r="K529" i="1" s="1"/>
  <c r="H529" i="1"/>
  <c r="I529" i="1" s="1"/>
  <c r="L528" i="1"/>
  <c r="M528" i="1" s="1"/>
  <c r="J528" i="1"/>
  <c r="K528" i="1" s="1"/>
  <c r="H528" i="1"/>
  <c r="I528" i="1" s="1"/>
  <c r="V527" i="1"/>
  <c r="W527" i="1" s="1"/>
  <c r="T527" i="1"/>
  <c r="U527" i="1" s="1"/>
  <c r="R527" i="1"/>
  <c r="S527" i="1" s="1"/>
  <c r="P527" i="1"/>
  <c r="Q527" i="1" s="1"/>
  <c r="N527" i="1"/>
  <c r="O527" i="1" s="1"/>
  <c r="L527" i="1"/>
  <c r="M527" i="1" s="1"/>
  <c r="J527" i="1"/>
  <c r="K527" i="1" s="1"/>
  <c r="H527" i="1"/>
  <c r="I527" i="1" s="1"/>
  <c r="T526" i="1"/>
  <c r="V526" i="1"/>
  <c r="R526" i="1"/>
  <c r="P526" i="1"/>
  <c r="N526" i="1"/>
  <c r="V519" i="1"/>
  <c r="W519" i="1" s="1"/>
  <c r="T519" i="1"/>
  <c r="U519" i="1" s="1"/>
  <c r="R519" i="1"/>
  <c r="S519" i="1" s="1"/>
  <c r="P519" i="1"/>
  <c r="Q519" i="1" s="1"/>
  <c r="N519" i="1"/>
  <c r="O519" i="1" s="1"/>
  <c r="L519" i="1"/>
  <c r="M519" i="1" s="1"/>
  <c r="V520" i="1"/>
  <c r="W520" i="1" s="1"/>
  <c r="T520" i="1"/>
  <c r="U520" i="1" s="1"/>
  <c r="R520" i="1"/>
  <c r="S520" i="1" s="1"/>
  <c r="P520" i="1"/>
  <c r="Q520" i="1" s="1"/>
  <c r="N520" i="1"/>
  <c r="O520" i="1" s="1"/>
  <c r="L520" i="1"/>
  <c r="M520" i="1" s="1"/>
  <c r="V521" i="1"/>
  <c r="W521" i="1" s="1"/>
  <c r="T521" i="1"/>
  <c r="U521" i="1" s="1"/>
  <c r="R521" i="1"/>
  <c r="S521" i="1" s="1"/>
  <c r="P521" i="1"/>
  <c r="Q521" i="1" s="1"/>
  <c r="N521" i="1"/>
  <c r="O521" i="1" s="1"/>
  <c r="L521" i="1"/>
  <c r="M521" i="1" s="1"/>
  <c r="V522" i="1"/>
  <c r="W522" i="1" s="1"/>
  <c r="T522" i="1"/>
  <c r="U522" i="1" s="1"/>
  <c r="R522" i="1"/>
  <c r="S522" i="1" s="1"/>
  <c r="P522" i="1"/>
  <c r="Q522" i="1" s="1"/>
  <c r="N522" i="1"/>
  <c r="O522" i="1" s="1"/>
  <c r="L522" i="1"/>
  <c r="M522" i="1" s="1"/>
  <c r="V524" i="1"/>
  <c r="W524" i="1" s="1"/>
  <c r="T524" i="1"/>
  <c r="U524" i="1" s="1"/>
  <c r="R524" i="1"/>
  <c r="S524" i="1" s="1"/>
  <c r="P524" i="1"/>
  <c r="Q524" i="1" s="1"/>
  <c r="N524" i="1"/>
  <c r="O524" i="1" s="1"/>
  <c r="L524" i="1"/>
  <c r="M524" i="1" s="1"/>
  <c r="H526" i="1"/>
  <c r="J526" i="1"/>
  <c r="L526" i="1"/>
  <c r="V525" i="1"/>
  <c r="N525" i="1"/>
  <c r="L525" i="1"/>
  <c r="P525" i="1"/>
  <c r="R525" i="1"/>
  <c r="T525" i="1"/>
  <c r="W469" i="1" l="1"/>
  <c r="W470" i="1"/>
  <c r="H470" i="1"/>
  <c r="N371" i="1"/>
  <c r="O371" i="1" s="1"/>
  <c r="L371" i="1"/>
  <c r="M371" i="1" s="1"/>
  <c r="J371" i="1"/>
  <c r="K371" i="1" s="1"/>
  <c r="H371" i="1"/>
  <c r="I371" i="1" s="1"/>
  <c r="U251" i="1"/>
  <c r="V251" i="1"/>
  <c r="W251" i="1" s="1"/>
  <c r="U254" i="1"/>
  <c r="V254" i="1"/>
  <c r="W254" i="1" s="1"/>
  <c r="V516" i="1"/>
  <c r="W516" i="1" s="1"/>
  <c r="T516" i="1"/>
  <c r="U516" i="1" s="1"/>
  <c r="R516" i="1"/>
  <c r="S516" i="1" s="1"/>
  <c r="P516" i="1"/>
  <c r="Q516" i="1" s="1"/>
  <c r="N516" i="1"/>
  <c r="O516" i="1" s="1"/>
  <c r="L516" i="1"/>
  <c r="M516" i="1" s="1"/>
  <c r="J516" i="1"/>
  <c r="K516" i="1" s="1"/>
  <c r="G500" i="1"/>
  <c r="G499" i="1"/>
  <c r="G498" i="1"/>
  <c r="G497" i="1" l="1"/>
  <c r="V194" i="1"/>
  <c r="W194" i="1" s="1"/>
  <c r="T194" i="1"/>
  <c r="U194" i="1" s="1"/>
  <c r="R194" i="1"/>
  <c r="S194" i="1" s="1"/>
  <c r="P194" i="1"/>
  <c r="Q194" i="1" s="1"/>
  <c r="N194" i="1"/>
  <c r="O194" i="1" s="1"/>
  <c r="L194" i="1"/>
  <c r="M194" i="1" s="1"/>
  <c r="N247" i="1"/>
  <c r="P247" i="1"/>
  <c r="R247" i="1"/>
  <c r="T247" i="1"/>
  <c r="V247" i="1"/>
  <c r="V193" i="1"/>
  <c r="W193" i="1" s="1"/>
  <c r="T193" i="1"/>
  <c r="U193" i="1" s="1"/>
  <c r="R193" i="1"/>
  <c r="S193" i="1" s="1"/>
  <c r="P193" i="1"/>
  <c r="Q193" i="1" s="1"/>
  <c r="N193" i="1"/>
  <c r="O193" i="1" s="1"/>
  <c r="V192" i="1"/>
  <c r="W192" i="1" s="1"/>
  <c r="T192" i="1"/>
  <c r="U192" i="1" s="1"/>
  <c r="R192" i="1"/>
  <c r="S192" i="1" s="1"/>
  <c r="P192" i="1"/>
  <c r="Q192" i="1" s="1"/>
  <c r="N192" i="1"/>
  <c r="O192" i="1" s="1"/>
  <c r="V191" i="1"/>
  <c r="W191" i="1" s="1"/>
  <c r="T191" i="1"/>
  <c r="U191" i="1" s="1"/>
  <c r="R191" i="1"/>
  <c r="S191" i="1" s="1"/>
  <c r="P191" i="1"/>
  <c r="Q191" i="1" s="1"/>
  <c r="N191" i="1"/>
  <c r="O191" i="1" s="1"/>
  <c r="T190" i="1"/>
  <c r="V190" i="1"/>
  <c r="R190" i="1"/>
  <c r="P190" i="1"/>
  <c r="N190" i="1"/>
  <c r="V134" i="1" l="1"/>
  <c r="T134" i="1"/>
  <c r="R134" i="1"/>
  <c r="P134" i="1"/>
  <c r="N134" i="1"/>
  <c r="L134" i="1"/>
  <c r="P133" i="1"/>
  <c r="Q133" i="1" s="1"/>
  <c r="N133" i="1"/>
  <c r="O133" i="1" s="1"/>
  <c r="L133" i="1"/>
  <c r="M133" i="1" s="1"/>
  <c r="J133" i="1"/>
  <c r="K133" i="1" s="1"/>
  <c r="G345" i="1" l="1"/>
  <c r="V268" i="1" l="1"/>
  <c r="W268" i="1" s="1"/>
  <c r="T268" i="1"/>
  <c r="U268" i="1" s="1"/>
  <c r="G269" i="1"/>
  <c r="G268" i="1"/>
  <c r="J655" i="1"/>
  <c r="H651" i="1" l="1"/>
  <c r="I651" i="1" s="1"/>
  <c r="N651" i="1"/>
  <c r="O651" i="1" s="1"/>
  <c r="L651" i="1"/>
  <c r="M651" i="1" s="1"/>
  <c r="T651" i="1"/>
  <c r="U651" i="1" s="1"/>
  <c r="V651" i="1"/>
  <c r="W651" i="1" s="1"/>
  <c r="P651" i="1"/>
  <c r="Q651" i="1" s="1"/>
  <c r="R651" i="1"/>
  <c r="S651" i="1" s="1"/>
  <c r="K651" i="1"/>
  <c r="H655" i="1"/>
  <c r="I655" i="1" s="1"/>
  <c r="N655" i="1"/>
  <c r="O655" i="1" s="1"/>
  <c r="L655" i="1"/>
  <c r="M655" i="1" s="1"/>
  <c r="T655" i="1"/>
  <c r="U655" i="1" s="1"/>
  <c r="V655" i="1"/>
  <c r="W655" i="1" s="1"/>
  <c r="K655" i="1"/>
  <c r="P655" i="1"/>
  <c r="Q655" i="1" s="1"/>
  <c r="R655" i="1"/>
  <c r="S655" i="1" s="1"/>
  <c r="N137" i="1" l="1"/>
  <c r="O137" i="1" s="1"/>
  <c r="L137" i="1"/>
  <c r="M137" i="1" s="1"/>
  <c r="J137" i="1"/>
  <c r="V137" i="1"/>
  <c r="W137" i="1" s="1"/>
  <c r="T137" i="1"/>
  <c r="U137" i="1" s="1"/>
  <c r="R137" i="1"/>
  <c r="S137" i="1" s="1"/>
  <c r="P137" i="1"/>
  <c r="Q137" i="1" s="1"/>
  <c r="G179" i="1"/>
  <c r="L27" i="1" l="1"/>
  <c r="N27" i="1"/>
  <c r="P27" i="1"/>
  <c r="R27" i="1"/>
  <c r="T27" i="1"/>
  <c r="H21" i="1"/>
  <c r="I21" i="1" s="1"/>
  <c r="H22" i="1"/>
  <c r="I22" i="1" s="1"/>
  <c r="W59" i="1"/>
  <c r="U59" i="1"/>
  <c r="S59" i="1"/>
  <c r="Q59" i="1"/>
  <c r="O59" i="1"/>
  <c r="M59" i="1"/>
  <c r="T539" i="1" l="1"/>
  <c r="U539" i="1" s="1"/>
  <c r="L539" i="1"/>
  <c r="M539" i="1" s="1"/>
  <c r="R539" i="1"/>
  <c r="S539" i="1" s="1"/>
  <c r="J539" i="1"/>
  <c r="K539" i="1" s="1"/>
  <c r="P539" i="1"/>
  <c r="Q539" i="1" s="1"/>
  <c r="N539" i="1"/>
  <c r="O539" i="1" s="1"/>
  <c r="H539" i="1"/>
  <c r="I539" i="1" s="1"/>
  <c r="V539" i="1"/>
  <c r="W539" i="1" s="1"/>
  <c r="V540" i="1"/>
  <c r="W540" i="1" s="1"/>
  <c r="P540" i="1"/>
  <c r="Q540" i="1" s="1"/>
  <c r="T540" i="1"/>
  <c r="U540" i="1" s="1"/>
  <c r="J540" i="1"/>
  <c r="K540" i="1" s="1"/>
  <c r="N540" i="1"/>
  <c r="O540" i="1" s="1"/>
  <c r="R540" i="1"/>
  <c r="S540" i="1" s="1"/>
  <c r="L540" i="1"/>
  <c r="M540" i="1" s="1"/>
  <c r="H540" i="1"/>
  <c r="I540" i="1" s="1"/>
  <c r="G540" i="1"/>
  <c r="G539" i="1"/>
  <c r="G705" i="1" l="1"/>
  <c r="G704" i="1"/>
  <c r="G706" i="1"/>
  <c r="G707" i="1"/>
  <c r="G708" i="1"/>
  <c r="G709" i="1"/>
  <c r="G710" i="1"/>
  <c r="G711" i="1"/>
  <c r="G455" i="1" l="1"/>
  <c r="J670" i="1"/>
  <c r="L670" i="1" l="1"/>
  <c r="M670" i="1" s="1"/>
  <c r="R670" i="1"/>
  <c r="S670" i="1" s="1"/>
  <c r="H670" i="1"/>
  <c r="I670" i="1" s="1"/>
  <c r="N670" i="1"/>
  <c r="O670" i="1" s="1"/>
  <c r="K670" i="1"/>
  <c r="P670" i="1"/>
  <c r="Q670" i="1" s="1"/>
  <c r="T670" i="1"/>
  <c r="U670" i="1" s="1"/>
  <c r="V670" i="1"/>
  <c r="W670" i="1" s="1"/>
  <c r="G670" i="1"/>
  <c r="G381" i="1" l="1"/>
  <c r="G453" i="1"/>
  <c r="F246" i="1" l="1"/>
  <c r="R246" i="1" l="1"/>
  <c r="S246" i="1" s="1"/>
  <c r="V246" i="1"/>
  <c r="W246" i="1" s="1"/>
  <c r="T246" i="1"/>
  <c r="U246" i="1" s="1"/>
  <c r="P246" i="1"/>
  <c r="Q246" i="1" s="1"/>
  <c r="N246" i="1"/>
  <c r="O246" i="1" s="1"/>
  <c r="L246" i="1"/>
  <c r="M246" i="1" s="1"/>
  <c r="J246" i="1"/>
  <c r="K246" i="1" s="1"/>
  <c r="H246" i="1"/>
  <c r="I246" i="1" s="1"/>
  <c r="F668" i="1"/>
  <c r="J668" i="1" s="1"/>
  <c r="L668" i="1" l="1"/>
  <c r="M668" i="1" s="1"/>
  <c r="R668" i="1"/>
  <c r="S668" i="1" s="1"/>
  <c r="H668" i="1"/>
  <c r="I668" i="1" s="1"/>
  <c r="N668" i="1"/>
  <c r="O668" i="1" s="1"/>
  <c r="K668" i="1"/>
  <c r="T668" i="1"/>
  <c r="U668" i="1" s="1"/>
  <c r="V668" i="1"/>
  <c r="W668" i="1" s="1"/>
  <c r="P668" i="1"/>
  <c r="Q668" i="1" s="1"/>
  <c r="G668" i="1"/>
  <c r="F102" i="1" l="1"/>
  <c r="R102" i="1" l="1"/>
  <c r="S102" i="1" s="1"/>
  <c r="P102" i="1"/>
  <c r="Q102" i="1" s="1"/>
  <c r="N102" i="1"/>
  <c r="O102" i="1" s="1"/>
  <c r="L102" i="1"/>
  <c r="M102" i="1" s="1"/>
  <c r="J102" i="1"/>
  <c r="K102" i="1" s="1"/>
  <c r="T102" i="1"/>
  <c r="U102" i="1" s="1"/>
  <c r="V102" i="1"/>
  <c r="W102" i="1" s="1"/>
  <c r="G102" i="1"/>
  <c r="G183" i="1" l="1"/>
  <c r="W183" i="1"/>
  <c r="R182" i="1"/>
  <c r="S182" i="1" s="1"/>
  <c r="P182" i="1"/>
  <c r="Q182" i="1" s="1"/>
  <c r="N182" i="1"/>
  <c r="O182" i="1" s="1"/>
  <c r="L182" i="1"/>
  <c r="M182" i="1" s="1"/>
  <c r="J182" i="1"/>
  <c r="K182" i="1" s="1"/>
  <c r="H182" i="1"/>
  <c r="I182" i="1" s="1"/>
  <c r="T182" i="1"/>
  <c r="U182" i="1" s="1"/>
  <c r="V182" i="1"/>
  <c r="W182" i="1" s="1"/>
  <c r="G182" i="1" l="1"/>
  <c r="G177" i="1"/>
  <c r="F602" i="1"/>
  <c r="P602" i="1" l="1"/>
  <c r="Q602" i="1" s="1"/>
  <c r="T602" i="1"/>
  <c r="U602" i="1" s="1"/>
  <c r="N602" i="1"/>
  <c r="O602" i="1" s="1"/>
  <c r="V602" i="1"/>
  <c r="W602" i="1" s="1"/>
  <c r="L602" i="1"/>
  <c r="M602" i="1" s="1"/>
  <c r="R602" i="1"/>
  <c r="S602" i="1" s="1"/>
  <c r="G602" i="1"/>
  <c r="F604" i="1" l="1"/>
  <c r="N604" i="1" l="1"/>
  <c r="O604" i="1" s="1"/>
  <c r="P604" i="1"/>
  <c r="Q604" i="1" s="1"/>
  <c r="T438" i="1" l="1"/>
  <c r="U438" i="1" s="1"/>
  <c r="N438" i="1"/>
  <c r="O438" i="1" s="1"/>
  <c r="J438" i="1"/>
  <c r="K438" i="1" s="1"/>
  <c r="V438" i="1"/>
  <c r="W438" i="1" s="1"/>
  <c r="H438" i="1"/>
  <c r="I438" i="1" s="1"/>
  <c r="L438" i="1"/>
  <c r="M438" i="1" s="1"/>
  <c r="R438" i="1"/>
  <c r="S438" i="1" s="1"/>
  <c r="P438" i="1"/>
  <c r="Q438" i="1" s="1"/>
  <c r="H645" i="1" l="1"/>
  <c r="I645" i="1" s="1"/>
  <c r="L645" i="1"/>
  <c r="M645" i="1" s="1"/>
  <c r="P645" i="1"/>
  <c r="Q645" i="1" s="1"/>
  <c r="T645" i="1"/>
  <c r="U645" i="1" s="1"/>
  <c r="K645" i="1"/>
  <c r="V645" i="1"/>
  <c r="W645" i="1" s="1"/>
  <c r="N645" i="1"/>
  <c r="O645" i="1" s="1"/>
  <c r="R645" i="1"/>
  <c r="S645" i="1" s="1"/>
  <c r="G645" i="1"/>
  <c r="F609" i="1" l="1"/>
  <c r="F451" i="1"/>
  <c r="F450" i="1"/>
  <c r="F206" i="1"/>
  <c r="V450" i="1" l="1"/>
  <c r="W450" i="1" s="1"/>
  <c r="P450" i="1"/>
  <c r="Q450" i="1" s="1"/>
  <c r="H450" i="1"/>
  <c r="I450" i="1" s="1"/>
  <c r="L450" i="1"/>
  <c r="M450" i="1" s="1"/>
  <c r="R450" i="1"/>
  <c r="S450" i="1" s="1"/>
  <c r="T450" i="1"/>
  <c r="U450" i="1" s="1"/>
  <c r="N450" i="1"/>
  <c r="O450" i="1" s="1"/>
  <c r="J450" i="1"/>
  <c r="K450" i="1" s="1"/>
  <c r="V451" i="1"/>
  <c r="W451" i="1" s="1"/>
  <c r="N451" i="1"/>
  <c r="O451" i="1" s="1"/>
  <c r="J451" i="1"/>
  <c r="K451" i="1" s="1"/>
  <c r="P451" i="1"/>
  <c r="Q451" i="1" s="1"/>
  <c r="T451" i="1"/>
  <c r="U451" i="1" s="1"/>
  <c r="L451" i="1"/>
  <c r="M451" i="1" s="1"/>
  <c r="R451" i="1"/>
  <c r="S451" i="1" s="1"/>
  <c r="H451" i="1"/>
  <c r="I451" i="1" s="1"/>
  <c r="R609" i="1"/>
  <c r="S609" i="1" s="1"/>
  <c r="V609" i="1"/>
  <c r="W609" i="1" s="1"/>
  <c r="P609" i="1"/>
  <c r="Q609" i="1" s="1"/>
  <c r="N609" i="1"/>
  <c r="O609" i="1" s="1"/>
  <c r="T609" i="1"/>
  <c r="U609" i="1" s="1"/>
  <c r="V206" i="1"/>
  <c r="W206" i="1" s="1"/>
  <c r="T206" i="1"/>
  <c r="U206" i="1" s="1"/>
  <c r="R206" i="1"/>
  <c r="S206" i="1" s="1"/>
  <c r="P206" i="1"/>
  <c r="Q206" i="1" s="1"/>
  <c r="N206" i="1"/>
  <c r="O206" i="1" s="1"/>
  <c r="L206" i="1"/>
  <c r="M206" i="1" s="1"/>
  <c r="J206" i="1"/>
  <c r="K206" i="1" s="1"/>
  <c r="H206" i="1"/>
  <c r="I206" i="1" s="1"/>
  <c r="G608" i="1"/>
  <c r="G451" i="1"/>
  <c r="G450" i="1"/>
  <c r="G206" i="1"/>
  <c r="N205" i="1" l="1"/>
  <c r="O205" i="1" s="1"/>
  <c r="V205" i="1"/>
  <c r="W205" i="1" s="1"/>
  <c r="T205" i="1"/>
  <c r="U205" i="1" s="1"/>
  <c r="R205" i="1"/>
  <c r="S205" i="1" s="1"/>
  <c r="P205" i="1"/>
  <c r="Q205" i="1" s="1"/>
  <c r="H205" i="1"/>
  <c r="I205" i="1" s="1"/>
  <c r="L205" i="1"/>
  <c r="M205" i="1" s="1"/>
  <c r="J205" i="1"/>
  <c r="K205" i="1" s="1"/>
  <c r="G205" i="1"/>
  <c r="G175" i="1"/>
  <c r="F734" i="1"/>
  <c r="F718" i="1"/>
  <c r="F738" i="1"/>
  <c r="F249" i="1"/>
  <c r="L249" i="1" l="1"/>
  <c r="M249" i="1" s="1"/>
  <c r="P249" i="1"/>
  <c r="Q249" i="1" s="1"/>
  <c r="R249" i="1"/>
  <c r="S249" i="1" s="1"/>
  <c r="H249" i="1"/>
  <c r="I249" i="1" s="1"/>
  <c r="T249" i="1"/>
  <c r="J249" i="1"/>
  <c r="K249" i="1" s="1"/>
  <c r="N249" i="1"/>
  <c r="O249" i="1" s="1"/>
  <c r="T734" i="1"/>
  <c r="U734" i="1" s="1"/>
  <c r="L734" i="1"/>
  <c r="M734" i="1" s="1"/>
  <c r="R734" i="1"/>
  <c r="S734" i="1" s="1"/>
  <c r="J734" i="1"/>
  <c r="K734" i="1" s="1"/>
  <c r="P734" i="1"/>
  <c r="Q734" i="1" s="1"/>
  <c r="V734" i="1"/>
  <c r="W734" i="1" s="1"/>
  <c r="N734" i="1"/>
  <c r="O734" i="1" s="1"/>
  <c r="T738" i="1"/>
  <c r="U738" i="1" s="1"/>
  <c r="J738" i="1"/>
  <c r="K738" i="1" s="1"/>
  <c r="N738" i="1"/>
  <c r="O738" i="1" s="1"/>
  <c r="H738" i="1"/>
  <c r="I738" i="1" s="1"/>
  <c r="P738" i="1"/>
  <c r="Q738" i="1" s="1"/>
  <c r="R738" i="1"/>
  <c r="S738" i="1" s="1"/>
  <c r="L738" i="1"/>
  <c r="M738" i="1" s="1"/>
  <c r="V738" i="1"/>
  <c r="W738" i="1" s="1"/>
  <c r="V718" i="1"/>
  <c r="W718" i="1" s="1"/>
  <c r="J718" i="1"/>
  <c r="K718" i="1" s="1"/>
  <c r="T718" i="1"/>
  <c r="U718" i="1" s="1"/>
  <c r="L718" i="1"/>
  <c r="M718" i="1" s="1"/>
  <c r="P718" i="1"/>
  <c r="Q718" i="1" s="1"/>
  <c r="R718" i="1"/>
  <c r="S718" i="1" s="1"/>
  <c r="N718" i="1"/>
  <c r="O718" i="1" s="1"/>
  <c r="V249" i="1"/>
  <c r="W249" i="1" s="1"/>
  <c r="U249" i="1"/>
  <c r="V267" i="1"/>
  <c r="W267" i="1" s="1"/>
  <c r="T267" i="1"/>
  <c r="U267" i="1" s="1"/>
  <c r="V250" i="1"/>
  <c r="W250" i="1" s="1"/>
  <c r="U250" i="1"/>
  <c r="G734" i="1"/>
  <c r="G718" i="1"/>
  <c r="H718" i="1"/>
  <c r="I718" i="1" s="1"/>
  <c r="G738" i="1"/>
  <c r="G249" i="1"/>
  <c r="G250" i="1"/>
  <c r="G267" i="1" l="1"/>
  <c r="J666" i="1" l="1"/>
  <c r="J665" i="1"/>
  <c r="J664" i="1"/>
  <c r="J653" i="1"/>
  <c r="J628" i="1"/>
  <c r="F584" i="1"/>
  <c r="F583" i="1"/>
  <c r="P614" i="1" l="1"/>
  <c r="Q614" i="1" s="1"/>
  <c r="H614" i="1"/>
  <c r="I614" i="1" s="1"/>
  <c r="V614" i="1"/>
  <c r="W614" i="1" s="1"/>
  <c r="N614" i="1"/>
  <c r="O614" i="1" s="1"/>
  <c r="T614" i="1"/>
  <c r="U614" i="1" s="1"/>
  <c r="L614" i="1"/>
  <c r="M614" i="1" s="1"/>
  <c r="R614" i="1"/>
  <c r="S614" i="1" s="1"/>
  <c r="K614" i="1"/>
  <c r="H636" i="1"/>
  <c r="I636" i="1" s="1"/>
  <c r="L636" i="1"/>
  <c r="M636" i="1" s="1"/>
  <c r="P636" i="1"/>
  <c r="Q636" i="1" s="1"/>
  <c r="T636" i="1"/>
  <c r="U636" i="1" s="1"/>
  <c r="N636" i="1"/>
  <c r="O636" i="1" s="1"/>
  <c r="V636" i="1"/>
  <c r="W636" i="1" s="1"/>
  <c r="R636" i="1"/>
  <c r="S636" i="1" s="1"/>
  <c r="K636" i="1"/>
  <c r="H646" i="1"/>
  <c r="I646" i="1" s="1"/>
  <c r="L646" i="1"/>
  <c r="M646" i="1" s="1"/>
  <c r="P646" i="1"/>
  <c r="Q646" i="1" s="1"/>
  <c r="T646" i="1"/>
  <c r="U646" i="1" s="1"/>
  <c r="K646" i="1"/>
  <c r="V646" i="1"/>
  <c r="W646" i="1" s="1"/>
  <c r="R646" i="1"/>
  <c r="S646" i="1" s="1"/>
  <c r="N646" i="1"/>
  <c r="O646" i="1" s="1"/>
  <c r="V563" i="1"/>
  <c r="L563" i="1"/>
  <c r="R563" i="1"/>
  <c r="J563" i="1"/>
  <c r="P563" i="1"/>
  <c r="N563" i="1"/>
  <c r="T563" i="1"/>
  <c r="H563" i="1"/>
  <c r="T584" i="1"/>
  <c r="U584" i="1" s="1"/>
  <c r="L584" i="1"/>
  <c r="M584" i="1" s="1"/>
  <c r="R584" i="1"/>
  <c r="S584" i="1" s="1"/>
  <c r="J584" i="1"/>
  <c r="K584" i="1" s="1"/>
  <c r="H584" i="1"/>
  <c r="I584" i="1" s="1"/>
  <c r="V584" i="1"/>
  <c r="W584" i="1" s="1"/>
  <c r="P584" i="1"/>
  <c r="Q584" i="1" s="1"/>
  <c r="N584" i="1"/>
  <c r="O584" i="1" s="1"/>
  <c r="H647" i="1"/>
  <c r="I647" i="1" s="1"/>
  <c r="L647" i="1"/>
  <c r="M647" i="1" s="1"/>
  <c r="P647" i="1"/>
  <c r="Q647" i="1" s="1"/>
  <c r="T647" i="1"/>
  <c r="U647" i="1" s="1"/>
  <c r="K647" i="1"/>
  <c r="V647" i="1"/>
  <c r="W647" i="1" s="1"/>
  <c r="N647" i="1"/>
  <c r="O647" i="1" s="1"/>
  <c r="R647" i="1"/>
  <c r="S647" i="1" s="1"/>
  <c r="L664" i="1"/>
  <c r="M664" i="1" s="1"/>
  <c r="R664" i="1"/>
  <c r="S664" i="1" s="1"/>
  <c r="H664" i="1"/>
  <c r="I664" i="1" s="1"/>
  <c r="N664" i="1"/>
  <c r="O664" i="1" s="1"/>
  <c r="K664" i="1"/>
  <c r="T664" i="1"/>
  <c r="U664" i="1" s="1"/>
  <c r="V664" i="1"/>
  <c r="W664" i="1" s="1"/>
  <c r="P664" i="1"/>
  <c r="Q664" i="1" s="1"/>
  <c r="P564" i="1"/>
  <c r="R564" i="1"/>
  <c r="N564" i="1"/>
  <c r="T564" i="1"/>
  <c r="L564" i="1"/>
  <c r="J564" i="1"/>
  <c r="H564" i="1"/>
  <c r="V564" i="1"/>
  <c r="P603" i="1"/>
  <c r="Q603" i="1" s="1"/>
  <c r="N603" i="1"/>
  <c r="O603" i="1" s="1"/>
  <c r="R603" i="1"/>
  <c r="S603" i="1" s="1"/>
  <c r="T603" i="1"/>
  <c r="U603" i="1" s="1"/>
  <c r="K628" i="1"/>
  <c r="T628" i="1"/>
  <c r="U628" i="1" s="1"/>
  <c r="P628" i="1"/>
  <c r="Q628" i="1" s="1"/>
  <c r="V628" i="1"/>
  <c r="W628" i="1" s="1"/>
  <c r="L628" i="1"/>
  <c r="M628" i="1" s="1"/>
  <c r="N628" i="1"/>
  <c r="O628" i="1" s="1"/>
  <c r="R628" i="1"/>
  <c r="S628" i="1" s="1"/>
  <c r="H628" i="1"/>
  <c r="I628" i="1" s="1"/>
  <c r="H652" i="1"/>
  <c r="I652" i="1" s="1"/>
  <c r="N652" i="1"/>
  <c r="O652" i="1" s="1"/>
  <c r="R652" i="1"/>
  <c r="S652" i="1" s="1"/>
  <c r="L652" i="1"/>
  <c r="M652" i="1" s="1"/>
  <c r="T652" i="1"/>
  <c r="U652" i="1" s="1"/>
  <c r="K652" i="1"/>
  <c r="P652" i="1"/>
  <c r="Q652" i="1" s="1"/>
  <c r="V652" i="1"/>
  <c r="W652" i="1" s="1"/>
  <c r="L665" i="1"/>
  <c r="M665" i="1" s="1"/>
  <c r="R665" i="1"/>
  <c r="S665" i="1" s="1"/>
  <c r="H665" i="1"/>
  <c r="I665" i="1" s="1"/>
  <c r="N665" i="1"/>
  <c r="O665" i="1" s="1"/>
  <c r="P665" i="1"/>
  <c r="Q665" i="1" s="1"/>
  <c r="K665" i="1"/>
  <c r="T665" i="1"/>
  <c r="U665" i="1" s="1"/>
  <c r="V665" i="1"/>
  <c r="W665" i="1" s="1"/>
  <c r="T583" i="1"/>
  <c r="U583" i="1" s="1"/>
  <c r="L583" i="1"/>
  <c r="M583" i="1" s="1"/>
  <c r="R583" i="1"/>
  <c r="S583" i="1" s="1"/>
  <c r="J583" i="1"/>
  <c r="K583" i="1" s="1"/>
  <c r="P583" i="1"/>
  <c r="Q583" i="1" s="1"/>
  <c r="N583" i="1"/>
  <c r="O583" i="1" s="1"/>
  <c r="V583" i="1"/>
  <c r="W583" i="1" s="1"/>
  <c r="H583" i="1"/>
  <c r="I583" i="1" s="1"/>
  <c r="H654" i="1"/>
  <c r="I654" i="1" s="1"/>
  <c r="N654" i="1"/>
  <c r="O654" i="1" s="1"/>
  <c r="V654" i="1"/>
  <c r="W654" i="1" s="1"/>
  <c r="K654" i="1"/>
  <c r="P654" i="1"/>
  <c r="Q654" i="1" s="1"/>
  <c r="T654" i="1"/>
  <c r="U654" i="1" s="1"/>
  <c r="L654" i="1"/>
  <c r="M654" i="1" s="1"/>
  <c r="R654" i="1"/>
  <c r="S654" i="1" s="1"/>
  <c r="P620" i="1"/>
  <c r="Q620" i="1" s="1"/>
  <c r="H620" i="1"/>
  <c r="I620" i="1" s="1"/>
  <c r="V620" i="1"/>
  <c r="W620" i="1" s="1"/>
  <c r="N620" i="1"/>
  <c r="O620" i="1" s="1"/>
  <c r="T620" i="1"/>
  <c r="U620" i="1" s="1"/>
  <c r="R620" i="1"/>
  <c r="S620" i="1" s="1"/>
  <c r="L620" i="1"/>
  <c r="M620" i="1" s="1"/>
  <c r="K620" i="1"/>
  <c r="R610" i="1"/>
  <c r="S610" i="1" s="1"/>
  <c r="V610" i="1"/>
  <c r="W610" i="1" s="1"/>
  <c r="P610" i="1"/>
  <c r="Q610" i="1" s="1"/>
  <c r="T610" i="1"/>
  <c r="U610" i="1" s="1"/>
  <c r="N610" i="1"/>
  <c r="O610" i="1" s="1"/>
  <c r="H630" i="1"/>
  <c r="I630" i="1" s="1"/>
  <c r="L630" i="1"/>
  <c r="M630" i="1" s="1"/>
  <c r="P630" i="1"/>
  <c r="Q630" i="1" s="1"/>
  <c r="T630" i="1"/>
  <c r="U630" i="1" s="1"/>
  <c r="N630" i="1"/>
  <c r="O630" i="1" s="1"/>
  <c r="V630" i="1"/>
  <c r="W630" i="1" s="1"/>
  <c r="K630" i="1"/>
  <c r="R630" i="1"/>
  <c r="S630" i="1" s="1"/>
  <c r="H653" i="1"/>
  <c r="I653" i="1" s="1"/>
  <c r="N653" i="1"/>
  <c r="O653" i="1" s="1"/>
  <c r="K653" i="1"/>
  <c r="P653" i="1"/>
  <c r="Q653" i="1" s="1"/>
  <c r="R653" i="1"/>
  <c r="S653" i="1" s="1"/>
  <c r="L653" i="1"/>
  <c r="M653" i="1" s="1"/>
  <c r="T653" i="1"/>
  <c r="U653" i="1" s="1"/>
  <c r="V653" i="1"/>
  <c r="W653" i="1" s="1"/>
  <c r="L666" i="1"/>
  <c r="M666" i="1" s="1"/>
  <c r="R666" i="1"/>
  <c r="S666" i="1" s="1"/>
  <c r="H666" i="1"/>
  <c r="I666" i="1" s="1"/>
  <c r="N666" i="1"/>
  <c r="O666" i="1" s="1"/>
  <c r="K666" i="1"/>
  <c r="T666" i="1"/>
  <c r="U666" i="1" s="1"/>
  <c r="P666" i="1"/>
  <c r="Q666" i="1" s="1"/>
  <c r="V666" i="1"/>
  <c r="W666" i="1" s="1"/>
  <c r="R487" i="1"/>
  <c r="S487" i="1" s="1"/>
  <c r="P487" i="1"/>
  <c r="Q487" i="1" s="1"/>
  <c r="T487" i="1"/>
  <c r="U487" i="1" s="1"/>
  <c r="L487" i="1"/>
  <c r="M487" i="1" s="1"/>
  <c r="H487" i="1"/>
  <c r="I487" i="1" s="1"/>
  <c r="N487" i="1"/>
  <c r="O487" i="1" s="1"/>
  <c r="J487" i="1"/>
  <c r="K487" i="1" s="1"/>
  <c r="G173" i="1"/>
  <c r="G646" i="1"/>
  <c r="F271" i="1" l="1"/>
  <c r="F263" i="1"/>
  <c r="F201" i="1"/>
  <c r="F207" i="1"/>
  <c r="F103" i="1"/>
  <c r="F101" i="1"/>
  <c r="F100" i="1"/>
  <c r="F99" i="1"/>
  <c r="F98" i="1"/>
  <c r="F17" i="1"/>
  <c r="F26" i="1"/>
  <c r="F28" i="1"/>
  <c r="V207" i="1" l="1"/>
  <c r="W207" i="1" s="1"/>
  <c r="T207" i="1"/>
  <c r="U207" i="1" s="1"/>
  <c r="R207" i="1"/>
  <c r="S207" i="1" s="1"/>
  <c r="P207" i="1"/>
  <c r="Q207" i="1" s="1"/>
  <c r="N207" i="1"/>
  <c r="O207" i="1" s="1"/>
  <c r="L207" i="1"/>
  <c r="M207" i="1" s="1"/>
  <c r="J207" i="1"/>
  <c r="K207" i="1" s="1"/>
  <c r="H207" i="1"/>
  <c r="I207" i="1" s="1"/>
  <c r="V201" i="1"/>
  <c r="W201" i="1" s="1"/>
  <c r="T201" i="1"/>
  <c r="U201" i="1" s="1"/>
  <c r="R201" i="1"/>
  <c r="S201" i="1" s="1"/>
  <c r="P201" i="1"/>
  <c r="Q201" i="1" s="1"/>
  <c r="N201" i="1"/>
  <c r="O201" i="1" s="1"/>
  <c r="L201" i="1"/>
  <c r="M201" i="1" s="1"/>
  <c r="R263" i="1"/>
  <c r="S263" i="1" s="1"/>
  <c r="L263" i="1"/>
  <c r="M263" i="1" s="1"/>
  <c r="J263" i="1"/>
  <c r="K263" i="1" s="1"/>
  <c r="H263" i="1"/>
  <c r="I263" i="1" s="1"/>
  <c r="P263" i="1"/>
  <c r="Q263" i="1" s="1"/>
  <c r="N263" i="1"/>
  <c r="O263" i="1" s="1"/>
  <c r="N271" i="1"/>
  <c r="O271" i="1" s="1"/>
  <c r="R271" i="1"/>
  <c r="S271" i="1" s="1"/>
  <c r="H271" i="1"/>
  <c r="I271" i="1" s="1"/>
  <c r="J271" i="1"/>
  <c r="K271" i="1" s="1"/>
  <c r="T271" i="1"/>
  <c r="U271" i="1" s="1"/>
  <c r="L271" i="1"/>
  <c r="M271" i="1" s="1"/>
  <c r="P271" i="1"/>
  <c r="Q271" i="1" s="1"/>
  <c r="R100" i="1"/>
  <c r="S100" i="1" s="1"/>
  <c r="P100" i="1"/>
  <c r="Q100" i="1" s="1"/>
  <c r="N100" i="1"/>
  <c r="O100" i="1" s="1"/>
  <c r="L100" i="1"/>
  <c r="M100" i="1" s="1"/>
  <c r="J100" i="1"/>
  <c r="K100" i="1" s="1"/>
  <c r="H100" i="1"/>
  <c r="I100" i="1" s="1"/>
  <c r="T100" i="1"/>
  <c r="U100" i="1" s="1"/>
  <c r="V100" i="1"/>
  <c r="W100" i="1" s="1"/>
  <c r="H103" i="1"/>
  <c r="V103" i="1"/>
  <c r="W103" i="1" s="1"/>
  <c r="T103" i="1"/>
  <c r="U103" i="1" s="1"/>
  <c r="R103" i="1"/>
  <c r="S103" i="1" s="1"/>
  <c r="P103" i="1"/>
  <c r="Q103" i="1" s="1"/>
  <c r="N103" i="1"/>
  <c r="O103" i="1" s="1"/>
  <c r="L103" i="1"/>
  <c r="M103" i="1" s="1"/>
  <c r="J103" i="1"/>
  <c r="K103" i="1" s="1"/>
  <c r="V98" i="1"/>
  <c r="W98" i="1" s="1"/>
  <c r="T98" i="1"/>
  <c r="U98" i="1" s="1"/>
  <c r="R98" i="1"/>
  <c r="S98" i="1" s="1"/>
  <c r="P98" i="1"/>
  <c r="Q98" i="1" s="1"/>
  <c r="N98" i="1"/>
  <c r="O98" i="1" s="1"/>
  <c r="J98" i="1"/>
  <c r="K98" i="1" s="1"/>
  <c r="H98" i="1"/>
  <c r="I98" i="1" s="1"/>
  <c r="L98" i="1"/>
  <c r="M98" i="1" s="1"/>
  <c r="J99" i="1"/>
  <c r="K99" i="1" s="1"/>
  <c r="V99" i="1"/>
  <c r="W99" i="1" s="1"/>
  <c r="T99" i="1"/>
  <c r="U99" i="1" s="1"/>
  <c r="R99" i="1"/>
  <c r="S99" i="1" s="1"/>
  <c r="P99" i="1"/>
  <c r="Q99" i="1" s="1"/>
  <c r="N99" i="1"/>
  <c r="O99" i="1" s="1"/>
  <c r="L99" i="1"/>
  <c r="M99" i="1" s="1"/>
  <c r="H99" i="1"/>
  <c r="I99" i="1" s="1"/>
  <c r="V101" i="1"/>
  <c r="W101" i="1" s="1"/>
  <c r="T101" i="1"/>
  <c r="U101" i="1" s="1"/>
  <c r="R101" i="1"/>
  <c r="S101" i="1" s="1"/>
  <c r="P101" i="1"/>
  <c r="Q101" i="1" s="1"/>
  <c r="N101" i="1"/>
  <c r="O101" i="1" s="1"/>
  <c r="L101" i="1"/>
  <c r="M101" i="1" s="1"/>
  <c r="J101" i="1"/>
  <c r="K101" i="1" s="1"/>
  <c r="H101" i="1"/>
  <c r="I101" i="1" s="1"/>
  <c r="P26" i="1"/>
  <c r="Q26" i="1" s="1"/>
  <c r="T26" i="1"/>
  <c r="U26" i="1" s="1"/>
  <c r="N26" i="1"/>
  <c r="O26" i="1" s="1"/>
  <c r="R26" i="1"/>
  <c r="S26" i="1" s="1"/>
  <c r="L26" i="1"/>
  <c r="M26" i="1" s="1"/>
  <c r="V429" i="1"/>
  <c r="W429" i="1" s="1"/>
  <c r="N429" i="1"/>
  <c r="O429" i="1" s="1"/>
  <c r="J429" i="1"/>
  <c r="K429" i="1" s="1"/>
  <c r="H429" i="1"/>
  <c r="I429" i="1" s="1"/>
  <c r="T429" i="1"/>
  <c r="U429" i="1" s="1"/>
  <c r="L429" i="1"/>
  <c r="M429" i="1" s="1"/>
  <c r="R429" i="1"/>
  <c r="S429" i="1" s="1"/>
  <c r="P429" i="1"/>
  <c r="Q429" i="1" s="1"/>
  <c r="R439" i="1"/>
  <c r="S439" i="1" s="1"/>
  <c r="L439" i="1"/>
  <c r="M439" i="1" s="1"/>
  <c r="T439" i="1"/>
  <c r="U439" i="1" s="1"/>
  <c r="H439" i="1"/>
  <c r="I439" i="1" s="1"/>
  <c r="V439" i="1"/>
  <c r="W439" i="1" s="1"/>
  <c r="P439" i="1"/>
  <c r="Q439" i="1" s="1"/>
  <c r="J439" i="1"/>
  <c r="K439" i="1" s="1"/>
  <c r="N439" i="1"/>
  <c r="O439" i="1" s="1"/>
  <c r="V181" i="1"/>
  <c r="W181" i="1" s="1"/>
  <c r="T181" i="1"/>
  <c r="U181" i="1" s="1"/>
  <c r="R181" i="1"/>
  <c r="S181" i="1" s="1"/>
  <c r="P181" i="1"/>
  <c r="Q181" i="1" s="1"/>
  <c r="N181" i="1"/>
  <c r="O181" i="1" s="1"/>
  <c r="J181" i="1"/>
  <c r="K181" i="1" s="1"/>
  <c r="L181" i="1"/>
  <c r="M181" i="1" s="1"/>
  <c r="H181" i="1"/>
  <c r="I181" i="1" s="1"/>
  <c r="U257" i="1"/>
  <c r="V257" i="1"/>
  <c r="W257" i="1" s="1"/>
  <c r="G180" i="1"/>
  <c r="R180" i="1"/>
  <c r="S180" i="1" s="1"/>
  <c r="P180" i="1"/>
  <c r="Q180" i="1" s="1"/>
  <c r="N180" i="1"/>
  <c r="O180" i="1" s="1"/>
  <c r="J180" i="1"/>
  <c r="K180" i="1" s="1"/>
  <c r="H180" i="1"/>
  <c r="I180" i="1" s="1"/>
  <c r="T180" i="1"/>
  <c r="U180" i="1" s="1"/>
  <c r="L180" i="1"/>
  <c r="M180" i="1" s="1"/>
  <c r="V180" i="1"/>
  <c r="W180" i="1" s="1"/>
  <c r="U261" i="1"/>
  <c r="V261" i="1"/>
  <c r="W261" i="1" s="1"/>
  <c r="V281" i="1"/>
  <c r="W281" i="1" s="1"/>
  <c r="T263" i="1"/>
  <c r="U263" i="1" s="1"/>
  <c r="V263" i="1"/>
  <c r="W263" i="1" s="1"/>
  <c r="V278" i="1"/>
  <c r="W278" i="1" s="1"/>
  <c r="T264" i="1"/>
  <c r="U264" i="1" s="1"/>
  <c r="V264" i="1"/>
  <c r="W264" i="1" s="1"/>
  <c r="V271" i="1"/>
  <c r="W271" i="1" s="1"/>
  <c r="V272" i="1"/>
  <c r="W272" i="1" s="1"/>
  <c r="V277" i="1"/>
  <c r="W277" i="1" s="1"/>
  <c r="T28" i="1"/>
  <c r="U28" i="1" s="1"/>
  <c r="R28" i="1"/>
  <c r="S28" i="1" s="1"/>
  <c r="P28" i="1"/>
  <c r="Q28" i="1" s="1"/>
  <c r="N28" i="1"/>
  <c r="O28" i="1" s="1"/>
  <c r="L28" i="1"/>
  <c r="M28" i="1" s="1"/>
  <c r="T17" i="1"/>
  <c r="U17" i="1" s="1"/>
  <c r="P17" i="1"/>
  <c r="Q17" i="1" s="1"/>
  <c r="R17" i="1"/>
  <c r="S17" i="1" s="1"/>
  <c r="N17" i="1"/>
  <c r="O17" i="1" s="1"/>
  <c r="L17" i="1"/>
  <c r="M17" i="1" s="1"/>
  <c r="G17" i="1"/>
  <c r="R213" i="1" l="1"/>
  <c r="S213" i="1" s="1"/>
  <c r="V213" i="1"/>
  <c r="W213" i="1" s="1"/>
  <c r="P213" i="1"/>
  <c r="Q213" i="1" s="1"/>
  <c r="N213" i="1"/>
  <c r="O213" i="1" s="1"/>
  <c r="J213" i="1"/>
  <c r="K213" i="1" s="1"/>
  <c r="L213" i="1"/>
  <c r="M213" i="1" s="1"/>
  <c r="T213" i="1"/>
  <c r="U213" i="1" s="1"/>
  <c r="J139" i="1"/>
  <c r="V139" i="1"/>
  <c r="W139" i="1" s="1"/>
  <c r="T139" i="1"/>
  <c r="U139" i="1" s="1"/>
  <c r="N139" i="1"/>
  <c r="O139" i="1" s="1"/>
  <c r="R139" i="1"/>
  <c r="S139" i="1" s="1"/>
  <c r="P139" i="1"/>
  <c r="Q139" i="1" s="1"/>
  <c r="L139" i="1"/>
  <c r="M139" i="1" s="1"/>
  <c r="R138" i="1"/>
  <c r="S138" i="1" s="1"/>
  <c r="P138" i="1"/>
  <c r="Q138" i="1" s="1"/>
  <c r="J138" i="1"/>
  <c r="N138" i="1"/>
  <c r="O138" i="1" s="1"/>
  <c r="L138" i="1"/>
  <c r="M138" i="1" s="1"/>
  <c r="T138" i="1"/>
  <c r="U138" i="1" s="1"/>
  <c r="V138" i="1"/>
  <c r="W138" i="1" s="1"/>
  <c r="F279" i="1"/>
  <c r="J279" i="1" l="1"/>
  <c r="K279" i="1" s="1"/>
  <c r="N279" i="1"/>
  <c r="O279" i="1" s="1"/>
  <c r="P279" i="1"/>
  <c r="Q279" i="1" s="1"/>
  <c r="H279" i="1"/>
  <c r="I279" i="1" s="1"/>
  <c r="T279" i="1"/>
  <c r="U279" i="1" s="1"/>
  <c r="R279" i="1"/>
  <c r="S279" i="1" s="1"/>
  <c r="L279" i="1"/>
  <c r="M279" i="1" s="1"/>
  <c r="T436" i="1"/>
  <c r="U436" i="1" s="1"/>
  <c r="H436" i="1"/>
  <c r="I436" i="1" s="1"/>
  <c r="L436" i="1"/>
  <c r="M436" i="1" s="1"/>
  <c r="P436" i="1"/>
  <c r="Q436" i="1" s="1"/>
  <c r="N436" i="1"/>
  <c r="O436" i="1" s="1"/>
  <c r="R436" i="1"/>
  <c r="S436" i="1" s="1"/>
  <c r="V436" i="1"/>
  <c r="W436" i="1" s="1"/>
  <c r="J436" i="1"/>
  <c r="K436" i="1" s="1"/>
  <c r="I343" i="1"/>
  <c r="K343" i="1"/>
  <c r="P440" i="1"/>
  <c r="Q440" i="1" s="1"/>
  <c r="H440" i="1"/>
  <c r="I440" i="1" s="1"/>
  <c r="T440" i="1"/>
  <c r="U440" i="1" s="1"/>
  <c r="J440" i="1"/>
  <c r="K440" i="1" s="1"/>
  <c r="V440" i="1"/>
  <c r="W440" i="1" s="1"/>
  <c r="N440" i="1"/>
  <c r="O440" i="1" s="1"/>
  <c r="L440" i="1"/>
  <c r="M440" i="1" s="1"/>
  <c r="R440" i="1"/>
  <c r="S440" i="1" s="1"/>
  <c r="T446" i="1"/>
  <c r="U446" i="1" s="1"/>
  <c r="P446" i="1"/>
  <c r="Q446" i="1" s="1"/>
  <c r="H446" i="1"/>
  <c r="I446" i="1" s="1"/>
  <c r="R446" i="1"/>
  <c r="S446" i="1" s="1"/>
  <c r="N446" i="1"/>
  <c r="O446" i="1" s="1"/>
  <c r="L446" i="1"/>
  <c r="M446" i="1" s="1"/>
  <c r="V446" i="1"/>
  <c r="W446" i="1" s="1"/>
  <c r="J446" i="1"/>
  <c r="K446" i="1" s="1"/>
  <c r="V431" i="1"/>
  <c r="W431" i="1" s="1"/>
  <c r="P431" i="1"/>
  <c r="Q431" i="1" s="1"/>
  <c r="J431" i="1"/>
  <c r="K431" i="1" s="1"/>
  <c r="N431" i="1"/>
  <c r="O431" i="1" s="1"/>
  <c r="R431" i="1"/>
  <c r="S431" i="1" s="1"/>
  <c r="T431" i="1"/>
  <c r="U431" i="1" s="1"/>
  <c r="H431" i="1"/>
  <c r="I431" i="1" s="1"/>
  <c r="L431" i="1"/>
  <c r="M431" i="1" s="1"/>
  <c r="T443" i="1"/>
  <c r="U443" i="1" s="1"/>
  <c r="L443" i="1"/>
  <c r="M443" i="1" s="1"/>
  <c r="P443" i="1"/>
  <c r="Q443" i="1" s="1"/>
  <c r="V443" i="1"/>
  <c r="W443" i="1" s="1"/>
  <c r="R443" i="1"/>
  <c r="S443" i="1" s="1"/>
  <c r="J443" i="1"/>
  <c r="K443" i="1" s="1"/>
  <c r="H443" i="1"/>
  <c r="I443" i="1" s="1"/>
  <c r="N443" i="1"/>
  <c r="O443" i="1" s="1"/>
  <c r="T581" i="1"/>
  <c r="U581" i="1" s="1"/>
  <c r="L581" i="1"/>
  <c r="M581" i="1" s="1"/>
  <c r="R581" i="1"/>
  <c r="S581" i="1" s="1"/>
  <c r="J581" i="1"/>
  <c r="K581" i="1" s="1"/>
  <c r="H581" i="1"/>
  <c r="I581" i="1" s="1"/>
  <c r="V581" i="1"/>
  <c r="W581" i="1" s="1"/>
  <c r="P581" i="1"/>
  <c r="Q581" i="1" s="1"/>
  <c r="N581" i="1"/>
  <c r="O581" i="1" s="1"/>
  <c r="N430" i="1"/>
  <c r="O430" i="1" s="1"/>
  <c r="P430" i="1"/>
  <c r="Q430" i="1" s="1"/>
  <c r="T430" i="1"/>
  <c r="U430" i="1" s="1"/>
  <c r="H430" i="1"/>
  <c r="I430" i="1" s="1"/>
  <c r="R430" i="1"/>
  <c r="S430" i="1" s="1"/>
  <c r="L430" i="1"/>
  <c r="M430" i="1" s="1"/>
  <c r="V430" i="1"/>
  <c r="W430" i="1" s="1"/>
  <c r="J430" i="1"/>
  <c r="K430" i="1" s="1"/>
  <c r="T578" i="1"/>
  <c r="U578" i="1" s="1"/>
  <c r="L578" i="1"/>
  <c r="M578" i="1" s="1"/>
  <c r="R578" i="1"/>
  <c r="S578" i="1" s="1"/>
  <c r="J578" i="1"/>
  <c r="K578" i="1" s="1"/>
  <c r="H578" i="1"/>
  <c r="I578" i="1" s="1"/>
  <c r="V578" i="1"/>
  <c r="W578" i="1" s="1"/>
  <c r="P578" i="1"/>
  <c r="Q578" i="1" s="1"/>
  <c r="N578" i="1"/>
  <c r="O578" i="1" s="1"/>
  <c r="T571" i="1"/>
  <c r="U571" i="1" s="1"/>
  <c r="L571" i="1"/>
  <c r="M571" i="1" s="1"/>
  <c r="R571" i="1"/>
  <c r="S571" i="1" s="1"/>
  <c r="J571" i="1"/>
  <c r="K571" i="1" s="1"/>
  <c r="H571" i="1"/>
  <c r="I571" i="1" s="1"/>
  <c r="V571" i="1"/>
  <c r="W571" i="1" s="1"/>
  <c r="P571" i="1"/>
  <c r="Q571" i="1" s="1"/>
  <c r="N571" i="1"/>
  <c r="O571" i="1" s="1"/>
  <c r="V441" i="1"/>
  <c r="W441" i="1" s="1"/>
  <c r="N441" i="1"/>
  <c r="O441" i="1" s="1"/>
  <c r="J441" i="1"/>
  <c r="K441" i="1" s="1"/>
  <c r="H441" i="1"/>
  <c r="I441" i="1" s="1"/>
  <c r="T441" i="1"/>
  <c r="U441" i="1" s="1"/>
  <c r="L441" i="1"/>
  <c r="M441" i="1" s="1"/>
  <c r="R441" i="1"/>
  <c r="S441" i="1" s="1"/>
  <c r="P441" i="1"/>
  <c r="Q441" i="1" s="1"/>
  <c r="R444" i="1"/>
  <c r="S444" i="1" s="1"/>
  <c r="L444" i="1"/>
  <c r="M444" i="1" s="1"/>
  <c r="V444" i="1"/>
  <c r="W444" i="1" s="1"/>
  <c r="P444" i="1"/>
  <c r="Q444" i="1" s="1"/>
  <c r="J444" i="1"/>
  <c r="K444" i="1" s="1"/>
  <c r="T444" i="1"/>
  <c r="U444" i="1" s="1"/>
  <c r="H444" i="1"/>
  <c r="I444" i="1" s="1"/>
  <c r="N444" i="1"/>
  <c r="O444" i="1" s="1"/>
  <c r="T579" i="1"/>
  <c r="U579" i="1" s="1"/>
  <c r="L579" i="1"/>
  <c r="M579" i="1" s="1"/>
  <c r="R579" i="1"/>
  <c r="S579" i="1" s="1"/>
  <c r="J579" i="1"/>
  <c r="K579" i="1" s="1"/>
  <c r="H579" i="1"/>
  <c r="I579" i="1" s="1"/>
  <c r="V579" i="1"/>
  <c r="W579" i="1" s="1"/>
  <c r="P579" i="1"/>
  <c r="Q579" i="1" s="1"/>
  <c r="N579" i="1"/>
  <c r="O579" i="1" s="1"/>
  <c r="T572" i="1"/>
  <c r="U572" i="1" s="1"/>
  <c r="L572" i="1"/>
  <c r="M572" i="1" s="1"/>
  <c r="R572" i="1"/>
  <c r="S572" i="1" s="1"/>
  <c r="J572" i="1"/>
  <c r="K572" i="1" s="1"/>
  <c r="P572" i="1"/>
  <c r="Q572" i="1" s="1"/>
  <c r="N572" i="1"/>
  <c r="O572" i="1" s="1"/>
  <c r="V572" i="1"/>
  <c r="W572" i="1" s="1"/>
  <c r="H572" i="1"/>
  <c r="I572" i="1" s="1"/>
  <c r="R437" i="1"/>
  <c r="S437" i="1" s="1"/>
  <c r="L437" i="1"/>
  <c r="M437" i="1" s="1"/>
  <c r="N437" i="1"/>
  <c r="O437" i="1" s="1"/>
  <c r="V437" i="1"/>
  <c r="W437" i="1" s="1"/>
  <c r="P437" i="1"/>
  <c r="Q437" i="1" s="1"/>
  <c r="J437" i="1"/>
  <c r="K437" i="1" s="1"/>
  <c r="T437" i="1"/>
  <c r="U437" i="1" s="1"/>
  <c r="H437" i="1"/>
  <c r="I437" i="1" s="1"/>
  <c r="N442" i="1"/>
  <c r="O442" i="1" s="1"/>
  <c r="H442" i="1"/>
  <c r="I442" i="1" s="1"/>
  <c r="R442" i="1"/>
  <c r="S442" i="1" s="1"/>
  <c r="V442" i="1"/>
  <c r="W442" i="1" s="1"/>
  <c r="T442" i="1"/>
  <c r="U442" i="1" s="1"/>
  <c r="L442" i="1"/>
  <c r="M442" i="1" s="1"/>
  <c r="J442" i="1"/>
  <c r="K442" i="1" s="1"/>
  <c r="P442" i="1"/>
  <c r="Q442" i="1" s="1"/>
  <c r="V580" i="1"/>
  <c r="W580" i="1" s="1"/>
  <c r="P580" i="1"/>
  <c r="Q580" i="1" s="1"/>
  <c r="T580" i="1"/>
  <c r="U580" i="1" s="1"/>
  <c r="J580" i="1"/>
  <c r="K580" i="1" s="1"/>
  <c r="H580" i="1"/>
  <c r="I580" i="1" s="1"/>
  <c r="R580" i="1"/>
  <c r="S580" i="1" s="1"/>
  <c r="N580" i="1"/>
  <c r="O580" i="1" s="1"/>
  <c r="L580" i="1"/>
  <c r="M580" i="1" s="1"/>
  <c r="V575" i="1"/>
  <c r="W575" i="1" s="1"/>
  <c r="P575" i="1"/>
  <c r="Q575" i="1" s="1"/>
  <c r="T575" i="1"/>
  <c r="U575" i="1" s="1"/>
  <c r="J575" i="1"/>
  <c r="K575" i="1" s="1"/>
  <c r="N575" i="1"/>
  <c r="O575" i="1" s="1"/>
  <c r="L575" i="1"/>
  <c r="M575" i="1" s="1"/>
  <c r="R575" i="1"/>
  <c r="S575" i="1" s="1"/>
  <c r="H575" i="1"/>
  <c r="I575" i="1" s="1"/>
  <c r="V279" i="1"/>
  <c r="W279" i="1" s="1"/>
  <c r="G329" i="1"/>
  <c r="G323" i="1"/>
  <c r="G279" i="1"/>
  <c r="G408" i="1"/>
  <c r="G409" i="1"/>
  <c r="G441" i="1" l="1"/>
  <c r="F515" i="1" l="1"/>
  <c r="G538" i="1"/>
  <c r="F535" i="1"/>
  <c r="F724" i="1"/>
  <c r="F739" i="1"/>
  <c r="V739" i="1" s="1"/>
  <c r="T741" i="1" l="1"/>
  <c r="N741" i="1"/>
  <c r="L741" i="1"/>
  <c r="P741" i="1"/>
  <c r="J741" i="1"/>
  <c r="K741" i="1" s="1"/>
  <c r="R741" i="1"/>
  <c r="R736" i="1"/>
  <c r="P736" i="1"/>
  <c r="T736" i="1"/>
  <c r="J736" i="1"/>
  <c r="K736" i="1" s="1"/>
  <c r="V736" i="1"/>
  <c r="L736" i="1"/>
  <c r="N736" i="1"/>
  <c r="R739" i="1"/>
  <c r="S739" i="1" s="1"/>
  <c r="J739" i="1"/>
  <c r="K739" i="1" s="1"/>
  <c r="P739" i="1"/>
  <c r="Q739" i="1" s="1"/>
  <c r="H739" i="1"/>
  <c r="I739" i="1" s="1"/>
  <c r="T739" i="1"/>
  <c r="U739" i="1" s="1"/>
  <c r="W739" i="1"/>
  <c r="N739" i="1"/>
  <c r="O739" i="1" s="1"/>
  <c r="L739" i="1"/>
  <c r="M739" i="1" s="1"/>
  <c r="R724" i="1"/>
  <c r="S724" i="1" s="1"/>
  <c r="J724" i="1"/>
  <c r="K724" i="1" s="1"/>
  <c r="T724" i="1"/>
  <c r="U724" i="1" s="1"/>
  <c r="L724" i="1"/>
  <c r="M724" i="1" s="1"/>
  <c r="P724" i="1"/>
  <c r="Q724" i="1" s="1"/>
  <c r="H724" i="1"/>
  <c r="I724" i="1" s="1"/>
  <c r="V724" i="1"/>
  <c r="W724" i="1" s="1"/>
  <c r="N724" i="1"/>
  <c r="O724" i="1" s="1"/>
  <c r="R534" i="1"/>
  <c r="S534" i="1" s="1"/>
  <c r="L534" i="1"/>
  <c r="M534" i="1" s="1"/>
  <c r="H534" i="1"/>
  <c r="I534" i="1" s="1"/>
  <c r="V534" i="1"/>
  <c r="W534" i="1" s="1"/>
  <c r="P534" i="1"/>
  <c r="Q534" i="1" s="1"/>
  <c r="N534" i="1"/>
  <c r="O534" i="1" s="1"/>
  <c r="T534" i="1"/>
  <c r="U534" i="1" s="1"/>
  <c r="J534" i="1"/>
  <c r="K534" i="1" s="1"/>
  <c r="H535" i="1"/>
  <c r="I535" i="1" s="1"/>
  <c r="N535" i="1"/>
  <c r="O535" i="1" s="1"/>
  <c r="R535" i="1"/>
  <c r="S535" i="1" s="1"/>
  <c r="L535" i="1"/>
  <c r="M535" i="1" s="1"/>
  <c r="T535" i="1"/>
  <c r="U535" i="1" s="1"/>
  <c r="J535" i="1"/>
  <c r="K535" i="1" s="1"/>
  <c r="V535" i="1"/>
  <c r="W535" i="1" s="1"/>
  <c r="P535" i="1"/>
  <c r="Q535" i="1" s="1"/>
  <c r="T544" i="1"/>
  <c r="U544" i="1" s="1"/>
  <c r="L544" i="1"/>
  <c r="M544" i="1" s="1"/>
  <c r="R544" i="1"/>
  <c r="S544" i="1" s="1"/>
  <c r="J544" i="1"/>
  <c r="K544" i="1" s="1"/>
  <c r="N544" i="1"/>
  <c r="O544" i="1" s="1"/>
  <c r="V544" i="1"/>
  <c r="W544" i="1" s="1"/>
  <c r="P544" i="1"/>
  <c r="Q544" i="1" s="1"/>
  <c r="R518" i="1"/>
  <c r="S518" i="1" s="1"/>
  <c r="H518" i="1"/>
  <c r="I518" i="1" s="1"/>
  <c r="V518" i="1"/>
  <c r="W518" i="1" s="1"/>
  <c r="T518" i="1"/>
  <c r="U518" i="1" s="1"/>
  <c r="P518" i="1"/>
  <c r="Q518" i="1" s="1"/>
  <c r="L518" i="1"/>
  <c r="M518" i="1" s="1"/>
  <c r="N518" i="1"/>
  <c r="O518" i="1" s="1"/>
  <c r="J518" i="1"/>
  <c r="K518" i="1" s="1"/>
  <c r="L515" i="1"/>
  <c r="M515" i="1" s="1"/>
  <c r="J515" i="1"/>
  <c r="K515" i="1" s="1"/>
  <c r="N515" i="1"/>
  <c r="O515" i="1" s="1"/>
  <c r="H515" i="1"/>
  <c r="I515" i="1" s="1"/>
  <c r="V515" i="1"/>
  <c r="W515" i="1" s="1"/>
  <c r="R515" i="1"/>
  <c r="S515" i="1" s="1"/>
  <c r="P515" i="1"/>
  <c r="Q515" i="1" s="1"/>
  <c r="T515" i="1"/>
  <c r="U515" i="1" s="1"/>
  <c r="G535" i="1"/>
  <c r="G534" i="1"/>
  <c r="G724" i="1"/>
  <c r="G739" i="1"/>
  <c r="J667" i="1" l="1"/>
  <c r="L667" i="1" l="1"/>
  <c r="M667" i="1" s="1"/>
  <c r="R667" i="1"/>
  <c r="S667" i="1" s="1"/>
  <c r="H667" i="1"/>
  <c r="I667" i="1" s="1"/>
  <c r="N667" i="1"/>
  <c r="O667" i="1" s="1"/>
  <c r="K667" i="1"/>
  <c r="V667" i="1"/>
  <c r="W667" i="1" s="1"/>
  <c r="P667" i="1"/>
  <c r="Q667" i="1" s="1"/>
  <c r="T667" i="1"/>
  <c r="U667" i="1" s="1"/>
  <c r="H14" i="1"/>
  <c r="R14" i="1"/>
  <c r="J14" i="1"/>
  <c r="T14" i="1"/>
  <c r="L14" i="1"/>
  <c r="P14" i="1"/>
  <c r="N14" i="1"/>
  <c r="G667" i="1"/>
  <c r="G502" i="1"/>
  <c r="G431" i="1" l="1"/>
  <c r="G501" i="1"/>
  <c r="G244" i="1" l="1"/>
  <c r="G585" i="1" l="1"/>
  <c r="S297" i="1" l="1"/>
  <c r="O297" i="1"/>
  <c r="M297" i="1"/>
  <c r="K297" i="1"/>
  <c r="I297" i="1"/>
  <c r="W297" i="1"/>
  <c r="U297" i="1"/>
  <c r="Q297" i="1"/>
  <c r="G297" i="1"/>
  <c r="G277" i="1" l="1"/>
  <c r="F449" i="1" l="1"/>
  <c r="V434" i="1" l="1"/>
  <c r="W434" i="1" s="1"/>
  <c r="N434" i="1"/>
  <c r="O434" i="1" s="1"/>
  <c r="J434" i="1"/>
  <c r="K434" i="1" s="1"/>
  <c r="H434" i="1"/>
  <c r="I434" i="1" s="1"/>
  <c r="T434" i="1"/>
  <c r="U434" i="1" s="1"/>
  <c r="L434" i="1"/>
  <c r="M434" i="1" s="1"/>
  <c r="R434" i="1"/>
  <c r="S434" i="1" s="1"/>
  <c r="P434" i="1"/>
  <c r="Q434" i="1" s="1"/>
  <c r="P449" i="1"/>
  <c r="Q449" i="1" s="1"/>
  <c r="H449" i="1"/>
  <c r="I449" i="1" s="1"/>
  <c r="L449" i="1"/>
  <c r="M449" i="1" s="1"/>
  <c r="R449" i="1"/>
  <c r="S449" i="1" s="1"/>
  <c r="V449" i="1"/>
  <c r="W449" i="1" s="1"/>
  <c r="N449" i="1"/>
  <c r="O449" i="1" s="1"/>
  <c r="T449" i="1"/>
  <c r="U449" i="1" s="1"/>
  <c r="J449" i="1"/>
  <c r="K449" i="1" s="1"/>
  <c r="G449" i="1"/>
  <c r="G434" i="1"/>
  <c r="K523" i="1"/>
  <c r="G523" i="1"/>
  <c r="I683" i="1"/>
  <c r="W525" i="1"/>
  <c r="U525" i="1"/>
  <c r="S525" i="1"/>
  <c r="Q525" i="1"/>
  <c r="O525" i="1"/>
  <c r="M525" i="1"/>
  <c r="P435" i="1" l="1"/>
  <c r="Q435" i="1" s="1"/>
  <c r="H435" i="1"/>
  <c r="I435" i="1" s="1"/>
  <c r="J435" i="1"/>
  <c r="K435" i="1" s="1"/>
  <c r="V435" i="1"/>
  <c r="W435" i="1" s="1"/>
  <c r="N435" i="1"/>
  <c r="O435" i="1" s="1"/>
  <c r="T435" i="1"/>
  <c r="U435" i="1" s="1"/>
  <c r="L435" i="1"/>
  <c r="M435" i="1" s="1"/>
  <c r="R435" i="1"/>
  <c r="S435" i="1" s="1"/>
  <c r="U255" i="1"/>
  <c r="V255" i="1"/>
  <c r="W255" i="1" s="1"/>
  <c r="G610" i="1"/>
  <c r="G255" i="1"/>
  <c r="G435" i="1"/>
  <c r="J496" i="1" l="1"/>
  <c r="K496" i="1" s="1"/>
  <c r="L496" i="1"/>
  <c r="M496" i="1" s="1"/>
  <c r="O496" i="1"/>
  <c r="W496" i="1"/>
  <c r="U496" i="1"/>
  <c r="S496" i="1"/>
  <c r="Q496" i="1"/>
  <c r="G496" i="1"/>
  <c r="G262" i="1" l="1"/>
  <c r="G382" i="1" l="1"/>
  <c r="G647" i="1" l="1"/>
  <c r="P617" i="1" l="1"/>
  <c r="Q617" i="1" s="1"/>
  <c r="H617" i="1"/>
  <c r="I617" i="1" s="1"/>
  <c r="V617" i="1"/>
  <c r="W617" i="1" s="1"/>
  <c r="N617" i="1"/>
  <c r="O617" i="1" s="1"/>
  <c r="T617" i="1"/>
  <c r="U617" i="1" s="1"/>
  <c r="L617" i="1"/>
  <c r="M617" i="1" s="1"/>
  <c r="K617" i="1"/>
  <c r="R617" i="1"/>
  <c r="S617" i="1" s="1"/>
  <c r="H637" i="1"/>
  <c r="I637" i="1" s="1"/>
  <c r="L637" i="1"/>
  <c r="M637" i="1" s="1"/>
  <c r="P637" i="1"/>
  <c r="Q637" i="1" s="1"/>
  <c r="T637" i="1"/>
  <c r="U637" i="1" s="1"/>
  <c r="N637" i="1"/>
  <c r="O637" i="1" s="1"/>
  <c r="V637" i="1"/>
  <c r="W637" i="1" s="1"/>
  <c r="K637" i="1"/>
  <c r="R637" i="1"/>
  <c r="S637" i="1" s="1"/>
  <c r="P616" i="1"/>
  <c r="Q616" i="1" s="1"/>
  <c r="H616" i="1"/>
  <c r="I616" i="1" s="1"/>
  <c r="V616" i="1"/>
  <c r="W616" i="1" s="1"/>
  <c r="N616" i="1"/>
  <c r="O616" i="1" s="1"/>
  <c r="T616" i="1"/>
  <c r="U616" i="1" s="1"/>
  <c r="R616" i="1"/>
  <c r="S616" i="1" s="1"/>
  <c r="L616" i="1"/>
  <c r="M616" i="1" s="1"/>
  <c r="K616" i="1"/>
  <c r="H632" i="1"/>
  <c r="I632" i="1" s="1"/>
  <c r="L632" i="1"/>
  <c r="M632" i="1" s="1"/>
  <c r="P632" i="1"/>
  <c r="Q632" i="1" s="1"/>
  <c r="T632" i="1"/>
  <c r="U632" i="1" s="1"/>
  <c r="N632" i="1"/>
  <c r="O632" i="1" s="1"/>
  <c r="V632" i="1"/>
  <c r="W632" i="1" s="1"/>
  <c r="K632" i="1"/>
  <c r="R632" i="1"/>
  <c r="S632" i="1" s="1"/>
  <c r="P621" i="1"/>
  <c r="Q621" i="1" s="1"/>
  <c r="H621" i="1"/>
  <c r="I621" i="1" s="1"/>
  <c r="V621" i="1"/>
  <c r="W621" i="1" s="1"/>
  <c r="N621" i="1"/>
  <c r="O621" i="1" s="1"/>
  <c r="T621" i="1"/>
  <c r="U621" i="1" s="1"/>
  <c r="L621" i="1"/>
  <c r="M621" i="1" s="1"/>
  <c r="K621" i="1"/>
  <c r="R621" i="1"/>
  <c r="S621" i="1" s="1"/>
  <c r="H624" i="1"/>
  <c r="I624" i="1" s="1"/>
  <c r="L624" i="1"/>
  <c r="M624" i="1" s="1"/>
  <c r="P624" i="1"/>
  <c r="Q624" i="1" s="1"/>
  <c r="T624" i="1"/>
  <c r="U624" i="1" s="1"/>
  <c r="K624" i="1"/>
  <c r="R624" i="1"/>
  <c r="S624" i="1" s="1"/>
  <c r="V624" i="1"/>
  <c r="W624" i="1" s="1"/>
  <c r="N624" i="1"/>
  <c r="O624" i="1" s="1"/>
  <c r="P623" i="1"/>
  <c r="Q623" i="1" s="1"/>
  <c r="H623" i="1"/>
  <c r="I623" i="1" s="1"/>
  <c r="V623" i="1"/>
  <c r="W623" i="1" s="1"/>
  <c r="N623" i="1"/>
  <c r="O623" i="1" s="1"/>
  <c r="T623" i="1"/>
  <c r="U623" i="1" s="1"/>
  <c r="L623" i="1"/>
  <c r="M623" i="1" s="1"/>
  <c r="K623" i="1"/>
  <c r="R623" i="1"/>
  <c r="S623" i="1" s="1"/>
  <c r="G637" i="1"/>
  <c r="G621" i="1"/>
  <c r="G617" i="1"/>
  <c r="F332" i="1" l="1"/>
  <c r="F304" i="1"/>
  <c r="F289" i="1"/>
  <c r="F283" i="1"/>
  <c r="F266" i="1"/>
  <c r="F265" i="1"/>
  <c r="F241" i="1"/>
  <c r="F171" i="1"/>
  <c r="F170" i="1"/>
  <c r="P266" i="1" l="1"/>
  <c r="Q266" i="1" s="1"/>
  <c r="J266" i="1"/>
  <c r="K266" i="1" s="1"/>
  <c r="L266" i="1"/>
  <c r="M266" i="1" s="1"/>
  <c r="N266" i="1"/>
  <c r="O266" i="1" s="1"/>
  <c r="R266" i="1"/>
  <c r="S266" i="1" s="1"/>
  <c r="H266" i="1"/>
  <c r="I266" i="1" s="1"/>
  <c r="H289" i="1"/>
  <c r="I289" i="1" s="1"/>
  <c r="R289" i="1"/>
  <c r="S289" i="1" s="1"/>
  <c r="L289" i="1"/>
  <c r="M289" i="1" s="1"/>
  <c r="N289" i="1"/>
  <c r="O289" i="1" s="1"/>
  <c r="P289" i="1"/>
  <c r="Q289" i="1" s="1"/>
  <c r="T289" i="1"/>
  <c r="U289" i="1" s="1"/>
  <c r="J289" i="1"/>
  <c r="K289" i="1" s="1"/>
  <c r="T241" i="1"/>
  <c r="U241" i="1" s="1"/>
  <c r="R241" i="1"/>
  <c r="S241" i="1" s="1"/>
  <c r="P241" i="1"/>
  <c r="Q241" i="1" s="1"/>
  <c r="J241" i="1"/>
  <c r="K241" i="1" s="1"/>
  <c r="V241" i="1"/>
  <c r="W241" i="1" s="1"/>
  <c r="N241" i="1"/>
  <c r="O241" i="1" s="1"/>
  <c r="L241" i="1"/>
  <c r="M241" i="1" s="1"/>
  <c r="H265" i="1"/>
  <c r="I265" i="1" s="1"/>
  <c r="R265" i="1"/>
  <c r="S265" i="1" s="1"/>
  <c r="N265" i="1"/>
  <c r="O265" i="1" s="1"/>
  <c r="P265" i="1"/>
  <c r="Q265" i="1" s="1"/>
  <c r="L265" i="1"/>
  <c r="M265" i="1" s="1"/>
  <c r="J265" i="1"/>
  <c r="K265" i="1" s="1"/>
  <c r="P283" i="1"/>
  <c r="Q283" i="1" s="1"/>
  <c r="J283" i="1"/>
  <c r="K283" i="1" s="1"/>
  <c r="T283" i="1"/>
  <c r="U283" i="1" s="1"/>
  <c r="L283" i="1"/>
  <c r="M283" i="1" s="1"/>
  <c r="H283" i="1"/>
  <c r="I283" i="1" s="1"/>
  <c r="N283" i="1"/>
  <c r="O283" i="1" s="1"/>
  <c r="R283" i="1"/>
  <c r="S283" i="1" s="1"/>
  <c r="V304" i="1"/>
  <c r="W304" i="1" s="1"/>
  <c r="N304" i="1"/>
  <c r="O304" i="1" s="1"/>
  <c r="T304" i="1"/>
  <c r="U304" i="1" s="1"/>
  <c r="L304" i="1"/>
  <c r="M304" i="1" s="1"/>
  <c r="R304" i="1"/>
  <c r="S304" i="1" s="1"/>
  <c r="J304" i="1"/>
  <c r="K304" i="1" s="1"/>
  <c r="P304" i="1"/>
  <c r="Q304" i="1" s="1"/>
  <c r="H304" i="1"/>
  <c r="I304" i="1" s="1"/>
  <c r="P170" i="1"/>
  <c r="Q170" i="1" s="1"/>
  <c r="T170" i="1"/>
  <c r="U170" i="1" s="1"/>
  <c r="N170" i="1"/>
  <c r="O170" i="1" s="1"/>
  <c r="L170" i="1"/>
  <c r="M170" i="1" s="1"/>
  <c r="J170" i="1"/>
  <c r="K170" i="1" s="1"/>
  <c r="V170" i="1"/>
  <c r="W170" i="1" s="1"/>
  <c r="R170" i="1"/>
  <c r="S170" i="1" s="1"/>
  <c r="V332" i="1"/>
  <c r="W332" i="1" s="1"/>
  <c r="T332" i="1"/>
  <c r="U332" i="1" s="1"/>
  <c r="R332" i="1"/>
  <c r="S332" i="1" s="1"/>
  <c r="P332" i="1"/>
  <c r="Q332" i="1" s="1"/>
  <c r="N332" i="1"/>
  <c r="O332" i="1" s="1"/>
  <c r="L332" i="1"/>
  <c r="M332" i="1" s="1"/>
  <c r="J332" i="1"/>
  <c r="K332" i="1" s="1"/>
  <c r="H332" i="1"/>
  <c r="I332" i="1" s="1"/>
  <c r="H631" i="1"/>
  <c r="I631" i="1" s="1"/>
  <c r="L631" i="1"/>
  <c r="M631" i="1" s="1"/>
  <c r="K631" i="1"/>
  <c r="V274" i="1"/>
  <c r="W274" i="1" s="1"/>
  <c r="V275" i="1"/>
  <c r="W275" i="1" s="1"/>
  <c r="V289" i="1"/>
  <c r="W289" i="1" s="1"/>
  <c r="T266" i="1"/>
  <c r="U266" i="1" s="1"/>
  <c r="V266" i="1"/>
  <c r="W266" i="1" s="1"/>
  <c r="T601" i="1"/>
  <c r="U601" i="1" s="1"/>
  <c r="K601" i="1"/>
  <c r="V601" i="1"/>
  <c r="W601" i="1" s="1"/>
  <c r="N601" i="1"/>
  <c r="O601" i="1" s="1"/>
  <c r="P601" i="1"/>
  <c r="Q601" i="1" s="1"/>
  <c r="L601" i="1"/>
  <c r="M601" i="1" s="1"/>
  <c r="R601" i="1"/>
  <c r="S601" i="1" s="1"/>
  <c r="U253" i="1"/>
  <c r="V253" i="1"/>
  <c r="W253" i="1" s="1"/>
  <c r="V287" i="1"/>
  <c r="W287" i="1" s="1"/>
  <c r="V265" i="1"/>
  <c r="W265" i="1" s="1"/>
  <c r="T265" i="1"/>
  <c r="U265" i="1" s="1"/>
  <c r="V283" i="1"/>
  <c r="W283" i="1" s="1"/>
  <c r="J171" i="1"/>
  <c r="K171" i="1" s="1"/>
  <c r="H171" i="1"/>
  <c r="V171" i="1"/>
  <c r="W171" i="1" s="1"/>
  <c r="T171" i="1"/>
  <c r="U171" i="1" s="1"/>
  <c r="R171" i="1"/>
  <c r="S171" i="1" s="1"/>
  <c r="L171" i="1"/>
  <c r="M171" i="1" s="1"/>
  <c r="P171" i="1"/>
  <c r="Q171" i="1" s="1"/>
  <c r="N171" i="1"/>
  <c r="O171" i="1" s="1"/>
  <c r="V256" i="1"/>
  <c r="W256" i="1" s="1"/>
  <c r="U256" i="1"/>
  <c r="G289" i="1"/>
  <c r="G253" i="1"/>
  <c r="G601" i="1"/>
  <c r="G401" i="1" l="1"/>
  <c r="H606" i="1" l="1"/>
  <c r="T606" i="1"/>
  <c r="U606" i="1" s="1"/>
  <c r="L606" i="1"/>
  <c r="M606" i="1" s="1"/>
  <c r="R606" i="1"/>
  <c r="S606" i="1" s="1"/>
  <c r="K606" i="1"/>
  <c r="N606" i="1"/>
  <c r="O606" i="1" s="1"/>
  <c r="V606" i="1"/>
  <c r="W606" i="1" s="1"/>
  <c r="P606" i="1"/>
  <c r="Q606" i="1" s="1"/>
  <c r="W676" i="1"/>
  <c r="U676" i="1"/>
  <c r="S676" i="1"/>
  <c r="Q676" i="1"/>
  <c r="O676" i="1"/>
  <c r="M676" i="1"/>
  <c r="K676" i="1"/>
  <c r="N750" i="1" l="1"/>
  <c r="O750" i="1" s="1"/>
  <c r="P750" i="1"/>
  <c r="Q750" i="1" s="1"/>
  <c r="T750" i="1"/>
  <c r="U750" i="1" s="1"/>
  <c r="L750" i="1"/>
  <c r="M750" i="1" s="1"/>
  <c r="R750" i="1"/>
  <c r="S750" i="1" s="1"/>
  <c r="J750" i="1"/>
  <c r="K750" i="1" s="1"/>
  <c r="G327" i="1"/>
  <c r="G335" i="1" l="1"/>
  <c r="V517" i="1" l="1"/>
  <c r="W517" i="1" s="1"/>
  <c r="T517" i="1"/>
  <c r="U517" i="1" s="1"/>
  <c r="P517" i="1"/>
  <c r="Q517" i="1" s="1"/>
  <c r="J517" i="1"/>
  <c r="K517" i="1" s="1"/>
  <c r="L517" i="1"/>
  <c r="M517" i="1" s="1"/>
  <c r="N517" i="1"/>
  <c r="O517" i="1" s="1"/>
  <c r="H517" i="1"/>
  <c r="I517" i="1" s="1"/>
  <c r="R517" i="1"/>
  <c r="S517" i="1" s="1"/>
  <c r="G429" i="1"/>
  <c r="V541" i="1" l="1"/>
  <c r="P541" i="1"/>
  <c r="T541" i="1"/>
  <c r="R541" i="1"/>
  <c r="H541" i="1"/>
  <c r="N541" i="1"/>
  <c r="J541" i="1"/>
  <c r="L541" i="1"/>
  <c r="T542" i="1"/>
  <c r="U542" i="1" s="1"/>
  <c r="L542" i="1"/>
  <c r="M542" i="1" s="1"/>
  <c r="R542" i="1"/>
  <c r="S542" i="1" s="1"/>
  <c r="J542" i="1"/>
  <c r="K542" i="1" s="1"/>
  <c r="H542" i="1"/>
  <c r="I542" i="1" s="1"/>
  <c r="V542" i="1"/>
  <c r="W542" i="1" s="1"/>
  <c r="P542" i="1"/>
  <c r="Q542" i="1" s="1"/>
  <c r="N542" i="1"/>
  <c r="O542" i="1" s="1"/>
  <c r="T605" i="1" l="1"/>
  <c r="U605" i="1" s="1"/>
  <c r="N605" i="1"/>
  <c r="O605" i="1" s="1"/>
  <c r="P605" i="1"/>
  <c r="Q605" i="1" s="1"/>
  <c r="V605" i="1"/>
  <c r="W605" i="1" s="1"/>
  <c r="R605" i="1"/>
  <c r="S605" i="1" s="1"/>
  <c r="G605" i="1"/>
  <c r="G604" i="1"/>
  <c r="G603" i="1"/>
  <c r="P622" i="1" l="1"/>
  <c r="Q622" i="1" s="1"/>
  <c r="H622" i="1"/>
  <c r="I622" i="1" s="1"/>
  <c r="V622" i="1"/>
  <c r="W622" i="1" s="1"/>
  <c r="N622" i="1"/>
  <c r="O622" i="1" s="1"/>
  <c r="T622" i="1"/>
  <c r="U622" i="1" s="1"/>
  <c r="R622" i="1"/>
  <c r="S622" i="1" s="1"/>
  <c r="L622" i="1"/>
  <c r="M622" i="1" s="1"/>
  <c r="K622" i="1"/>
  <c r="G622" i="1"/>
  <c r="F258" i="1" l="1"/>
  <c r="F699" i="1"/>
  <c r="G169" i="1"/>
  <c r="N258" i="1" l="1"/>
  <c r="O258" i="1" s="1"/>
  <c r="R258" i="1"/>
  <c r="S258" i="1" s="1"/>
  <c r="J258" i="1"/>
  <c r="K258" i="1" s="1"/>
  <c r="T258" i="1"/>
  <c r="L258" i="1"/>
  <c r="M258" i="1" s="1"/>
  <c r="P258" i="1"/>
  <c r="Q258" i="1" s="1"/>
  <c r="H258" i="1"/>
  <c r="I258" i="1" s="1"/>
  <c r="P492" i="1"/>
  <c r="Q492" i="1" s="1"/>
  <c r="H492" i="1"/>
  <c r="I492" i="1" s="1"/>
  <c r="V492" i="1"/>
  <c r="W492" i="1" s="1"/>
  <c r="N492" i="1"/>
  <c r="O492" i="1" s="1"/>
  <c r="T492" i="1"/>
  <c r="U492" i="1" s="1"/>
  <c r="L492" i="1"/>
  <c r="M492" i="1" s="1"/>
  <c r="R492" i="1"/>
  <c r="S492" i="1" s="1"/>
  <c r="J492" i="1"/>
  <c r="K492" i="1" s="1"/>
  <c r="J699" i="1"/>
  <c r="K699" i="1" s="1"/>
  <c r="P699" i="1"/>
  <c r="Q699" i="1" s="1"/>
  <c r="N699" i="1"/>
  <c r="O699" i="1" s="1"/>
  <c r="L699" i="1"/>
  <c r="M699" i="1" s="1"/>
  <c r="V285" i="1"/>
  <c r="W285" i="1" s="1"/>
  <c r="V258" i="1"/>
  <c r="W258" i="1" s="1"/>
  <c r="U258" i="1"/>
  <c r="G415" i="1"/>
  <c r="G416" i="1"/>
  <c r="G258" i="1"/>
  <c r="G699" i="1"/>
  <c r="G137" i="1"/>
  <c r="K137" i="1"/>
  <c r="G322" i="1" l="1"/>
  <c r="V276" i="1" l="1"/>
  <c r="W276" i="1" s="1"/>
  <c r="G276" i="1"/>
  <c r="G298" i="1"/>
  <c r="G266" i="1" l="1"/>
  <c r="J663" i="1"/>
  <c r="L663" i="1" l="1"/>
  <c r="M663" i="1" s="1"/>
  <c r="R663" i="1"/>
  <c r="S663" i="1" s="1"/>
  <c r="H663" i="1"/>
  <c r="I663" i="1" s="1"/>
  <c r="N663" i="1"/>
  <c r="O663" i="1" s="1"/>
  <c r="V663" i="1"/>
  <c r="W663" i="1" s="1"/>
  <c r="P663" i="1"/>
  <c r="Q663" i="1" s="1"/>
  <c r="K663" i="1"/>
  <c r="T663" i="1"/>
  <c r="U663" i="1" s="1"/>
  <c r="G663" i="1"/>
  <c r="G303" i="1" l="1"/>
  <c r="G285" i="1"/>
  <c r="G365" i="1" l="1"/>
  <c r="T565" i="1" l="1"/>
  <c r="U565" i="1" s="1"/>
  <c r="L565" i="1"/>
  <c r="M565" i="1" s="1"/>
  <c r="R565" i="1"/>
  <c r="S565" i="1" s="1"/>
  <c r="J565" i="1"/>
  <c r="K565" i="1" s="1"/>
  <c r="P565" i="1"/>
  <c r="Q565" i="1" s="1"/>
  <c r="N565" i="1"/>
  <c r="O565" i="1" s="1"/>
  <c r="V565" i="1"/>
  <c r="W565" i="1" s="1"/>
  <c r="H565" i="1"/>
  <c r="I565" i="1" s="1"/>
  <c r="T566" i="1"/>
  <c r="U566" i="1" s="1"/>
  <c r="L566" i="1"/>
  <c r="M566" i="1" s="1"/>
  <c r="R566" i="1"/>
  <c r="S566" i="1" s="1"/>
  <c r="J566" i="1"/>
  <c r="K566" i="1" s="1"/>
  <c r="P566" i="1"/>
  <c r="Q566" i="1" s="1"/>
  <c r="N566" i="1"/>
  <c r="O566" i="1" s="1"/>
  <c r="H566" i="1"/>
  <c r="I566" i="1" s="1"/>
  <c r="V566" i="1"/>
  <c r="W566" i="1" s="1"/>
  <c r="T567" i="1"/>
  <c r="U567" i="1" s="1"/>
  <c r="L567" i="1"/>
  <c r="M567" i="1" s="1"/>
  <c r="R567" i="1"/>
  <c r="S567" i="1" s="1"/>
  <c r="J567" i="1"/>
  <c r="K567" i="1" s="1"/>
  <c r="P567" i="1"/>
  <c r="Q567" i="1" s="1"/>
  <c r="N567" i="1"/>
  <c r="O567" i="1" s="1"/>
  <c r="H567" i="1"/>
  <c r="I567" i="1" s="1"/>
  <c r="V567" i="1"/>
  <c r="W567" i="1" s="1"/>
  <c r="G378" i="1"/>
  <c r="G744" i="1"/>
  <c r="G743" i="1"/>
  <c r="F700" i="1"/>
  <c r="G531" i="1"/>
  <c r="T700" i="1" l="1"/>
  <c r="U700" i="1" s="1"/>
  <c r="L700" i="1"/>
  <c r="M700" i="1" s="1"/>
  <c r="P700" i="1"/>
  <c r="Q700" i="1" s="1"/>
  <c r="R700" i="1"/>
  <c r="S700" i="1" s="1"/>
  <c r="J700" i="1"/>
  <c r="K700" i="1" s="1"/>
  <c r="H700" i="1"/>
  <c r="I700" i="1" s="1"/>
  <c r="V700" i="1"/>
  <c r="W700" i="1" s="1"/>
  <c r="N700" i="1"/>
  <c r="O700" i="1" s="1"/>
  <c r="G133" i="1" l="1"/>
  <c r="G444" i="1" l="1"/>
  <c r="F735" i="1"/>
  <c r="F698" i="1"/>
  <c r="F568" i="1"/>
  <c r="V735" i="1" l="1"/>
  <c r="W735" i="1" s="1"/>
  <c r="R735" i="1"/>
  <c r="S735" i="1" s="1"/>
  <c r="N735" i="1"/>
  <c r="O735" i="1" s="1"/>
  <c r="T735" i="1"/>
  <c r="U735" i="1" s="1"/>
  <c r="P735" i="1"/>
  <c r="Q735" i="1" s="1"/>
  <c r="L735" i="1"/>
  <c r="M735" i="1" s="1"/>
  <c r="H643" i="1"/>
  <c r="I643" i="1" s="1"/>
  <c r="L643" i="1"/>
  <c r="M643" i="1" s="1"/>
  <c r="P643" i="1"/>
  <c r="Q643" i="1" s="1"/>
  <c r="T643" i="1"/>
  <c r="U643" i="1" s="1"/>
  <c r="K643" i="1"/>
  <c r="V643" i="1"/>
  <c r="W643" i="1" s="1"/>
  <c r="R643" i="1"/>
  <c r="S643" i="1" s="1"/>
  <c r="N643" i="1"/>
  <c r="O643" i="1" s="1"/>
  <c r="T698" i="1"/>
  <c r="U698" i="1" s="1"/>
  <c r="L698" i="1"/>
  <c r="M698" i="1" s="1"/>
  <c r="P698" i="1"/>
  <c r="Q698" i="1" s="1"/>
  <c r="V698" i="1"/>
  <c r="W698" i="1" s="1"/>
  <c r="R698" i="1"/>
  <c r="S698" i="1" s="1"/>
  <c r="J698" i="1"/>
  <c r="K698" i="1" s="1"/>
  <c r="H698" i="1"/>
  <c r="I698" i="1" s="1"/>
  <c r="N698" i="1"/>
  <c r="O698" i="1" s="1"/>
  <c r="T568" i="1"/>
  <c r="U568" i="1" s="1"/>
  <c r="L568" i="1"/>
  <c r="M568" i="1" s="1"/>
  <c r="R568" i="1"/>
  <c r="S568" i="1" s="1"/>
  <c r="J568" i="1"/>
  <c r="K568" i="1" s="1"/>
  <c r="P568" i="1"/>
  <c r="Q568" i="1" s="1"/>
  <c r="N568" i="1"/>
  <c r="O568" i="1" s="1"/>
  <c r="V568" i="1"/>
  <c r="W568" i="1" s="1"/>
  <c r="H568" i="1"/>
  <c r="I568" i="1" s="1"/>
  <c r="H648" i="1"/>
  <c r="I648" i="1" s="1"/>
  <c r="N648" i="1"/>
  <c r="O648" i="1" s="1"/>
  <c r="R648" i="1"/>
  <c r="S648" i="1" s="1"/>
  <c r="L648" i="1"/>
  <c r="M648" i="1" s="1"/>
  <c r="T648" i="1"/>
  <c r="U648" i="1" s="1"/>
  <c r="V648" i="1"/>
  <c r="W648" i="1" s="1"/>
  <c r="P648" i="1"/>
  <c r="Q648" i="1" s="1"/>
  <c r="K648" i="1"/>
  <c r="P613" i="1"/>
  <c r="Q613" i="1" s="1"/>
  <c r="H613" i="1"/>
  <c r="I613" i="1" s="1"/>
  <c r="V613" i="1"/>
  <c r="W613" i="1" s="1"/>
  <c r="N613" i="1"/>
  <c r="O613" i="1" s="1"/>
  <c r="T613" i="1"/>
  <c r="U613" i="1" s="1"/>
  <c r="K613" i="1"/>
  <c r="R613" i="1"/>
  <c r="S613" i="1" s="1"/>
  <c r="L613" i="1"/>
  <c r="M613" i="1" s="1"/>
  <c r="H649" i="1"/>
  <c r="I649" i="1" s="1"/>
  <c r="N649" i="1"/>
  <c r="O649" i="1" s="1"/>
  <c r="K649" i="1"/>
  <c r="P649" i="1"/>
  <c r="Q649" i="1" s="1"/>
  <c r="R649" i="1"/>
  <c r="S649" i="1" s="1"/>
  <c r="T649" i="1"/>
  <c r="U649" i="1" s="1"/>
  <c r="V649" i="1"/>
  <c r="W649" i="1" s="1"/>
  <c r="L649" i="1"/>
  <c r="M649" i="1" s="1"/>
  <c r="Q344" i="1"/>
  <c r="W344" i="1"/>
  <c r="O344" i="1"/>
  <c r="U344" i="1"/>
  <c r="M344" i="1"/>
  <c r="S344" i="1"/>
  <c r="H635" i="1"/>
  <c r="I635" i="1" s="1"/>
  <c r="L635" i="1"/>
  <c r="M635" i="1" s="1"/>
  <c r="P635" i="1"/>
  <c r="Q635" i="1" s="1"/>
  <c r="T635" i="1"/>
  <c r="U635" i="1" s="1"/>
  <c r="N635" i="1"/>
  <c r="O635" i="1" s="1"/>
  <c r="V635" i="1"/>
  <c r="W635" i="1" s="1"/>
  <c r="K635" i="1"/>
  <c r="R635" i="1"/>
  <c r="S635" i="1" s="1"/>
  <c r="H650" i="1"/>
  <c r="I650" i="1" s="1"/>
  <c r="N650" i="1"/>
  <c r="O650" i="1" s="1"/>
  <c r="V650" i="1"/>
  <c r="W650" i="1" s="1"/>
  <c r="K650" i="1"/>
  <c r="P650" i="1"/>
  <c r="Q650" i="1" s="1"/>
  <c r="R650" i="1"/>
  <c r="S650" i="1" s="1"/>
  <c r="L650" i="1"/>
  <c r="M650" i="1" s="1"/>
  <c r="T650" i="1"/>
  <c r="U650" i="1" s="1"/>
  <c r="F594" i="1"/>
  <c r="F593" i="1"/>
  <c r="F454" i="1"/>
  <c r="F221" i="1"/>
  <c r="N454" i="1" l="1"/>
  <c r="O454" i="1" s="1"/>
  <c r="L454" i="1"/>
  <c r="M454" i="1" s="1"/>
  <c r="H454" i="1"/>
  <c r="I454" i="1" s="1"/>
  <c r="P454" i="1"/>
  <c r="Q454" i="1" s="1"/>
  <c r="V454" i="1"/>
  <c r="W454" i="1" s="1"/>
  <c r="T454" i="1"/>
  <c r="U454" i="1" s="1"/>
  <c r="R454" i="1"/>
  <c r="S454" i="1" s="1"/>
  <c r="J454" i="1"/>
  <c r="K454" i="1" s="1"/>
  <c r="J221" i="1"/>
  <c r="K221" i="1" s="1"/>
  <c r="H221" i="1"/>
  <c r="I221" i="1" s="1"/>
  <c r="T221" i="1"/>
  <c r="U221" i="1" s="1"/>
  <c r="N221" i="1"/>
  <c r="O221" i="1" s="1"/>
  <c r="L221" i="1"/>
  <c r="M221" i="1" s="1"/>
  <c r="V221" i="1"/>
  <c r="W221" i="1" s="1"/>
  <c r="R221" i="1"/>
  <c r="S221" i="1" s="1"/>
  <c r="P221" i="1"/>
  <c r="Q221" i="1" s="1"/>
  <c r="R447" i="1"/>
  <c r="S447" i="1" s="1"/>
  <c r="L447" i="1"/>
  <c r="M447" i="1" s="1"/>
  <c r="P447" i="1"/>
  <c r="Q447" i="1" s="1"/>
  <c r="V447" i="1"/>
  <c r="W447" i="1" s="1"/>
  <c r="J447" i="1"/>
  <c r="K447" i="1" s="1"/>
  <c r="T447" i="1"/>
  <c r="U447" i="1" s="1"/>
  <c r="N447" i="1"/>
  <c r="O447" i="1" s="1"/>
  <c r="V593" i="1"/>
  <c r="W593" i="1" s="1"/>
  <c r="P593" i="1"/>
  <c r="Q593" i="1" s="1"/>
  <c r="T593" i="1"/>
  <c r="U593" i="1" s="1"/>
  <c r="J593" i="1"/>
  <c r="K593" i="1" s="1"/>
  <c r="H593" i="1"/>
  <c r="I593" i="1" s="1"/>
  <c r="R593" i="1"/>
  <c r="S593" i="1" s="1"/>
  <c r="N593" i="1"/>
  <c r="O593" i="1" s="1"/>
  <c r="L593" i="1"/>
  <c r="M593" i="1" s="1"/>
  <c r="N432" i="1"/>
  <c r="O432" i="1" s="1"/>
  <c r="P432" i="1"/>
  <c r="Q432" i="1" s="1"/>
  <c r="R432" i="1"/>
  <c r="S432" i="1" s="1"/>
  <c r="L432" i="1"/>
  <c r="M432" i="1" s="1"/>
  <c r="V432" i="1"/>
  <c r="W432" i="1" s="1"/>
  <c r="J432" i="1"/>
  <c r="K432" i="1" s="1"/>
  <c r="T432" i="1"/>
  <c r="U432" i="1" s="1"/>
  <c r="H432" i="1"/>
  <c r="I432" i="1" s="1"/>
  <c r="L594" i="1"/>
  <c r="M594" i="1" s="1"/>
  <c r="J594" i="1"/>
  <c r="K594" i="1" s="1"/>
  <c r="H594" i="1"/>
  <c r="I594" i="1" s="1"/>
  <c r="N594" i="1"/>
  <c r="O594" i="1" s="1"/>
  <c r="G300" i="1" l="1"/>
  <c r="U252" i="1" l="1"/>
  <c r="V252" i="1"/>
  <c r="W252" i="1" s="1"/>
  <c r="V259" i="1"/>
  <c r="W259" i="1" s="1"/>
  <c r="U259" i="1"/>
  <c r="F288" i="1"/>
  <c r="F273" i="1"/>
  <c r="F280" i="1"/>
  <c r="F448" i="1"/>
  <c r="F282" i="1"/>
  <c r="P280" i="1" l="1"/>
  <c r="Q280" i="1" s="1"/>
  <c r="H280" i="1"/>
  <c r="I280" i="1" s="1"/>
  <c r="T280" i="1"/>
  <c r="U280" i="1" s="1"/>
  <c r="J280" i="1"/>
  <c r="K280" i="1" s="1"/>
  <c r="L280" i="1"/>
  <c r="M280" i="1" s="1"/>
  <c r="N280" i="1"/>
  <c r="O280" i="1" s="1"/>
  <c r="R280" i="1"/>
  <c r="S280" i="1" s="1"/>
  <c r="J282" i="1"/>
  <c r="K282" i="1" s="1"/>
  <c r="T282" i="1"/>
  <c r="U282" i="1" s="1"/>
  <c r="N282" i="1"/>
  <c r="O282" i="1" s="1"/>
  <c r="P282" i="1"/>
  <c r="Q282" i="1" s="1"/>
  <c r="H282" i="1"/>
  <c r="I282" i="1" s="1"/>
  <c r="R282" i="1"/>
  <c r="S282" i="1" s="1"/>
  <c r="L282" i="1"/>
  <c r="M282" i="1" s="1"/>
  <c r="H273" i="1"/>
  <c r="I273" i="1" s="1"/>
  <c r="R273" i="1"/>
  <c r="S273" i="1" s="1"/>
  <c r="L273" i="1"/>
  <c r="M273" i="1" s="1"/>
  <c r="N273" i="1"/>
  <c r="O273" i="1" s="1"/>
  <c r="J273" i="1"/>
  <c r="K273" i="1" s="1"/>
  <c r="P273" i="1"/>
  <c r="Q273" i="1" s="1"/>
  <c r="T273" i="1"/>
  <c r="U273" i="1" s="1"/>
  <c r="L288" i="1"/>
  <c r="M288" i="1" s="1"/>
  <c r="P288" i="1"/>
  <c r="Q288" i="1" s="1"/>
  <c r="H288" i="1"/>
  <c r="I288" i="1" s="1"/>
  <c r="R288" i="1"/>
  <c r="S288" i="1" s="1"/>
  <c r="J288" i="1"/>
  <c r="K288" i="1" s="1"/>
  <c r="T288" i="1"/>
  <c r="U288" i="1" s="1"/>
  <c r="N288" i="1"/>
  <c r="O288" i="1" s="1"/>
  <c r="P448" i="1"/>
  <c r="Q448" i="1" s="1"/>
  <c r="H448" i="1"/>
  <c r="I448" i="1" s="1"/>
  <c r="L448" i="1"/>
  <c r="M448" i="1" s="1"/>
  <c r="R448" i="1"/>
  <c r="S448" i="1" s="1"/>
  <c r="V448" i="1"/>
  <c r="W448" i="1" s="1"/>
  <c r="N448" i="1"/>
  <c r="O448" i="1" s="1"/>
  <c r="T448" i="1"/>
  <c r="U448" i="1" s="1"/>
  <c r="J448" i="1"/>
  <c r="K448" i="1" s="1"/>
  <c r="V273" i="1"/>
  <c r="W273" i="1" s="1"/>
  <c r="V280" i="1"/>
  <c r="W280" i="1" s="1"/>
  <c r="V288" i="1"/>
  <c r="W288" i="1" s="1"/>
  <c r="V282" i="1"/>
  <c r="W282" i="1" s="1"/>
  <c r="G202" i="1"/>
  <c r="G288" i="1"/>
  <c r="G654" i="1"/>
  <c r="R725" i="1" l="1"/>
  <c r="S725" i="1" s="1"/>
  <c r="L725" i="1"/>
  <c r="M725" i="1" s="1"/>
  <c r="V725" i="1"/>
  <c r="W725" i="1" s="1"/>
  <c r="P725" i="1"/>
  <c r="Q725" i="1" s="1"/>
  <c r="T725" i="1"/>
  <c r="U725" i="1" s="1"/>
  <c r="J725" i="1"/>
  <c r="K725" i="1" s="1"/>
  <c r="N725" i="1"/>
  <c r="O725" i="1" s="1"/>
  <c r="H725" i="1"/>
  <c r="I725" i="1" s="1"/>
  <c r="F574" i="1"/>
  <c r="F573" i="1"/>
  <c r="T574" i="1" l="1"/>
  <c r="U574" i="1" s="1"/>
  <c r="L574" i="1"/>
  <c r="M574" i="1" s="1"/>
  <c r="R574" i="1"/>
  <c r="S574" i="1" s="1"/>
  <c r="J574" i="1"/>
  <c r="K574" i="1" s="1"/>
  <c r="P574" i="1"/>
  <c r="Q574" i="1" s="1"/>
  <c r="N574" i="1"/>
  <c r="O574" i="1" s="1"/>
  <c r="H574" i="1"/>
  <c r="I574" i="1" s="1"/>
  <c r="V574" i="1"/>
  <c r="W574" i="1" s="1"/>
  <c r="H634" i="1"/>
  <c r="I634" i="1" s="1"/>
  <c r="L634" i="1"/>
  <c r="M634" i="1" s="1"/>
  <c r="P634" i="1"/>
  <c r="Q634" i="1" s="1"/>
  <c r="T634" i="1"/>
  <c r="U634" i="1" s="1"/>
  <c r="N634" i="1"/>
  <c r="O634" i="1" s="1"/>
  <c r="V634" i="1"/>
  <c r="W634" i="1" s="1"/>
  <c r="R634" i="1"/>
  <c r="S634" i="1" s="1"/>
  <c r="K634" i="1"/>
  <c r="T586" i="1"/>
  <c r="U586" i="1" s="1"/>
  <c r="L586" i="1"/>
  <c r="M586" i="1" s="1"/>
  <c r="R586" i="1"/>
  <c r="S586" i="1" s="1"/>
  <c r="J586" i="1"/>
  <c r="K586" i="1" s="1"/>
  <c r="P586" i="1"/>
  <c r="Q586" i="1" s="1"/>
  <c r="N586" i="1"/>
  <c r="O586" i="1" s="1"/>
  <c r="H586" i="1"/>
  <c r="I586" i="1" s="1"/>
  <c r="V586" i="1"/>
  <c r="W586" i="1" s="1"/>
  <c r="H633" i="1"/>
  <c r="I633" i="1" s="1"/>
  <c r="L633" i="1"/>
  <c r="M633" i="1" s="1"/>
  <c r="P633" i="1"/>
  <c r="Q633" i="1" s="1"/>
  <c r="T633" i="1"/>
  <c r="U633" i="1" s="1"/>
  <c r="N633" i="1"/>
  <c r="O633" i="1" s="1"/>
  <c r="V633" i="1"/>
  <c r="W633" i="1" s="1"/>
  <c r="R633" i="1"/>
  <c r="S633" i="1" s="1"/>
  <c r="K633" i="1"/>
  <c r="T587" i="1"/>
  <c r="U587" i="1" s="1"/>
  <c r="L587" i="1"/>
  <c r="M587" i="1" s="1"/>
  <c r="R587" i="1"/>
  <c r="S587" i="1" s="1"/>
  <c r="J587" i="1"/>
  <c r="K587" i="1" s="1"/>
  <c r="H587" i="1"/>
  <c r="I587" i="1" s="1"/>
  <c r="V587" i="1"/>
  <c r="W587" i="1" s="1"/>
  <c r="P587" i="1"/>
  <c r="Q587" i="1" s="1"/>
  <c r="N587" i="1"/>
  <c r="O587" i="1" s="1"/>
  <c r="T573" i="1"/>
  <c r="U573" i="1" s="1"/>
  <c r="L573" i="1"/>
  <c r="M573" i="1" s="1"/>
  <c r="R573" i="1"/>
  <c r="S573" i="1" s="1"/>
  <c r="J573" i="1"/>
  <c r="K573" i="1" s="1"/>
  <c r="H573" i="1"/>
  <c r="I573" i="1" s="1"/>
  <c r="V573" i="1"/>
  <c r="W573" i="1" s="1"/>
  <c r="P573" i="1"/>
  <c r="Q573" i="1" s="1"/>
  <c r="N573" i="1"/>
  <c r="O573" i="1" s="1"/>
  <c r="V588" i="1"/>
  <c r="W588" i="1" s="1"/>
  <c r="P588" i="1"/>
  <c r="Q588" i="1" s="1"/>
  <c r="T588" i="1"/>
  <c r="U588" i="1" s="1"/>
  <c r="J588" i="1"/>
  <c r="K588" i="1" s="1"/>
  <c r="N588" i="1"/>
  <c r="O588" i="1" s="1"/>
  <c r="L588" i="1"/>
  <c r="M588" i="1" s="1"/>
  <c r="R588" i="1"/>
  <c r="S588" i="1" s="1"/>
  <c r="H588" i="1"/>
  <c r="I588" i="1" s="1"/>
  <c r="G633" i="1"/>
  <c r="G261" i="1" l="1"/>
  <c r="G256" i="1"/>
  <c r="G432" i="1"/>
  <c r="W247" i="1" l="1"/>
  <c r="U247" i="1"/>
  <c r="S247" i="1"/>
  <c r="Q247" i="1"/>
  <c r="O247" i="1"/>
  <c r="M247" i="1"/>
  <c r="K247" i="1"/>
  <c r="I247" i="1"/>
  <c r="K389" i="1" l="1"/>
  <c r="G389" i="1"/>
  <c r="W482" i="1"/>
  <c r="U482" i="1"/>
  <c r="S482" i="1"/>
  <c r="Q482" i="1"/>
  <c r="O482" i="1"/>
  <c r="M482" i="1"/>
  <c r="K482" i="1"/>
  <c r="G482" i="1"/>
  <c r="G483" i="1"/>
  <c r="G481" i="1"/>
  <c r="G454" i="1" l="1"/>
  <c r="G387" i="1" l="1"/>
  <c r="G384" i="1"/>
  <c r="G342" i="1"/>
  <c r="W513" i="1" l="1"/>
  <c r="U513" i="1"/>
  <c r="S513" i="1"/>
  <c r="Q513" i="1"/>
  <c r="O513" i="1"/>
  <c r="K138" i="1" l="1"/>
  <c r="G377" i="1"/>
  <c r="G275" i="1"/>
  <c r="G138" i="1"/>
  <c r="G518" i="1"/>
  <c r="G383" i="1" l="1"/>
  <c r="G209" i="1"/>
  <c r="G315" i="1" l="1"/>
  <c r="U131" i="1" l="1"/>
  <c r="S131" i="1"/>
  <c r="Q131" i="1"/>
  <c r="O131" i="1"/>
  <c r="M131" i="1"/>
  <c r="W126" i="1"/>
  <c r="U126" i="1"/>
  <c r="S126" i="1"/>
  <c r="Q126" i="1"/>
  <c r="O126" i="1"/>
  <c r="M126" i="1"/>
  <c r="G321" i="1" l="1"/>
  <c r="G271" i="1"/>
  <c r="U27" i="1" l="1"/>
  <c r="S27" i="1"/>
  <c r="Q27" i="1"/>
  <c r="O27" i="1"/>
  <c r="M27" i="1"/>
  <c r="G282" i="1" l="1"/>
  <c r="G278" i="1"/>
  <c r="J629" i="1" l="1"/>
  <c r="K629" i="1" l="1"/>
  <c r="T629" i="1"/>
  <c r="U629" i="1" s="1"/>
  <c r="P629" i="1"/>
  <c r="Q629" i="1" s="1"/>
  <c r="V629" i="1"/>
  <c r="W629" i="1" s="1"/>
  <c r="R629" i="1"/>
  <c r="S629" i="1" s="1"/>
  <c r="H629" i="1"/>
  <c r="I629" i="1" s="1"/>
  <c r="L629" i="1"/>
  <c r="M629" i="1" s="1"/>
  <c r="N629" i="1"/>
  <c r="O629" i="1" s="1"/>
  <c r="W124" i="1"/>
  <c r="U124" i="1"/>
  <c r="S124" i="1"/>
  <c r="Q124" i="1"/>
  <c r="O124" i="1"/>
  <c r="M124" i="1"/>
  <c r="W129" i="1"/>
  <c r="U129" i="1"/>
  <c r="S129" i="1"/>
  <c r="Q129" i="1"/>
  <c r="O129" i="1"/>
  <c r="M129" i="1"/>
  <c r="S127" i="1"/>
  <c r="K63" i="1" l="1"/>
  <c r="G63" i="1"/>
  <c r="G64" i="1" l="1"/>
  <c r="K64" i="1"/>
  <c r="M64" i="1"/>
  <c r="O64" i="1"/>
  <c r="Q64" i="1"/>
  <c r="S64" i="1"/>
  <c r="U64" i="1"/>
  <c r="W64" i="1"/>
  <c r="W134" i="1" l="1"/>
  <c r="U134" i="1"/>
  <c r="S134" i="1"/>
  <c r="Q134" i="1"/>
  <c r="O134" i="1"/>
  <c r="M134" i="1"/>
  <c r="G134" i="1"/>
  <c r="G516" i="1" l="1"/>
  <c r="G310" i="1"/>
  <c r="G61" i="1" l="1"/>
  <c r="G632" i="1" l="1"/>
  <c r="G579" i="1" l="1"/>
  <c r="G578" i="1"/>
  <c r="G446" i="1" l="1"/>
  <c r="I747" i="1" l="1"/>
  <c r="I748" i="1"/>
  <c r="K748" i="1" l="1"/>
  <c r="G748" i="1"/>
  <c r="G609" i="1" l="1"/>
  <c r="F695" i="1" l="1"/>
  <c r="P695" i="1" l="1"/>
  <c r="Q695" i="1" s="1"/>
  <c r="H695" i="1"/>
  <c r="T695" i="1"/>
  <c r="U695" i="1" s="1"/>
  <c r="R695" i="1"/>
  <c r="S695" i="1" s="1"/>
  <c r="J695" i="1"/>
  <c r="K695" i="1" s="1"/>
  <c r="V695" i="1"/>
  <c r="W695" i="1" s="1"/>
  <c r="N695" i="1"/>
  <c r="O695" i="1" s="1"/>
  <c r="L695" i="1"/>
  <c r="M695" i="1" s="1"/>
  <c r="G695" i="1" l="1"/>
  <c r="I695" i="1"/>
  <c r="U564" i="1" l="1"/>
  <c r="W563" i="1"/>
  <c r="O563" i="1" l="1"/>
  <c r="I563" i="1"/>
  <c r="K563" i="1"/>
  <c r="M563" i="1"/>
  <c r="Q563" i="1"/>
  <c r="S563" i="1"/>
  <c r="U563" i="1"/>
  <c r="W564" i="1"/>
  <c r="M564" i="1"/>
  <c r="O564" i="1"/>
  <c r="K564" i="1"/>
  <c r="Q564" i="1"/>
  <c r="S564" i="1"/>
  <c r="G564" i="1"/>
  <c r="I564" i="1"/>
  <c r="G563" i="1"/>
  <c r="G620" i="1" l="1"/>
  <c r="G653" i="1" l="1"/>
  <c r="G652" i="1"/>
  <c r="J656" i="1" l="1"/>
  <c r="H656" i="1" l="1"/>
  <c r="I656" i="1" s="1"/>
  <c r="N656" i="1"/>
  <c r="O656" i="1" s="1"/>
  <c r="R656" i="1"/>
  <c r="S656" i="1" s="1"/>
  <c r="L656" i="1"/>
  <c r="M656" i="1" s="1"/>
  <c r="T656" i="1"/>
  <c r="U656" i="1" s="1"/>
  <c r="P656" i="1"/>
  <c r="Q656" i="1" s="1"/>
  <c r="K656" i="1"/>
  <c r="V656" i="1"/>
  <c r="W656" i="1" s="1"/>
  <c r="G656" i="1"/>
  <c r="G651" i="1"/>
  <c r="G725" i="1" l="1"/>
  <c r="G700" i="1" l="1"/>
  <c r="G698" i="1"/>
  <c r="F576" i="1"/>
  <c r="T576" i="1" l="1"/>
  <c r="U576" i="1" s="1"/>
  <c r="L576" i="1"/>
  <c r="M576" i="1" s="1"/>
  <c r="R576" i="1"/>
  <c r="S576" i="1" s="1"/>
  <c r="J576" i="1"/>
  <c r="K576" i="1" s="1"/>
  <c r="H576" i="1"/>
  <c r="I576" i="1" s="1"/>
  <c r="V576" i="1"/>
  <c r="W576" i="1" s="1"/>
  <c r="P576" i="1"/>
  <c r="Q576" i="1" s="1"/>
  <c r="N576" i="1"/>
  <c r="O576" i="1" s="1"/>
  <c r="F260" i="1"/>
  <c r="R260" i="1" l="1"/>
  <c r="S260" i="1" s="1"/>
  <c r="L260" i="1"/>
  <c r="M260" i="1" s="1"/>
  <c r="N260" i="1"/>
  <c r="O260" i="1" s="1"/>
  <c r="P260" i="1"/>
  <c r="Q260" i="1" s="1"/>
  <c r="T260" i="1"/>
  <c r="U260" i="1" s="1"/>
  <c r="H260" i="1"/>
  <c r="I260" i="1" s="1"/>
  <c r="J260" i="1"/>
  <c r="K260" i="1" s="1"/>
  <c r="V260" i="1"/>
  <c r="W260" i="1" s="1"/>
  <c r="G14" i="1"/>
  <c r="U14" i="1" l="1"/>
  <c r="S14" i="1"/>
  <c r="Q14" i="1"/>
  <c r="O14" i="1"/>
  <c r="M14" i="1"/>
  <c r="K14" i="1"/>
  <c r="I14" i="1"/>
  <c r="G29" i="1" l="1"/>
  <c r="F582" i="1"/>
  <c r="F570" i="1"/>
  <c r="F569" i="1"/>
  <c r="T570" i="1" l="1"/>
  <c r="U570" i="1" s="1"/>
  <c r="L570" i="1"/>
  <c r="M570" i="1" s="1"/>
  <c r="R570" i="1"/>
  <c r="S570" i="1" s="1"/>
  <c r="J570" i="1"/>
  <c r="K570" i="1" s="1"/>
  <c r="P570" i="1"/>
  <c r="Q570" i="1" s="1"/>
  <c r="N570" i="1"/>
  <c r="O570" i="1" s="1"/>
  <c r="H570" i="1"/>
  <c r="I570" i="1" s="1"/>
  <c r="V570" i="1"/>
  <c r="W570" i="1" s="1"/>
  <c r="T582" i="1"/>
  <c r="U582" i="1" s="1"/>
  <c r="L582" i="1"/>
  <c r="M582" i="1" s="1"/>
  <c r="R582" i="1"/>
  <c r="S582" i="1" s="1"/>
  <c r="J582" i="1"/>
  <c r="K582" i="1" s="1"/>
  <c r="H582" i="1"/>
  <c r="I582" i="1" s="1"/>
  <c r="V582" i="1"/>
  <c r="W582" i="1" s="1"/>
  <c r="P582" i="1"/>
  <c r="Q582" i="1" s="1"/>
  <c r="N582" i="1"/>
  <c r="O582" i="1" s="1"/>
  <c r="V569" i="1"/>
  <c r="W569" i="1" s="1"/>
  <c r="P569" i="1"/>
  <c r="Q569" i="1" s="1"/>
  <c r="T569" i="1"/>
  <c r="U569" i="1" s="1"/>
  <c r="J569" i="1"/>
  <c r="K569" i="1" s="1"/>
  <c r="N569" i="1"/>
  <c r="O569" i="1" s="1"/>
  <c r="L569" i="1"/>
  <c r="M569" i="1" s="1"/>
  <c r="R569" i="1"/>
  <c r="S569" i="1" s="1"/>
  <c r="H569" i="1"/>
  <c r="I569" i="1" s="1"/>
  <c r="G565" i="1"/>
  <c r="F506" i="1"/>
  <c r="F433" i="1"/>
  <c r="V506" i="1" l="1"/>
  <c r="W506" i="1" s="1"/>
  <c r="R506" i="1"/>
  <c r="S506" i="1" s="1"/>
  <c r="J506" i="1"/>
  <c r="K506" i="1" s="1"/>
  <c r="P506" i="1"/>
  <c r="Q506" i="1" s="1"/>
  <c r="N506" i="1"/>
  <c r="O506" i="1" s="1"/>
  <c r="L506" i="1"/>
  <c r="M506" i="1" s="1"/>
  <c r="T506" i="1"/>
  <c r="U506" i="1" s="1"/>
  <c r="N433" i="1"/>
  <c r="O433" i="1" s="1"/>
  <c r="T433" i="1"/>
  <c r="U433" i="1" s="1"/>
  <c r="H433" i="1"/>
  <c r="I433" i="1" s="1"/>
  <c r="R433" i="1"/>
  <c r="S433" i="1" s="1"/>
  <c r="L433" i="1"/>
  <c r="M433" i="1" s="1"/>
  <c r="V433" i="1"/>
  <c r="W433" i="1" s="1"/>
  <c r="J433" i="1"/>
  <c r="K433" i="1" s="1"/>
  <c r="P433" i="1"/>
  <c r="Q433" i="1" s="1"/>
  <c r="F286" i="1"/>
  <c r="F284" i="1"/>
  <c r="F235" i="1"/>
  <c r="F234" i="1"/>
  <c r="F96" i="1"/>
  <c r="L286" i="1" l="1"/>
  <c r="M286" i="1" s="1"/>
  <c r="P286" i="1"/>
  <c r="Q286" i="1" s="1"/>
  <c r="H286" i="1"/>
  <c r="I286" i="1" s="1"/>
  <c r="R286" i="1"/>
  <c r="S286" i="1" s="1"/>
  <c r="J286" i="1"/>
  <c r="K286" i="1" s="1"/>
  <c r="N286" i="1"/>
  <c r="O286" i="1" s="1"/>
  <c r="T286" i="1"/>
  <c r="U286" i="1" s="1"/>
  <c r="V235" i="1"/>
  <c r="W235" i="1" s="1"/>
  <c r="J235" i="1"/>
  <c r="K235" i="1" s="1"/>
  <c r="T235" i="1"/>
  <c r="U235" i="1" s="1"/>
  <c r="L235" i="1"/>
  <c r="M235" i="1" s="1"/>
  <c r="R235" i="1"/>
  <c r="S235" i="1" s="1"/>
  <c r="P235" i="1"/>
  <c r="Q235" i="1" s="1"/>
  <c r="N235" i="1"/>
  <c r="O235" i="1" s="1"/>
  <c r="V234" i="1"/>
  <c r="W234" i="1" s="1"/>
  <c r="J234" i="1"/>
  <c r="K234" i="1" s="1"/>
  <c r="T234" i="1"/>
  <c r="U234" i="1" s="1"/>
  <c r="L234" i="1"/>
  <c r="M234" i="1" s="1"/>
  <c r="R234" i="1"/>
  <c r="S234" i="1" s="1"/>
  <c r="P234" i="1"/>
  <c r="Q234" i="1" s="1"/>
  <c r="N234" i="1"/>
  <c r="O234" i="1" s="1"/>
  <c r="T284" i="1"/>
  <c r="U284" i="1" s="1"/>
  <c r="P284" i="1"/>
  <c r="Q284" i="1" s="1"/>
  <c r="H284" i="1"/>
  <c r="I284" i="1" s="1"/>
  <c r="R284" i="1"/>
  <c r="S284" i="1" s="1"/>
  <c r="J284" i="1"/>
  <c r="K284" i="1" s="1"/>
  <c r="L284" i="1"/>
  <c r="M284" i="1" s="1"/>
  <c r="N284" i="1"/>
  <c r="O284" i="1" s="1"/>
  <c r="J96" i="1"/>
  <c r="K96" i="1" s="1"/>
  <c r="V96" i="1"/>
  <c r="W96" i="1" s="1"/>
  <c r="T96" i="1"/>
  <c r="U96" i="1" s="1"/>
  <c r="R96" i="1"/>
  <c r="S96" i="1" s="1"/>
  <c r="P96" i="1"/>
  <c r="Q96" i="1" s="1"/>
  <c r="N96" i="1"/>
  <c r="O96" i="1" s="1"/>
  <c r="L96" i="1"/>
  <c r="M96" i="1" s="1"/>
  <c r="O355" i="1"/>
  <c r="M355" i="1"/>
  <c r="V286" i="1"/>
  <c r="W286" i="1" s="1"/>
  <c r="V155" i="1"/>
  <c r="W155" i="1" s="1"/>
  <c r="T155" i="1"/>
  <c r="U155" i="1" s="1"/>
  <c r="R155" i="1"/>
  <c r="S155" i="1" s="1"/>
  <c r="P155" i="1"/>
  <c r="Q155" i="1" s="1"/>
  <c r="N155" i="1"/>
  <c r="O155" i="1" s="1"/>
  <c r="H155" i="1"/>
  <c r="I155" i="1" s="1"/>
  <c r="L155" i="1"/>
  <c r="M155" i="1" s="1"/>
  <c r="J155" i="1"/>
  <c r="K155" i="1" s="1"/>
  <c r="V284" i="1"/>
  <c r="W284" i="1" s="1"/>
  <c r="I103" i="1"/>
  <c r="G666" i="1" l="1"/>
  <c r="G374" i="1"/>
  <c r="G373" i="1" l="1"/>
  <c r="G442" i="1" l="1"/>
  <c r="G443" i="1"/>
  <c r="G252" i="1"/>
  <c r="J11" i="1" l="1"/>
  <c r="G11" i="1"/>
  <c r="I470" i="1" l="1"/>
  <c r="G257" i="1" l="1"/>
  <c r="G259" i="1" l="1"/>
  <c r="G372" i="1" l="1"/>
  <c r="G421" i="1"/>
  <c r="G544" i="1" l="1"/>
  <c r="U195" i="1" l="1"/>
  <c r="S195" i="1"/>
  <c r="Q195" i="1"/>
  <c r="O195" i="1"/>
  <c r="M195" i="1"/>
  <c r="J10" i="1"/>
  <c r="I70" i="1"/>
  <c r="G448" i="1" l="1"/>
  <c r="U470" i="1" l="1"/>
  <c r="S470" i="1"/>
  <c r="Q470" i="1"/>
  <c r="O470" i="1"/>
  <c r="M470" i="1"/>
  <c r="K470" i="1"/>
  <c r="G470" i="1"/>
  <c r="G567" i="1" l="1"/>
  <c r="G566" i="1"/>
  <c r="U150" i="1"/>
  <c r="W150" i="1"/>
  <c r="S150" i="1"/>
  <c r="Q150" i="1"/>
  <c r="O150" i="1"/>
  <c r="M150" i="1"/>
  <c r="K150" i="1"/>
  <c r="W149" i="1"/>
  <c r="U149" i="1"/>
  <c r="S149" i="1"/>
  <c r="Q149" i="1"/>
  <c r="O149" i="1"/>
  <c r="M149" i="1"/>
  <c r="K149" i="1"/>
  <c r="G424" i="1" l="1"/>
  <c r="G581" i="1" l="1"/>
  <c r="I533" i="1" l="1"/>
  <c r="I532" i="1"/>
  <c r="G526" i="1" l="1"/>
  <c r="Q526" i="1" l="1"/>
  <c r="O526" i="1"/>
  <c r="M526" i="1"/>
  <c r="W526" i="1"/>
  <c r="K526" i="1"/>
  <c r="U526" i="1"/>
  <c r="S526" i="1"/>
  <c r="I526" i="1"/>
  <c r="G437" i="1" l="1"/>
  <c r="F18" i="1" l="1"/>
  <c r="H18" i="1" s="1"/>
  <c r="F19" i="1"/>
  <c r="H19" i="1" s="1"/>
  <c r="I171" i="1" l="1"/>
  <c r="G631" i="1"/>
  <c r="G430" i="1" l="1"/>
  <c r="G568" i="1" l="1"/>
  <c r="G404" i="1" l="1"/>
  <c r="T591" i="1" l="1"/>
  <c r="U591" i="1" s="1"/>
  <c r="L591" i="1"/>
  <c r="M591" i="1" s="1"/>
  <c r="R591" i="1"/>
  <c r="S591" i="1" s="1"/>
  <c r="J591" i="1"/>
  <c r="K591" i="1" s="1"/>
  <c r="H591" i="1"/>
  <c r="I591" i="1" s="1"/>
  <c r="V591" i="1"/>
  <c r="W591" i="1" s="1"/>
  <c r="P591" i="1"/>
  <c r="Q591" i="1" s="1"/>
  <c r="N591" i="1"/>
  <c r="O591" i="1" s="1"/>
  <c r="G591" i="1"/>
  <c r="G405" i="1" l="1"/>
  <c r="G402" i="1" l="1"/>
  <c r="G614" i="1" l="1"/>
  <c r="G655" i="1"/>
  <c r="G99" i="1"/>
  <c r="G492" i="1" l="1"/>
  <c r="G735" i="1"/>
  <c r="G403" i="1" l="1"/>
  <c r="S161" i="1" l="1"/>
  <c r="Q161" i="1"/>
  <c r="O161" i="1"/>
  <c r="M161" i="1"/>
  <c r="K161" i="1"/>
  <c r="W514" i="1"/>
  <c r="W510" i="1"/>
  <c r="W509" i="1"/>
  <c r="U514" i="1"/>
  <c r="U510" i="1"/>
  <c r="U509" i="1"/>
  <c r="S514" i="1"/>
  <c r="S510" i="1"/>
  <c r="S509" i="1"/>
  <c r="Q514" i="1"/>
  <c r="Q510" i="1"/>
  <c r="Q509" i="1"/>
  <c r="O514" i="1"/>
  <c r="O510" i="1"/>
  <c r="O509" i="1"/>
  <c r="G512" i="1"/>
  <c r="G513" i="1"/>
  <c r="G514" i="1"/>
  <c r="G511" i="1"/>
  <c r="G510" i="1"/>
  <c r="G509" i="1"/>
  <c r="G366" i="1" l="1"/>
  <c r="F543" i="1" l="1"/>
  <c r="T543" i="1" l="1"/>
  <c r="U543" i="1" s="1"/>
  <c r="L543" i="1"/>
  <c r="M543" i="1" s="1"/>
  <c r="R543" i="1"/>
  <c r="S543" i="1" s="1"/>
  <c r="J543" i="1"/>
  <c r="K543" i="1" s="1"/>
  <c r="H543" i="1"/>
  <c r="I543" i="1" s="1"/>
  <c r="P543" i="1"/>
  <c r="Q543" i="1" s="1"/>
  <c r="V543" i="1"/>
  <c r="W543" i="1" s="1"/>
  <c r="N543" i="1"/>
  <c r="O543" i="1" s="1"/>
  <c r="T592" i="1" l="1"/>
  <c r="U592" i="1" s="1"/>
  <c r="L592" i="1"/>
  <c r="M592" i="1" s="1"/>
  <c r="R592" i="1"/>
  <c r="S592" i="1" s="1"/>
  <c r="J592" i="1"/>
  <c r="K592" i="1" s="1"/>
  <c r="H592" i="1"/>
  <c r="I592" i="1" s="1"/>
  <c r="V592" i="1"/>
  <c r="W592" i="1" s="1"/>
  <c r="P592" i="1"/>
  <c r="Q592" i="1" s="1"/>
  <c r="N592" i="1"/>
  <c r="O592" i="1" s="1"/>
  <c r="G299" i="1"/>
  <c r="G386" i="1" l="1"/>
  <c r="F189" i="1" l="1"/>
  <c r="F188" i="1"/>
  <c r="F187" i="1"/>
  <c r="F186" i="1"/>
  <c r="F185" i="1"/>
  <c r="F184" i="1"/>
  <c r="R186" i="1" l="1"/>
  <c r="S186" i="1" s="1"/>
  <c r="P186" i="1"/>
  <c r="Q186" i="1" s="1"/>
  <c r="N186" i="1"/>
  <c r="O186" i="1" s="1"/>
  <c r="T186" i="1"/>
  <c r="U186" i="1" s="1"/>
  <c r="L186" i="1"/>
  <c r="M186" i="1" s="1"/>
  <c r="J186" i="1"/>
  <c r="K186" i="1" s="1"/>
  <c r="H186" i="1"/>
  <c r="I186" i="1" s="1"/>
  <c r="M375" i="1"/>
  <c r="N184" i="1"/>
  <c r="O184" i="1" s="1"/>
  <c r="L184" i="1"/>
  <c r="M184" i="1" s="1"/>
  <c r="J184" i="1"/>
  <c r="K184" i="1" s="1"/>
  <c r="H184" i="1"/>
  <c r="I184" i="1" s="1"/>
  <c r="P184" i="1"/>
  <c r="Q184" i="1" s="1"/>
  <c r="R184" i="1"/>
  <c r="S184" i="1" s="1"/>
  <c r="T184" i="1"/>
  <c r="U184" i="1" s="1"/>
  <c r="P189" i="1"/>
  <c r="Q189" i="1" s="1"/>
  <c r="N189" i="1"/>
  <c r="O189" i="1" s="1"/>
  <c r="L189" i="1"/>
  <c r="M189" i="1" s="1"/>
  <c r="J189" i="1"/>
  <c r="K189" i="1" s="1"/>
  <c r="H189" i="1"/>
  <c r="I189" i="1" s="1"/>
  <c r="T189" i="1"/>
  <c r="U189" i="1" s="1"/>
  <c r="R189" i="1"/>
  <c r="S189" i="1" s="1"/>
  <c r="H185" i="1"/>
  <c r="I185" i="1" s="1"/>
  <c r="J185" i="1"/>
  <c r="K185" i="1" s="1"/>
  <c r="T185" i="1"/>
  <c r="U185" i="1" s="1"/>
  <c r="R185" i="1"/>
  <c r="S185" i="1" s="1"/>
  <c r="P185" i="1"/>
  <c r="Q185" i="1" s="1"/>
  <c r="N185" i="1"/>
  <c r="O185" i="1" s="1"/>
  <c r="L185" i="1"/>
  <c r="M185" i="1" s="1"/>
  <c r="T187" i="1"/>
  <c r="U187" i="1" s="1"/>
  <c r="R187" i="1"/>
  <c r="S187" i="1" s="1"/>
  <c r="P187" i="1"/>
  <c r="Q187" i="1" s="1"/>
  <c r="N187" i="1"/>
  <c r="O187" i="1" s="1"/>
  <c r="L187" i="1"/>
  <c r="M187" i="1" s="1"/>
  <c r="J187" i="1"/>
  <c r="K187" i="1" s="1"/>
  <c r="P188" i="1"/>
  <c r="Q188" i="1" s="1"/>
  <c r="N188" i="1"/>
  <c r="O188" i="1" s="1"/>
  <c r="L188" i="1"/>
  <c r="M188" i="1" s="1"/>
  <c r="H188" i="1"/>
  <c r="I188" i="1" s="1"/>
  <c r="J188" i="1"/>
  <c r="K188" i="1" s="1"/>
  <c r="R188" i="1"/>
  <c r="S188" i="1" s="1"/>
  <c r="T188" i="1"/>
  <c r="U188" i="1" s="1"/>
  <c r="K139" i="1" l="1"/>
  <c r="G420" i="1"/>
  <c r="O764" i="1" l="1"/>
  <c r="G338" i="1" l="1"/>
  <c r="G752" i="1" l="1"/>
  <c r="G587" i="1" l="1"/>
  <c r="G586" i="1" l="1"/>
  <c r="G575" i="1" l="1"/>
  <c r="G570" i="1"/>
  <c r="G569" i="1" l="1"/>
  <c r="G284" i="1" l="1"/>
  <c r="G281" i="1"/>
  <c r="G265" i="1" l="1"/>
  <c r="G260" i="1"/>
  <c r="G664" i="1" l="1"/>
  <c r="G665" i="1"/>
  <c r="G542" i="1" l="1"/>
  <c r="G214" i="1" l="1"/>
  <c r="G213" i="1" l="1"/>
  <c r="G627" i="1" l="1"/>
  <c r="G626" i="1"/>
  <c r="G385" i="1" l="1"/>
  <c r="G264" i="1" l="1"/>
  <c r="G188" i="1" l="1"/>
  <c r="G189" i="1"/>
  <c r="G185" i="1" l="1"/>
  <c r="G187" i="1"/>
  <c r="G186" i="1"/>
  <c r="G184" i="1"/>
  <c r="G181" i="1"/>
  <c r="G178" i="1"/>
  <c r="G324" i="1" l="1"/>
  <c r="W671" i="1" l="1"/>
  <c r="U671" i="1"/>
  <c r="S671" i="1"/>
  <c r="Q671" i="1"/>
  <c r="O671" i="1"/>
  <c r="M671" i="1"/>
  <c r="K671" i="1"/>
  <c r="I671" i="1"/>
  <c r="W596" i="1" l="1"/>
  <c r="U596" i="1"/>
  <c r="S596" i="1"/>
  <c r="Q596" i="1"/>
  <c r="O596" i="1"/>
  <c r="M596" i="1"/>
  <c r="K596" i="1"/>
  <c r="I596" i="1"/>
  <c r="W36" i="1" l="1"/>
  <c r="U36" i="1"/>
  <c r="S36" i="1"/>
  <c r="Q36" i="1"/>
  <c r="O36" i="1"/>
  <c r="G60" i="1"/>
  <c r="U13" i="1"/>
  <c r="G447" i="1" l="1"/>
  <c r="G283" i="1" l="1"/>
  <c r="G574" i="1" l="1"/>
  <c r="G573" i="1" l="1"/>
  <c r="G199" i="1"/>
  <c r="G198" i="1"/>
  <c r="G195" i="1"/>
  <c r="W190" i="1"/>
  <c r="U190" i="1"/>
  <c r="S190" i="1"/>
  <c r="Q190" i="1"/>
  <c r="O190" i="1"/>
  <c r="G197" i="1" l="1"/>
  <c r="G196" i="1"/>
  <c r="W195" i="1"/>
  <c r="G200" i="1"/>
  <c r="G634" i="1"/>
  <c r="I767" i="1" l="1"/>
  <c r="I766" i="1"/>
  <c r="I764" i="1"/>
  <c r="I765" i="1"/>
  <c r="W764" i="1"/>
  <c r="U764" i="1"/>
  <c r="S764" i="1"/>
  <c r="Q764" i="1"/>
  <c r="M764" i="1"/>
  <c r="K764" i="1"/>
  <c r="W595" i="1" l="1"/>
  <c r="U595" i="1" l="1"/>
  <c r="I595" i="1"/>
  <c r="M595" i="1"/>
  <c r="Q595" i="1"/>
  <c r="K595" i="1"/>
  <c r="O595" i="1"/>
  <c r="S595" i="1"/>
  <c r="G572" i="1" l="1"/>
  <c r="G571" i="1"/>
  <c r="K346" i="1" l="1"/>
  <c r="I541" i="1" l="1"/>
  <c r="G263" i="1" l="1"/>
  <c r="G650" i="1" l="1"/>
  <c r="G643" i="1"/>
  <c r="G649" i="1"/>
  <c r="G619" i="1" l="1"/>
  <c r="G611" i="1" l="1"/>
  <c r="G624" i="1"/>
  <c r="G613" i="1" l="1"/>
  <c r="G623" i="1"/>
  <c r="G616" i="1"/>
  <c r="I606" i="1"/>
  <c r="G648" i="1"/>
  <c r="G636" i="1"/>
  <c r="G635" i="1"/>
  <c r="G630" i="1"/>
  <c r="G629" i="1"/>
  <c r="G628" i="1"/>
  <c r="G615" i="1"/>
  <c r="G606" i="1"/>
  <c r="G302" i="1" l="1"/>
  <c r="G425" i="1" l="1"/>
  <c r="G301" i="1" l="1"/>
  <c r="G339" i="1"/>
  <c r="G313" i="1"/>
  <c r="G311" i="1"/>
  <c r="G312" i="1"/>
  <c r="I18" i="1"/>
  <c r="I19" i="1"/>
  <c r="G19" i="1"/>
  <c r="G18" i="1"/>
  <c r="N19" i="1"/>
  <c r="G46" i="1"/>
  <c r="G45" i="1"/>
  <c r="W44" i="1"/>
  <c r="U44" i="1"/>
  <c r="S44" i="1"/>
  <c r="Q44" i="1"/>
  <c r="G44" i="1"/>
  <c r="G136" i="1"/>
  <c r="G243" i="1" l="1"/>
  <c r="G428" i="1" l="1"/>
  <c r="G750" i="1" l="1"/>
  <c r="G745" i="1" l="1"/>
  <c r="K747" i="1"/>
  <c r="G747" i="1"/>
  <c r="G474" i="1" l="1"/>
  <c r="G473" i="1"/>
  <c r="Q56" i="1" l="1"/>
  <c r="M56" i="1"/>
  <c r="K56" i="1"/>
  <c r="W56" i="1"/>
  <c r="U56" i="1"/>
  <c r="S56" i="1"/>
  <c r="O56" i="1"/>
  <c r="G56" i="1"/>
  <c r="G367" i="1" l="1"/>
  <c r="G388" i="1" l="1"/>
  <c r="G309" i="1"/>
  <c r="G247" i="1" l="1"/>
  <c r="G251" i="1"/>
  <c r="G254" i="1" l="1"/>
  <c r="I760" i="1" l="1"/>
  <c r="K760" i="1"/>
  <c r="W760" i="1"/>
  <c r="U760" i="1"/>
  <c r="S760" i="1"/>
  <c r="Q760" i="1"/>
  <c r="O760" i="1"/>
  <c r="M760" i="1"/>
  <c r="W759" i="1"/>
  <c r="U759" i="1"/>
  <c r="S759" i="1"/>
  <c r="Q759" i="1"/>
  <c r="O759" i="1"/>
  <c r="M759" i="1"/>
  <c r="S765" i="1"/>
  <c r="U765" i="1"/>
  <c r="W765" i="1"/>
  <c r="S766" i="1"/>
  <c r="U766" i="1"/>
  <c r="W766" i="1"/>
  <c r="S767" i="1"/>
  <c r="U767" i="1"/>
  <c r="W767" i="1"/>
  <c r="Q767" i="1"/>
  <c r="O767" i="1"/>
  <c r="M767" i="1"/>
  <c r="K767" i="1"/>
  <c r="M132" i="1" l="1"/>
  <c r="M128" i="1"/>
  <c r="M127" i="1"/>
  <c r="M123" i="1"/>
  <c r="M122" i="1"/>
  <c r="O108" i="1"/>
  <c r="O107" i="1"/>
  <c r="Q75" i="1" l="1"/>
  <c r="Q74" i="1"/>
  <c r="Q73" i="1"/>
  <c r="Q71" i="1"/>
  <c r="Q72" i="1"/>
  <c r="W736" i="1" l="1"/>
  <c r="U736" i="1"/>
  <c r="S736" i="1"/>
  <c r="Q736" i="1"/>
  <c r="O736" i="1"/>
  <c r="M736" i="1"/>
  <c r="W541" i="1"/>
  <c r="U541" i="1"/>
  <c r="S541" i="1"/>
  <c r="Q541" i="1"/>
  <c r="O541" i="1"/>
  <c r="M541" i="1"/>
  <c r="K541" i="1"/>
  <c r="Q503" i="1"/>
  <c r="Q471" i="1"/>
  <c r="Q469" i="1"/>
  <c r="G733" i="1" l="1"/>
  <c r="G732" i="1"/>
  <c r="Q132" i="1" l="1"/>
  <c r="Q128" i="1"/>
  <c r="Q127" i="1"/>
  <c r="Q123" i="1"/>
  <c r="Q122" i="1"/>
  <c r="Q108" i="1"/>
  <c r="Q107" i="1"/>
  <c r="Q106" i="1"/>
  <c r="Q105" i="1"/>
  <c r="K52" i="1"/>
  <c r="Q52" i="1"/>
  <c r="Q135" i="1" l="1"/>
  <c r="Q47" i="1" l="1"/>
  <c r="Q41" i="1"/>
  <c r="Q39" i="1"/>
  <c r="Q35" i="1"/>
  <c r="Q30" i="1"/>
  <c r="G592" i="1" l="1"/>
  <c r="G245" i="1"/>
  <c r="G270" i="1" l="1"/>
  <c r="G226" i="1"/>
  <c r="G487" i="1" l="1"/>
  <c r="G423" i="1" l="1"/>
  <c r="G456" i="1"/>
  <c r="G306" i="1"/>
  <c r="G393" i="1"/>
  <c r="Q152" i="1"/>
  <c r="Q151" i="1"/>
  <c r="W39" i="1"/>
  <c r="G139" i="1" l="1"/>
  <c r="G287" i="1" l="1"/>
  <c r="G204" i="1"/>
  <c r="G422" i="1" l="1"/>
  <c r="O73" i="1" l="1"/>
  <c r="G220" i="1"/>
  <c r="G307" i="1" l="1"/>
  <c r="W71" i="1" l="1"/>
  <c r="U71" i="1"/>
  <c r="S71" i="1"/>
  <c r="O71" i="1"/>
  <c r="G304" i="1"/>
  <c r="G411" i="1" l="1"/>
  <c r="G751" i="1" l="1"/>
  <c r="G753" i="1"/>
  <c r="G484" i="1" l="1"/>
  <c r="G576" i="1" l="1"/>
  <c r="G40" i="1" l="1"/>
  <c r="U39" i="1"/>
  <c r="S39" i="1"/>
  <c r="O39" i="1"/>
  <c r="G39" i="1"/>
  <c r="I680" i="1" l="1"/>
  <c r="G273" i="1" l="1"/>
  <c r="G280" i="1" l="1"/>
  <c r="G274" i="1"/>
  <c r="G174" i="1" l="1"/>
  <c r="V97" i="1" l="1"/>
  <c r="T97" i="1"/>
  <c r="R97" i="1"/>
  <c r="N97" i="1"/>
  <c r="K97" i="1"/>
  <c r="G436" i="1" l="1"/>
  <c r="G584" i="1" l="1"/>
  <c r="G221" i="1" l="1"/>
  <c r="G527" i="1" l="1"/>
  <c r="G439" i="1"/>
  <c r="I791" i="1" l="1"/>
  <c r="M135" i="1"/>
  <c r="W132" i="1"/>
  <c r="W128" i="1"/>
  <c r="W127" i="1"/>
  <c r="W123" i="1"/>
  <c r="W122" i="1"/>
  <c r="U128" i="1"/>
  <c r="U127" i="1"/>
  <c r="U123" i="1"/>
  <c r="U122" i="1"/>
  <c r="S132" i="1"/>
  <c r="S128" i="1"/>
  <c r="S123" i="1"/>
  <c r="S122" i="1"/>
  <c r="O123" i="1"/>
  <c r="O127" i="1"/>
  <c r="O128" i="1"/>
  <c r="O132" i="1"/>
  <c r="O122" i="1"/>
  <c r="W105" i="1"/>
  <c r="W106" i="1"/>
  <c r="W107" i="1"/>
  <c r="W108" i="1"/>
  <c r="U105" i="1"/>
  <c r="U106" i="1"/>
  <c r="U107" i="1"/>
  <c r="U108" i="1"/>
  <c r="S105" i="1"/>
  <c r="S106" i="1"/>
  <c r="S107" i="1"/>
  <c r="S108" i="1"/>
  <c r="W135" i="1" l="1"/>
  <c r="G594" i="1" l="1"/>
  <c r="G593" i="1"/>
  <c r="G580" i="1"/>
  <c r="G582" i="1"/>
  <c r="G590" i="1"/>
  <c r="G519" i="1" l="1"/>
  <c r="G305" i="1" l="1"/>
  <c r="G337" i="1"/>
  <c r="G308" i="1"/>
  <c r="G336" i="1" l="1"/>
  <c r="G242" i="1" l="1"/>
  <c r="G10" i="1"/>
  <c r="G228" i="1" l="1"/>
  <c r="G736" i="1" l="1"/>
  <c r="G229" i="1" l="1"/>
  <c r="O35" i="1"/>
  <c r="G203" i="1" l="1"/>
  <c r="G726" i="1" l="1"/>
  <c r="G728" i="1"/>
  <c r="G727" i="1"/>
  <c r="G426" i="1" l="1"/>
  <c r="G427" i="1"/>
  <c r="S41" i="1" l="1"/>
  <c r="G517" i="1" l="1"/>
  <c r="G749" i="1" l="1"/>
  <c r="G746" i="1"/>
  <c r="G290" i="1"/>
  <c r="G230" i="1"/>
  <c r="G227" i="1"/>
  <c r="G225" i="1"/>
  <c r="G218" i="1"/>
  <c r="G219" i="1"/>
  <c r="G217" i="1"/>
  <c r="G104" i="1"/>
  <c r="G66" i="1"/>
  <c r="G25" i="1"/>
  <c r="G23" i="1"/>
  <c r="G24" i="1"/>
  <c r="G419" i="1" l="1"/>
  <c r="U469" i="1" l="1"/>
  <c r="S469" i="1"/>
  <c r="M469" i="1"/>
  <c r="G469" i="1"/>
  <c r="J525" i="1" l="1"/>
  <c r="J522" i="1"/>
  <c r="J521" i="1"/>
  <c r="J520" i="1"/>
  <c r="J524" i="1"/>
  <c r="J519" i="1"/>
  <c r="G22" i="1" l="1"/>
  <c r="G471" i="1"/>
  <c r="M471" i="1"/>
  <c r="O471" i="1"/>
  <c r="S471" i="1"/>
  <c r="U471" i="1"/>
  <c r="G168" i="1"/>
  <c r="G26" i="1" l="1"/>
  <c r="G583" i="1" l="1"/>
  <c r="G53" i="1" l="1"/>
  <c r="G55" i="1"/>
  <c r="O30" i="1"/>
  <c r="G57" i="1"/>
  <c r="U30" i="1" l="1"/>
  <c r="G208" i="1"/>
  <c r="G28" i="1" l="1"/>
  <c r="G343" i="1"/>
  <c r="O135" i="1"/>
  <c r="S135" i="1"/>
  <c r="U135" i="1"/>
  <c r="G332" i="1" l="1"/>
  <c r="G13" i="1" l="1"/>
  <c r="G543" i="1" l="1"/>
  <c r="G155" i="1" l="1"/>
  <c r="G12" i="1"/>
  <c r="G21" i="1"/>
  <c r="G30" i="1"/>
  <c r="S30" i="1"/>
  <c r="W30" i="1"/>
  <c r="G31" i="1"/>
  <c r="G32" i="1"/>
  <c r="G33" i="1"/>
  <c r="G34" i="1"/>
  <c r="G35" i="1"/>
  <c r="S35" i="1"/>
  <c r="U35" i="1"/>
  <c r="W35" i="1"/>
  <c r="G36" i="1"/>
  <c r="G37" i="1"/>
  <c r="G38" i="1"/>
  <c r="S38" i="1"/>
  <c r="U38" i="1"/>
  <c r="W38" i="1"/>
  <c r="G41" i="1"/>
  <c r="O41" i="1"/>
  <c r="U41" i="1"/>
  <c r="W41" i="1"/>
  <c r="G42" i="1"/>
  <c r="G43" i="1"/>
  <c r="G47" i="1"/>
  <c r="O47" i="1"/>
  <c r="S47" i="1"/>
  <c r="U47" i="1"/>
  <c r="W47" i="1"/>
  <c r="G48" i="1"/>
  <c r="G49" i="1"/>
  <c r="G52" i="1"/>
  <c r="M52" i="1"/>
  <c r="O52" i="1"/>
  <c r="S52" i="1"/>
  <c r="U52" i="1"/>
  <c r="W52" i="1"/>
  <c r="G54" i="1"/>
  <c r="G59" i="1"/>
  <c r="G67" i="1"/>
  <c r="O72" i="1"/>
  <c r="S72" i="1"/>
  <c r="U72" i="1"/>
  <c r="W72" i="1"/>
  <c r="S73" i="1"/>
  <c r="U73" i="1"/>
  <c r="W73" i="1"/>
  <c r="M74" i="1"/>
  <c r="O74" i="1"/>
  <c r="S74" i="1"/>
  <c r="U74" i="1"/>
  <c r="M75" i="1"/>
  <c r="O75" i="1"/>
  <c r="S75" i="1"/>
  <c r="U75" i="1"/>
  <c r="G95" i="1"/>
  <c r="K95" i="1"/>
  <c r="M95" i="1"/>
  <c r="N95" i="1"/>
  <c r="G96" i="1"/>
  <c r="G97" i="1"/>
  <c r="G98" i="1"/>
  <c r="G100" i="1"/>
  <c r="G101" i="1"/>
  <c r="G103" i="1"/>
  <c r="G135" i="1"/>
  <c r="G147" i="1"/>
  <c r="Q147" i="1"/>
  <c r="G148" i="1"/>
  <c r="Q148" i="1"/>
  <c r="G151" i="1"/>
  <c r="G152" i="1"/>
  <c r="G170" i="1"/>
  <c r="G171" i="1"/>
  <c r="G194" i="1"/>
  <c r="G201" i="1"/>
  <c r="G207" i="1"/>
  <c r="G223" i="1"/>
  <c r="G232" i="1"/>
  <c r="M232" i="1"/>
  <c r="P232" i="1"/>
  <c r="G234" i="1"/>
  <c r="G235" i="1"/>
  <c r="G241" i="1"/>
  <c r="G246" i="1"/>
  <c r="G272" i="1"/>
  <c r="G286" i="1"/>
  <c r="G729" i="1"/>
  <c r="G730" i="1"/>
  <c r="G344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8" i="1"/>
  <c r="G369" i="1"/>
  <c r="G370" i="1"/>
  <c r="G371" i="1"/>
  <c r="G375" i="1"/>
  <c r="G376" i="1"/>
  <c r="G379" i="1"/>
  <c r="G380" i="1"/>
  <c r="G390" i="1"/>
  <c r="G391" i="1"/>
  <c r="G392" i="1"/>
  <c r="G395" i="1"/>
  <c r="G407" i="1"/>
  <c r="G410" i="1"/>
  <c r="G413" i="1"/>
  <c r="G414" i="1"/>
  <c r="G417" i="1"/>
  <c r="G418" i="1"/>
  <c r="G433" i="1"/>
  <c r="G438" i="1"/>
  <c r="G440" i="1"/>
  <c r="G472" i="1"/>
  <c r="G485" i="1"/>
  <c r="G503" i="1"/>
  <c r="O503" i="1"/>
  <c r="S503" i="1"/>
  <c r="U503" i="1"/>
  <c r="W503" i="1"/>
  <c r="G504" i="1"/>
  <c r="G505" i="1"/>
  <c r="G506" i="1"/>
  <c r="G507" i="1"/>
  <c r="G515" i="1"/>
  <c r="G520" i="1"/>
  <c r="G521" i="1"/>
  <c r="G522" i="1"/>
  <c r="G524" i="1"/>
  <c r="G525" i="1"/>
  <c r="G528" i="1"/>
  <c r="G529" i="1"/>
  <c r="G530" i="1"/>
  <c r="G532" i="1"/>
  <c r="G533" i="1"/>
  <c r="G536" i="1"/>
  <c r="G537" i="1"/>
  <c r="G541" i="1"/>
  <c r="G588" i="1"/>
  <c r="G741" i="1"/>
  <c r="M741" i="1"/>
  <c r="O741" i="1"/>
  <c r="Q741" i="1"/>
  <c r="S741" i="1"/>
  <c r="U741" i="1"/>
  <c r="M757" i="1"/>
  <c r="O757" i="1"/>
  <c r="S757" i="1"/>
  <c r="U757" i="1"/>
  <c r="W757" i="1"/>
  <c r="K758" i="1"/>
  <c r="M758" i="1"/>
  <c r="O758" i="1"/>
  <c r="Q758" i="1"/>
  <c r="S758" i="1"/>
  <c r="U758" i="1"/>
  <c r="W758" i="1"/>
  <c r="K765" i="1"/>
  <c r="M765" i="1"/>
  <c r="O765" i="1"/>
  <c r="Q765" i="1"/>
  <c r="K766" i="1"/>
  <c r="M766" i="1"/>
  <c r="O766" i="1"/>
  <c r="Q766" i="1"/>
  <c r="M769" i="1"/>
  <c r="Q769" i="1"/>
  <c r="I790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56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3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56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6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2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7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4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7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6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7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726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27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28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29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30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31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</commentList>
</comments>
</file>

<file path=xl/sharedStrings.xml><?xml version="1.0" encoding="utf-8"?>
<sst xmlns="http://schemas.openxmlformats.org/spreadsheetml/2006/main" count="1285" uniqueCount="1032">
  <si>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</si>
  <si>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</si>
  <si>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</si>
  <si>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</si>
  <si>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</si>
  <si>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</si>
  <si>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</si>
  <si>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</si>
  <si>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</si>
  <si>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</si>
  <si>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</si>
  <si>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</si>
  <si>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</si>
  <si>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</si>
  <si>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</si>
  <si>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</si>
  <si>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</si>
  <si>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</si>
  <si>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</si>
  <si>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</si>
  <si>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</si>
  <si>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</si>
  <si>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</si>
  <si>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</si>
  <si>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</si>
  <si>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</si>
  <si>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</si>
  <si>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</si>
  <si>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</si>
  <si>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</si>
  <si>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</si>
  <si>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IR A CARPITAS</t>
  </si>
  <si>
    <t>00039 - Mate aluminio c/cinta cuero. Grabado Laser 7x3,5cm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</si>
  <si>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</si>
  <si>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</si>
  <si>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</si>
  <si>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</si>
  <si>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</si>
  <si>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</si>
  <si>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</si>
  <si>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</si>
  <si>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</si>
  <si>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</si>
  <si>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</si>
  <si>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</si>
  <si>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</si>
  <si>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</si>
  <si>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</si>
  <si>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</si>
  <si>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</si>
  <si>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</si>
  <si>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</si>
  <si>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</si>
  <si>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</si>
  <si>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</si>
  <si>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</si>
  <si>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</si>
  <si>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</si>
  <si>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</si>
  <si>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</si>
  <si>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</si>
  <si>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</si>
  <si>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</si>
  <si>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</si>
  <si>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</si>
  <si>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</si>
  <si>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</si>
  <si>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</si>
  <si>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</si>
  <si>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</si>
  <si>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</si>
  <si>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</si>
  <si>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</si>
  <si>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</si>
  <si>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</si>
  <si>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</si>
  <si>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</si>
  <si>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</si>
  <si>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</si>
  <si>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</si>
  <si>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</si>
  <si>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</si>
  <si>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</si>
  <si>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</si>
  <si>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</si>
  <si>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</si>
  <si>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</si>
  <si>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</si>
  <si>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</si>
  <si>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</si>
  <si>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</si>
  <si>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</si>
  <si>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</si>
  <si>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</si>
  <si>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</si>
  <si>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</si>
  <si>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</si>
  <si>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</si>
  <si>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</si>
  <si>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</si>
  <si>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</si>
  <si>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</si>
  <si>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</si>
  <si>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</si>
  <si>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</si>
  <si>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</si>
  <si>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</si>
  <si>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</si>
  <si>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</si>
  <si>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</si>
  <si>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</si>
  <si>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</si>
  <si>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</si>
  <si>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</si>
  <si>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</si>
  <si>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</si>
  <si>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</si>
  <si>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</si>
  <si>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</si>
  <si>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</si>
  <si>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</si>
  <si>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</si>
  <si>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</si>
  <si>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</si>
  <si>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</si>
  <si>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</si>
  <si>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</si>
  <si>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</si>
  <si>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</si>
  <si>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</si>
  <si>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</si>
  <si>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</si>
  <si>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</si>
  <si>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</si>
  <si>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</si>
  <si>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</si>
  <si>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</si>
  <si>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</si>
  <si>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</si>
  <si>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</si>
  <si>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</si>
  <si>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</si>
  <si>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</si>
  <si>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</si>
  <si>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</si>
  <si>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</si>
  <si>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</si>
  <si>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</si>
  <si>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</si>
  <si>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</si>
  <si>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</si>
  <si>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</si>
  <si>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</si>
  <si>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</si>
  <si>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</si>
  <si>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</si>
  <si>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</si>
  <si>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</si>
  <si>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</si>
  <si>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</si>
  <si>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</si>
  <si>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</si>
  <si>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</si>
  <si>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</si>
  <si>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</si>
  <si>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</si>
  <si>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</si>
  <si>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</si>
  <si>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</si>
  <si>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</si>
  <si>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00421 - Llavero acrílico 3mm grabado laser formato especial</t>
  </si>
  <si>
    <t>00442 - Pastillero plástico blanco 4 espacios</t>
  </si>
  <si>
    <t xml:space="preserve">00539 - Portacredencial Cristal o Tela y Cristal - 8,5x12 cm.                    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</si>
  <si>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</si>
  <si>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</si>
  <si>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</si>
  <si>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</si>
  <si>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</si>
  <si>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</si>
  <si>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</si>
  <si>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</si>
  <si>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</si>
  <si>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</si>
  <si>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</si>
  <si>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</si>
  <si>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</si>
  <si>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</si>
  <si>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</si>
  <si>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</si>
  <si>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</si>
  <si>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</si>
  <si>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</si>
  <si>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</si>
  <si>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</si>
  <si>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</si>
  <si>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</si>
  <si>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</si>
  <si>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</si>
  <si>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</si>
  <si>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</si>
  <si>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</si>
  <si>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</si>
  <si>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</si>
  <si>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</si>
  <si>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</si>
  <si>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</si>
  <si>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</si>
  <si>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</si>
  <si>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</si>
  <si>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</si>
  <si>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</si>
  <si>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</si>
  <si>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</si>
  <si>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</si>
  <si>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</si>
  <si>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</si>
  <si>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</si>
  <si>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</si>
  <si>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</si>
  <si>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</si>
  <si>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</si>
  <si>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</si>
  <si>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</si>
  <si>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</si>
  <si>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</si>
  <si>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</si>
  <si>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</si>
  <si>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</si>
  <si>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</si>
  <si>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</si>
  <si>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</si>
  <si>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</si>
  <si>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</si>
  <si>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</si>
  <si>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</si>
  <si>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</si>
  <si>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</si>
  <si>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</si>
  <si>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</si>
  <si>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</si>
  <si>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</si>
  <si>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</si>
  <si>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</si>
  <si>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</si>
  <si>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</si>
  <si>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</si>
  <si>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</si>
  <si>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</si>
  <si>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</si>
  <si>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</si>
  <si>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</si>
  <si>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</si>
  <si>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</si>
  <si>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</si>
  <si>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</si>
  <si>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</si>
  <si>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</si>
  <si>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</si>
  <si>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</si>
  <si>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</si>
  <si>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</si>
  <si>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</si>
  <si>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x200</t>
  </si>
  <si>
    <t>IP-T19 - Taza de vidrio esmerilado mate</t>
  </si>
  <si>
    <t xml:space="preserve">IP-T21 - Vaso Whisky vidrio esmerilado mate 300ml      </t>
  </si>
  <si>
    <t>00986 - Set asado simple  (con plato y cubiertos)</t>
  </si>
  <si>
    <t>00989 - Estuche asado simple  (sin plato y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</si>
  <si>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</si>
  <si>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</si>
  <si>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</si>
  <si>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</si>
  <si>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</si>
  <si>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</si>
  <si>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</si>
  <si>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</si>
  <si>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</si>
  <si>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</si>
  <si>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</si>
  <si>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</si>
  <si>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</si>
  <si>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</si>
  <si>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</si>
  <si>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</si>
  <si>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</si>
  <si>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</si>
  <si>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</si>
  <si>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</si>
  <si>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</si>
  <si>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</si>
  <si>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</si>
  <si>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</si>
  <si>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</si>
  <si>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</si>
  <si>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</si>
  <si>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</si>
  <si>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</si>
  <si>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</si>
  <si>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</si>
  <si>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</si>
  <si>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</si>
  <si>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</si>
  <si>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</si>
  <si>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</si>
  <si>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</si>
  <si>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</si>
  <si>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</si>
  <si>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</si>
  <si>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</si>
  <si>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</si>
  <si>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</si>
  <si>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</si>
  <si>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</si>
  <si>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</si>
  <si>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</si>
  <si>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</si>
  <si>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</si>
  <si>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</si>
  <si>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</si>
  <si>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</si>
  <si>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</si>
  <si>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</si>
  <si>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</si>
  <si>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</si>
  <si>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</si>
  <si>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</si>
  <si>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</si>
  <si>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</si>
  <si>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</si>
  <si>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</si>
  <si>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</si>
  <si>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</si>
  <si>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</si>
  <si>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</si>
  <si>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</si>
  <si>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</si>
  <si>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</si>
  <si>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</si>
  <si>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</si>
  <si>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</si>
  <si>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</si>
  <si>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</si>
  <si>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</si>
  <si>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</si>
  <si>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</si>
  <si>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</si>
  <si>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</si>
  <si>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</si>
  <si>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 xml:space="preserve">01079 - Botella de aluminio tapa a rosca 400ml </t>
  </si>
  <si>
    <t>02296 - Boligrafo ATOMIZER sanitizante y apoya celular</t>
  </si>
  <si>
    <t>02334 - Bolígrafo de Bambú clip de metal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</si>
  <si>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</si>
  <si>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</si>
  <si>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</si>
  <si>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</si>
  <si>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</si>
  <si>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</si>
  <si>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</si>
  <si>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</si>
  <si>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</si>
  <si>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</si>
  <si>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</si>
  <si>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</si>
  <si>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</si>
  <si>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</si>
  <si>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</si>
  <si>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</si>
  <si>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</si>
  <si>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</si>
  <si>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</si>
  <si>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</si>
  <si>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</si>
  <si>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</si>
  <si>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</si>
  <si>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</si>
  <si>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</si>
  <si>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</si>
  <si>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</si>
  <si>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</si>
  <si>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</si>
  <si>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</si>
  <si>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</si>
  <si>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</si>
  <si>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</si>
  <si>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</si>
  <si>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</si>
  <si>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</si>
  <si>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</si>
  <si>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</si>
  <si>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</si>
  <si>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</si>
  <si>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P5530-1</t>
  </si>
  <si>
    <t>00919 - Portalápiz ecológico negro con notas adhesivas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</si>
  <si>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</si>
  <si>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</si>
  <si>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</si>
  <si>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</si>
  <si>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</si>
  <si>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</si>
  <si>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</si>
  <si>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</si>
  <si>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</si>
  <si>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</si>
  <si>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</si>
  <si>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</si>
  <si>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</si>
  <si>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</si>
  <si>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</si>
  <si>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</si>
  <si>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</si>
  <si>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</si>
  <si>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</si>
  <si>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</si>
  <si>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</si>
  <si>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</si>
  <si>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</si>
  <si>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</si>
  <si>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</si>
  <si>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</si>
  <si>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</si>
  <si>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</si>
  <si>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</si>
  <si>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</si>
  <si>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</si>
  <si>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</si>
  <si>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</si>
  <si>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</si>
  <si>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</si>
  <si>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</si>
  <si>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</si>
  <si>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</si>
  <si>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</si>
  <si>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</si>
  <si>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</si>
  <si>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</si>
  <si>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</si>
  <si>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</si>
  <si>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</si>
  <si>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</si>
  <si>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</si>
  <si>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</si>
  <si>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</si>
  <si>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</si>
  <si>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</si>
  <si>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</si>
  <si>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</si>
  <si>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</si>
  <si>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</si>
  <si>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</si>
  <si>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</si>
  <si>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</si>
  <si>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</si>
  <si>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</si>
  <si>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</si>
  <si>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</si>
  <si>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</si>
  <si>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</si>
  <si>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</si>
  <si>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</si>
  <si>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</si>
  <si>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</si>
  <si>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</si>
  <si>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</si>
  <si>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02254-1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</si>
  <si>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</si>
  <si>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</si>
  <si>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</si>
  <si>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</si>
  <si>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</si>
  <si>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</si>
  <si>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</si>
  <si>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02246 - Lápiz negro Carpintero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</si>
  <si>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</si>
  <si>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</si>
  <si>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</si>
  <si>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</si>
  <si>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</si>
  <si>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</si>
  <si>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</si>
  <si>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</si>
  <si>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</si>
  <si>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</si>
  <si>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</si>
  <si>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</si>
  <si>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</si>
  <si>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</si>
  <si>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</si>
  <si>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</si>
  <si>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</si>
  <si>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</si>
  <si>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</si>
  <si>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</si>
  <si>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</si>
  <si>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</si>
  <si>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</si>
  <si>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</si>
  <si>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</si>
  <si>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</si>
  <si>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</si>
  <si>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</si>
  <si>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</si>
  <si>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</si>
  <si>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</si>
  <si>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</si>
  <si>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</si>
  <si>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</si>
  <si>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</si>
  <si>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</si>
  <si>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</si>
  <si>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</si>
  <si>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</si>
  <si>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</si>
  <si>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</si>
  <si>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</si>
  <si>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</si>
  <si>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</si>
  <si>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</si>
  <si>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</si>
  <si>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</si>
  <si>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</si>
  <si>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</si>
  <si>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</si>
  <si>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</si>
  <si>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</si>
  <si>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</si>
  <si>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</si>
  <si>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</si>
  <si>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</si>
  <si>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</si>
  <si>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</si>
  <si>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</si>
  <si>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</si>
  <si>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IMP. UN LADO FONDO BLANCO</t>
  </si>
  <si>
    <t>IMP. DOS LADOS FONDO COLOR</t>
  </si>
  <si>
    <t>IR A CUADERNOS</t>
  </si>
  <si>
    <t xml:space="preserve">00935 - Cuaderno eco 18x14cm con bolígrafo y notas 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</si>
  <si>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</si>
  <si>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</si>
  <si>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</si>
  <si>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</si>
  <si>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</si>
  <si>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</si>
  <si>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</si>
  <si>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</si>
  <si>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</si>
  <si>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</si>
  <si>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</si>
  <si>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</si>
  <si>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</si>
  <si>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</si>
  <si>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</si>
  <si>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</si>
  <si>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</si>
  <si>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</si>
  <si>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</si>
  <si>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</si>
  <si>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</si>
  <si>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</si>
  <si>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02292 - Boligrafo ecológico fibra de trigo medio giro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</si>
  <si>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</si>
  <si>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</si>
  <si>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</si>
  <si>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</si>
  <si>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</si>
  <si>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</si>
  <si>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</si>
  <si>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</si>
  <si>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</si>
  <si>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</si>
  <si>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</si>
  <si>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</si>
  <si>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</si>
  <si>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</si>
  <si>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</si>
  <si>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</si>
  <si>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</si>
  <si>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</si>
  <si>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</si>
  <si>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</si>
  <si>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</si>
  <si>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</si>
  <si>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</si>
  <si>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</si>
  <si>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</si>
  <si>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</si>
  <si>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</si>
  <si>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</si>
  <si>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</si>
  <si>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</si>
  <si>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</si>
  <si>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</si>
  <si>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</si>
  <si>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</si>
  <si>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</si>
  <si>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</si>
  <si>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</si>
  <si>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</si>
  <si>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</si>
  <si>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</si>
  <si>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</si>
  <si>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</si>
  <si>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</si>
  <si>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</si>
  <si>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</si>
  <si>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</si>
  <si>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</si>
  <si>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</si>
  <si>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</si>
  <si>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</si>
  <si>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</si>
  <si>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</si>
  <si>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</si>
  <si>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</si>
  <si>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</si>
  <si>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</si>
  <si>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</si>
  <si>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</si>
  <si>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</si>
  <si>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</si>
  <si>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</si>
  <si>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</si>
  <si>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</si>
  <si>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</si>
  <si>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</si>
  <si>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</si>
  <si>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</si>
  <si>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</si>
  <si>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</si>
  <si>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</si>
  <si>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</si>
  <si>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</si>
  <si>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</si>
  <si>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</si>
  <si>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</si>
  <si>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</si>
  <si>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</si>
  <si>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</si>
  <si>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</si>
  <si>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</si>
  <si>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</si>
  <si>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</si>
  <si>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</si>
  <si>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</si>
  <si>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</si>
  <si>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</si>
  <si>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</si>
  <si>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</si>
  <si>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</si>
  <si>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</si>
  <si>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</si>
  <si>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</si>
  <si>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</si>
  <si>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</si>
  <si>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00995 - Set parrillero 4 piezas en estuche</t>
  </si>
  <si>
    <t>00995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</si>
  <si>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</si>
  <si>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</si>
  <si>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</si>
  <si>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</si>
  <si>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</si>
  <si>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</si>
  <si>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</si>
  <si>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</si>
  <si>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</si>
  <si>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</si>
  <si>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</si>
  <si>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</si>
  <si>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</si>
  <si>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</si>
  <si>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</si>
  <si>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</si>
  <si>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</si>
  <si>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</si>
  <si>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</si>
  <si>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</si>
  <si>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</si>
  <si>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</si>
  <si>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</si>
  <si>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</si>
  <si>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</si>
  <si>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</si>
  <si>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</si>
  <si>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</si>
  <si>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</si>
  <si>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</si>
  <si>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</si>
  <si>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</si>
  <si>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</si>
  <si>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</si>
  <si>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</si>
  <si>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</si>
  <si>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</si>
  <si>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>01042 - Botella de acero inoxidable tapa a rosca 750 ml</t>
  </si>
  <si>
    <t>01041 - Botella de acero inoxidable 800 ml tapa con tira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</si>
  <si>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</si>
  <si>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</si>
  <si>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</si>
  <si>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</si>
  <si>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</si>
  <si>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</si>
  <si>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</si>
  <si>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</si>
  <si>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</si>
  <si>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</si>
  <si>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</si>
  <si>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CE-M13</t>
  </si>
  <si>
    <t>IP-T12M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</si>
  <si>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</si>
  <si>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</si>
  <si>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</si>
  <si>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</si>
  <si>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</si>
  <si>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</si>
  <si>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</si>
  <si>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</si>
  <si>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</si>
  <si>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</si>
  <si>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</si>
  <si>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</si>
  <si>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</si>
  <si>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</si>
  <si>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</si>
  <si>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</si>
  <si>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00302-6</t>
  </si>
  <si>
    <t>01045 - Vaso térmico acero PAMPERO® MAIPO 600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</si>
  <si>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</si>
  <si>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</si>
  <si>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</si>
  <si>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</si>
  <si>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</t>
  </si>
  <si>
    <t>00311 - Llavero destapador de aluminio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</si>
  <si>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</si>
  <si>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</si>
  <si>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</si>
  <si>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</si>
  <si>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</si>
  <si>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</si>
  <si>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</si>
  <si>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</si>
  <si>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</si>
  <si>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</si>
  <si>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</si>
  <si>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</si>
  <si>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</si>
  <si>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</si>
  <si>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02503 - Tubo con 12 mini lápices de colores con saca puntas</t>
  </si>
  <si>
    <t xml:space="preserve">P5533 - Gorro Liso 5 gajos algodón y poliester con abrojo </t>
  </si>
  <si>
    <t>02247 - Set escolar Eco con regla lápices goma sacapuntas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</si>
  <si>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</si>
  <si>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</si>
  <si>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</si>
  <si>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</si>
  <si>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</si>
  <si>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</si>
  <si>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</si>
  <si>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</si>
  <si>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</si>
  <si>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</si>
  <si>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</si>
  <si>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</si>
  <si>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</si>
  <si>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</si>
  <si>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</si>
  <si>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</si>
  <si>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</si>
  <si>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</si>
  <si>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</si>
  <si>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</si>
  <si>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</si>
  <si>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</si>
  <si>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00741 - Neceser simple MGN 17,5 x 10 x 9,5 cm</t>
  </si>
  <si>
    <t>00837 - Cuaderno ecologico espiralado con boligrafo</t>
  </si>
  <si>
    <t>00921L - Cuaderno Eco cuero y corcho 21x14 cm hoja lisa</t>
  </si>
  <si>
    <t>00921L</t>
  </si>
  <si>
    <t>01054 - Botella aluminio 600ml tapa a rosca</t>
  </si>
  <si>
    <t>00310 - Llavero destapador de aluminio</t>
  </si>
  <si>
    <t>45/01</t>
  </si>
  <si>
    <t>45/01 - Set de cubiertos parilleros en estuche</t>
  </si>
  <si>
    <t>00827 - Mini anotador con notas y bolígrafo</t>
  </si>
  <si>
    <t>02283 - Bolígrafo Ecológico cartón reciclado touch</t>
  </si>
  <si>
    <t>02282 - Bolígrafo Ecológico biofiber fibra de trigo</t>
  </si>
  <si>
    <t xml:space="preserve">00533 - Porta documentacion de viaje con bolsillos </t>
  </si>
  <si>
    <t>IP-T19</t>
  </si>
  <si>
    <t>00608 - Mochila NOMAWALK® Free Flow 12 litros</t>
  </si>
  <si>
    <t>00566 - Riñonera polycanvas 2,8 litros</t>
  </si>
  <si>
    <t>00567 - Riñonera polycanvas 3,6 litros dos compartimientos</t>
  </si>
  <si>
    <t>00569 - Riñonera clásica 2,8 litros dos compartimientos</t>
  </si>
  <si>
    <t>IR A PAGINA 8</t>
  </si>
  <si>
    <t>02310 - Boligrafo metálico negro mate interior de color</t>
  </si>
  <si>
    <t>02258 - Lápiz negro larga duracion realizado en bambú</t>
  </si>
  <si>
    <t>00966 - Cuaderno con set de notas y bolígrafo touch</t>
  </si>
  <si>
    <t>00696 - Mochila FLD plegable 12,5 litros</t>
  </si>
  <si>
    <t>00605 - Mochila NOMAWALK® Picnic 18 litros</t>
  </si>
  <si>
    <t>00593 - Cooler lunchera PRT poliester 19x14x18cm</t>
  </si>
  <si>
    <t>00708 - Mochila Sport 16 litros</t>
  </si>
  <si>
    <t>02240-1 - Lápiz All Black con punta sin goma</t>
  </si>
  <si>
    <t>00822 - Cuaderno BIG Eco cuero soft mate 25x17cm h. rayada</t>
  </si>
  <si>
    <t>M-51 - Llavero metálico mate con cinta webbing</t>
  </si>
  <si>
    <t>LL-126 - Llavero metálico mate con cinta webbing</t>
  </si>
  <si>
    <t>LL-126</t>
  </si>
  <si>
    <t xml:space="preserve">02332 - Set de bolígrafo Touch y lápiz mecánico de Bambú </t>
  </si>
  <si>
    <t>P5523 - Remera SOLS blanca o color 100% algodón</t>
  </si>
  <si>
    <t>P5523</t>
  </si>
  <si>
    <t>00824 - Memo box espiral cartón reciclado</t>
  </si>
  <si>
    <t>02240-1</t>
  </si>
  <si>
    <t>00575 - Bolsa mochila botinero Friselina 80 gramos</t>
  </si>
  <si>
    <t>02331 - Bolígrafo triangular de Bambú clip de metal</t>
  </si>
  <si>
    <t>02353 - Bolígrafo de aluminio reciclado cuerpo engomado</t>
  </si>
  <si>
    <t>00923 - Cuaderno A5 papel kraft tapa dura hojas rayadas</t>
  </si>
  <si>
    <t>01024 - Botella de plástico 550ml tapa a rosca</t>
  </si>
  <si>
    <r>
      <t xml:space="preserve">00898 - Paraguas gigante </t>
    </r>
    <r>
      <rPr>
        <b/>
        <sz val="8"/>
        <rFont val="Arial"/>
        <family val="2"/>
      </rPr>
      <t>COMBINADO</t>
    </r>
  </si>
  <si>
    <t>00633 - Espejito doble plástico compacto uno con aumento</t>
  </si>
  <si>
    <t>LL-301 - Broche plástico para llavero con aro sin fin 20mm</t>
  </si>
  <si>
    <t>LL-300 - Broche plástico para llavero</t>
  </si>
  <si>
    <t>LL-300</t>
  </si>
  <si>
    <t>LL-301</t>
  </si>
  <si>
    <r>
      <t xml:space="preserve">02322TA - Bolígrafo metálico retráctil  </t>
    </r>
    <r>
      <rPr>
        <b/>
        <sz val="8"/>
        <color theme="7"/>
        <rFont val="Arial"/>
        <family val="2"/>
      </rPr>
      <t>TRAZO AZUL</t>
    </r>
  </si>
  <si>
    <t>00745 - Neceser HRT 17 x 9,8 x 8 cm</t>
  </si>
  <si>
    <t>10507 - Set de vino 4 elementos caja de bambú</t>
  </si>
  <si>
    <t>00993 - Tabla de bambú para quesos</t>
  </si>
  <si>
    <t>P5541 - Chomba pique blanca importada 100% poliester</t>
  </si>
  <si>
    <t>P5541</t>
  </si>
  <si>
    <t>P5542 - Chomba pique de color importada 100% poliester</t>
  </si>
  <si>
    <t>P5542</t>
  </si>
  <si>
    <t>P5547</t>
  </si>
  <si>
    <t>P5547 - Chomba 100% algodón 24/1 peinado blanca y color</t>
  </si>
  <si>
    <t xml:space="preserve">02341 - Set de bolígrafo y roller metálicos </t>
  </si>
  <si>
    <t>02271 - Bolígrafo plástico porta celular</t>
  </si>
  <si>
    <t>02272 - Bolígrafo touch plástico porta celular</t>
  </si>
  <si>
    <t>00927 - Memo stick con notas adhesivas de 5 colores</t>
  </si>
  <si>
    <t>01056 - Botella térmica de acero con tapa de bambú</t>
  </si>
  <si>
    <t>01066 - Botella vidrio borosilicato esmerilado tapa bambú</t>
  </si>
  <si>
    <t>00022 - Mate madera forrado aluminio con pintura bicapa</t>
  </si>
  <si>
    <t>00397 - Parlante bluetooth bambú 3w 300mAh</t>
  </si>
  <si>
    <t>00398 - Parlante bluetooth metálico 3w 300mAh</t>
  </si>
  <si>
    <t>00395 - Parlante pendolo plastico 3w 300mAh</t>
  </si>
  <si>
    <t>00704 - Mochila Canvas 20 litros porta notebook</t>
  </si>
  <si>
    <t xml:space="preserve">00381 - Soporte de escritorio para celular </t>
  </si>
  <si>
    <t>02322TA</t>
  </si>
  <si>
    <t>EL DESCUENTO ES ABONANDO EN EFECTIVO O TRANSFERENCIA BANCARIA. PAGO CON TARJETA APLICA 8% DE DESCUENTO Y ES EN FORMA PRESENCIAL</t>
  </si>
  <si>
    <t>00817 - Carpeta Portfolio eco cuero negro con cinta pasador</t>
  </si>
  <si>
    <t>00818 - Carpeta Portfolio eco cuero negro porta block</t>
  </si>
  <si>
    <t>10506 - Set de vino 3 elementos caja de madera</t>
  </si>
  <si>
    <t>00990 - Set de quesos de bambú</t>
  </si>
  <si>
    <t>01020 - Set de 4 posavasos con base de bambú</t>
  </si>
  <si>
    <t>00384 - Auriculares bluetooth V5.0</t>
  </si>
  <si>
    <t>00430 - Pinza multifunción de metal y bambú 13 usos</t>
  </si>
  <si>
    <t>00431 - Multifunción de metal 11 usos</t>
  </si>
  <si>
    <t xml:space="preserve">00425 - Cutter grande cuerpo blanco </t>
  </si>
  <si>
    <t>02355 - Bolígrafo de aluminio mate y bambú</t>
  </si>
  <si>
    <t>02354 - Bolígrafo de aluminio mate y bambú grip calado</t>
  </si>
  <si>
    <t>00572-1 - Bolsa mochila botinero 100% poliéster 34x42cm</t>
  </si>
  <si>
    <t>00572 - Bolsa mochila botinero JMP 100% poliéster 34x44cm</t>
  </si>
  <si>
    <t>00760 - Cartuchera poliéster 600D 21x8,5x6,5cm</t>
  </si>
  <si>
    <t>00703 - Mochila MRD Eco Portanotebook 11 litros</t>
  </si>
  <si>
    <t xml:space="preserve">00556 - Riñonera deportiva impermeable reflectiva 23x5cm </t>
  </si>
  <si>
    <t>00394 - Power Bank multipuerto 5000mAh</t>
  </si>
  <si>
    <t>00402 - Power Bank multipuerto 10000mAh</t>
  </si>
  <si>
    <t>00399 - Parlante bambú y RPET 3,7w Bluetooth 5.2 300mAh</t>
  </si>
  <si>
    <t>00285 - Llavero con luz</t>
  </si>
  <si>
    <t>00746 - Neceser SM transparente PVC con detalle de color</t>
  </si>
  <si>
    <t>02500 - Set de 12 lápices de colores en cajita</t>
  </si>
  <si>
    <t>02240 - Lápiz All Black con punta con goma</t>
  </si>
  <si>
    <t>02507 - Tubo 12  lápices de colores all black con saca puntas</t>
  </si>
  <si>
    <t>P5551</t>
  </si>
  <si>
    <t>P5554 - Gorro infantil poliester</t>
  </si>
  <si>
    <t>P5554</t>
  </si>
  <si>
    <t>00396 - Parlante Eco cereal 3w 400mAh</t>
  </si>
  <si>
    <t>00839 - Anotador flex hojas rayadas 21x14cm</t>
  </si>
  <si>
    <t>00840 - Cuaderno anotador con bolígrafo hojas lisas 18x14cm</t>
  </si>
  <si>
    <t>02147 - Funda de PVC para un bolígrafo</t>
  </si>
  <si>
    <t>00838 - Cuaderno simil bambu hojas rayadas 21x14cm</t>
  </si>
  <si>
    <t>LL-130 - Llavero de cuero tira 10 cm</t>
  </si>
  <si>
    <t>LL-131 - Llavero doble cuero forma circular</t>
  </si>
  <si>
    <t>LL-132 - Llavero doble cuero forma gota 7 cm alto</t>
  </si>
  <si>
    <t>LL-133 - Llavero doble cuero clásico 6 cm alto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</si>
  <si>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contactarse por whatsapp o mail: ventas@jivi.com.ar</t>
    </r>
  </si>
  <si>
    <t>LA MERCADERIA SE ENVIA POR CUENTA Y RIESGO DEL CLIENTE  • EN CASO DE PERDIDA DE MERCADERIA PARCIAL O TOTAL SE DEBERÁ REALIZAR EL RECLAMO EN EL TRANSPORTE CORRESPONDIENTE • LOS BULTOS SE ENVIAN CON CINTA DE EMBALAJE , VERIFICAR QUE ESTÉ INTACTA LA CINTA AL RETIRARLOS DEL CENTRO DE ENCOMIENDAS</t>
  </si>
  <si>
    <t>IMP UN LADO FONDO BLANCO</t>
  </si>
  <si>
    <t>00292 - Llavero cinta MINI blanca con aro sin fin</t>
  </si>
  <si>
    <t>00293 - Llavero cinta MINI blanca con mosquetón plástico</t>
  </si>
  <si>
    <t>PAGOS EN EFECTIVO O TRANSFERENCIA BANCARIA 20% DE DESCUENTO DEL PRECIO DE LISTA</t>
  </si>
  <si>
    <t>IR A BOTELLAS Y JARROS</t>
  </si>
  <si>
    <t>LL-130</t>
  </si>
  <si>
    <t>LL-131</t>
  </si>
  <si>
    <t>LL-132</t>
  </si>
  <si>
    <t>01059 - Botella de aluminio con boquilla rebatible 800ml</t>
  </si>
  <si>
    <t>01023 - Vaso fernetero metálico aluminio 1 litro</t>
  </si>
  <si>
    <t>00832 - Cuaderno Eco tapas flexibles A5 hojas rayadas</t>
  </si>
  <si>
    <t>02269 - Bolígrafo slim silver medio giro</t>
  </si>
  <si>
    <t xml:space="preserve">02242 - Lápiz negro madera natural sin punta con goma </t>
  </si>
  <si>
    <t>M-27-1 - Porta credencial extensible plástico</t>
  </si>
  <si>
    <t>M-27-1</t>
  </si>
  <si>
    <t>00702 - Set Mochila / Bandolera / Portadocumentos</t>
  </si>
  <si>
    <t>P5551 - Gorro Camper Trucker esctructurado 100% algodón</t>
  </si>
  <si>
    <t>01044 - Vaso térmico PAMPERO® BAYO</t>
  </si>
  <si>
    <t>00598 - Mochila Urbana bitono 20 litros</t>
  </si>
  <si>
    <t>00884 - Paraguas gigante doble capa automático</t>
  </si>
  <si>
    <t>01051 - Botella vidrio borosilicato con funda de yute sintetico</t>
  </si>
  <si>
    <t>CE-M16 - Taza recta blanca IMPORTADA interior de color</t>
  </si>
  <si>
    <t>M110 - Cuchillo premium hoja 13 cm guayuvira funda de cuero</t>
  </si>
  <si>
    <t>M043 - Cuchillo tenedor premium hoja 12 cm funda cuero</t>
  </si>
  <si>
    <r>
      <t xml:space="preserve">00896 - Paraguas gigante reforzado liso </t>
    </r>
    <r>
      <rPr>
        <b/>
        <sz val="8"/>
        <rFont val="Arial"/>
        <family val="2"/>
      </rPr>
      <t>AZUL</t>
    </r>
  </si>
  <si>
    <r>
      <t xml:space="preserve">00085-1BL - Portapatente Modelo Mercosur </t>
    </r>
    <r>
      <rPr>
        <b/>
        <sz val="8"/>
        <rFont val="Arial"/>
        <family val="2"/>
      </rPr>
      <t>blanco</t>
    </r>
  </si>
  <si>
    <r>
      <t xml:space="preserve">00085-1NE - Portapatente Modelo Mercosur </t>
    </r>
    <r>
      <rPr>
        <b/>
        <sz val="8"/>
        <rFont val="Arial"/>
        <family val="2"/>
      </rPr>
      <t xml:space="preserve">negro  </t>
    </r>
  </si>
  <si>
    <r>
      <t xml:space="preserve">00085-2BL - Portapatente Modelo chico abierto </t>
    </r>
    <r>
      <rPr>
        <b/>
        <sz val="8"/>
        <rFont val="Arial"/>
        <family val="2"/>
      </rPr>
      <t>blanco</t>
    </r>
  </si>
  <si>
    <r>
      <t xml:space="preserve">00085-2NE - Portapatente Modelo chico abierto </t>
    </r>
    <r>
      <rPr>
        <b/>
        <sz val="8"/>
        <rFont val="Arial"/>
        <family val="2"/>
      </rPr>
      <t xml:space="preserve">negro </t>
    </r>
  </si>
  <si>
    <t>00085-2BL</t>
  </si>
  <si>
    <t>00085-2NE</t>
  </si>
  <si>
    <t>00085-1BL</t>
  </si>
  <si>
    <t>00085-1NE</t>
  </si>
  <si>
    <t>02279-1</t>
  </si>
  <si>
    <t>00300V - Porta credencial PVC vertical 65x95 - 150 micrones</t>
  </si>
  <si>
    <t>CON PERFORACIONES PARA COLGAR EN CINTAS 00301 Y 00302</t>
  </si>
  <si>
    <t>00300G - Porta credencial PVC vertical 95x150mm - 150 micr.</t>
  </si>
  <si>
    <t>00300H - Porta credencial PVC horizontal 90x55mm - 150 micr.</t>
  </si>
  <si>
    <t>CE-M16</t>
  </si>
  <si>
    <r>
      <t xml:space="preserve">02279 - Boligrafo reciclado ECO Friendly </t>
    </r>
    <r>
      <rPr>
        <b/>
        <sz val="8"/>
        <color theme="7"/>
        <rFont val="Arial"/>
        <family val="2"/>
      </rPr>
      <t>TRAZO AZUL</t>
    </r>
  </si>
  <si>
    <r>
      <t xml:space="preserve">02279-1 - Boligrafo reciclado ECO Friendly </t>
    </r>
    <r>
      <rPr>
        <b/>
        <sz val="8"/>
        <rFont val="Arial"/>
        <family val="2"/>
      </rPr>
      <t>TRAZO NEGRO</t>
    </r>
  </si>
  <si>
    <t>01026 - Botella de plástico 550ml tapa a rosca con manija</t>
  </si>
  <si>
    <t>00300G</t>
  </si>
  <si>
    <t>00300H</t>
  </si>
  <si>
    <t>00300V</t>
  </si>
  <si>
    <t>00292-1</t>
  </si>
  <si>
    <t>00293-1</t>
  </si>
  <si>
    <t>00292-1 - Llavero cinta MINI color con aro sin fin</t>
  </si>
  <si>
    <t>00293-1 - Llavero cinta MINI color con mosqueton plástico</t>
  </si>
  <si>
    <t>00294 - Llavero cinta MINI blanca con mosquetón simple</t>
  </si>
  <si>
    <t>00294-1 - Llavero cinta MINI color con mosquetón simple</t>
  </si>
  <si>
    <t>00294-1</t>
  </si>
  <si>
    <t>00295-1 - Llavero cinta MINI color c/mosquetón zamak anzuelo</t>
  </si>
  <si>
    <t>00295 - Llavero cinta MINI blanca c/mosquetón zamak anzuelo</t>
  </si>
  <si>
    <t>00298 - Llavero cinta MINI blanca c/mosquetón zamak gatillo</t>
  </si>
  <si>
    <t>00298-1</t>
  </si>
  <si>
    <t>00298-1 - Llavero cinta MINI color c/mosquetón zamak gatillo</t>
  </si>
  <si>
    <t>00816 - Cuaderno tapa dura kraft anillado hojas rayadas</t>
  </si>
  <si>
    <t>CON LOGO IMPRESO FULL COLOR</t>
  </si>
  <si>
    <t xml:space="preserve">00725 - Maletín de fieltro ecológico porta notebook </t>
  </si>
  <si>
    <t>ZC-2218 - Pad Mouse sublimable premium importado 22x18cm</t>
  </si>
  <si>
    <t>00537 - Porta tarjeta colgante para cambio de aceite</t>
  </si>
  <si>
    <t>LL-103</t>
  </si>
  <si>
    <t>LL-103 - Llavero destapador de aluminio con correa</t>
  </si>
  <si>
    <t>LL-106</t>
  </si>
  <si>
    <t>LL-106 - Llavero destapador bambú y metal premium</t>
  </si>
  <si>
    <t>LL-114</t>
  </si>
  <si>
    <t>01077 - Botella de aluminio tapa de acero con tira silicona</t>
  </si>
  <si>
    <t>01021 - Botella de vidrio con funda de neopreno</t>
  </si>
  <si>
    <t>01022 - Botella de vidrio borosilicato con funda de neopreno</t>
  </si>
  <si>
    <t>00579 - Riñonera ECO urbana realizada en RPet</t>
  </si>
  <si>
    <t>LL-108 - Llavero de metal y bambu redondo giratorio</t>
  </si>
  <si>
    <t>LL-108</t>
  </si>
  <si>
    <t>LL-125</t>
  </si>
  <si>
    <t>LL-125 - Llavero de metal clásico con estuche</t>
  </si>
  <si>
    <t>LL-100 - Llavero bambú y metal con forma de auto</t>
  </si>
  <si>
    <t>LL-104 - Llavero bambú y metal con forma de casa</t>
  </si>
  <si>
    <t>LL-100</t>
  </si>
  <si>
    <t>LL-104</t>
  </si>
  <si>
    <t>LL-115 - Llavero de metal giratorio en estuche</t>
  </si>
  <si>
    <t>LL-114 - Llavero de metal negro mate cinta color con estuche</t>
  </si>
  <si>
    <t>LL-115</t>
  </si>
  <si>
    <t xml:space="preserve">10505 - Destapador metal y bambú en caja </t>
  </si>
  <si>
    <t>10508 - Set de 2 copas de vino y destapador en caja bambú</t>
  </si>
  <si>
    <t>01076 - Botella de aluminio tapa a rosca 750ml</t>
  </si>
  <si>
    <t>01087 - Botella de aluminio mate tapa a rosca 750ml</t>
  </si>
  <si>
    <t xml:space="preserve">01107 - Termo de acero inoxidable 1 litro </t>
  </si>
  <si>
    <t>01018 - Botella térmica 500ml doble pared con tapa de bambú</t>
  </si>
  <si>
    <t>01070 - Botella térmica 500ml de acero con tapa de bambú</t>
  </si>
  <si>
    <t>01065 - Jarro mug acero 880ml con sorbete</t>
  </si>
  <si>
    <t>01073 - Jarro mug 400ml acero doble pared</t>
  </si>
  <si>
    <t>00748 - Neceser colgante</t>
  </si>
  <si>
    <t>01062 - Vaso térmico doble pared acero sellado al vacio</t>
  </si>
  <si>
    <t>02254-1TA</t>
  </si>
  <si>
    <r>
      <t xml:space="preserve">02254-1TA - Bolígrafo cuerpo de color retráctil </t>
    </r>
    <r>
      <rPr>
        <b/>
        <sz val="8"/>
        <color rgb="FF0070C0"/>
        <rFont val="Arial"/>
        <family val="2"/>
      </rPr>
      <t>TRAZO AZUL</t>
    </r>
  </si>
  <si>
    <t>00380 - Soporte de bambú de escritorio para celular</t>
  </si>
  <si>
    <t>00547 - Porta Voucher 13 x 20cm Tela industrial</t>
  </si>
  <si>
    <t>00547F - Porta Voucher 13 x 20cm Folia</t>
  </si>
  <si>
    <t>00547F</t>
  </si>
  <si>
    <t>00109Q - Llavero Cuero c/cadena - 1/2/3/4/5/6 costura opcional</t>
  </si>
  <si>
    <t>00019 - Mate térmico de acero inoxidable sin bombilla</t>
  </si>
  <si>
    <t>01019 - Set de 4 vasitos shot</t>
  </si>
  <si>
    <t>01017 - Botella deportiva acero 500ml con sorbete</t>
  </si>
  <si>
    <t>00722 - Mochila DGM simple 12,5Lt</t>
  </si>
  <si>
    <t xml:space="preserve">00723 - Mochila Eco RPET 14Lt portanotebook </t>
  </si>
  <si>
    <t>00724 - Mochila Lisa 13,5 Lt</t>
  </si>
  <si>
    <t>00726 - Mochila Domo Tech portanotebook USB 17 Lt</t>
  </si>
  <si>
    <t xml:space="preserve">00727 - Mochila WAGNER® Baviera </t>
  </si>
  <si>
    <t>00570-1</t>
  </si>
  <si>
    <r>
      <t xml:space="preserve">00570-1 - Mochila </t>
    </r>
    <r>
      <rPr>
        <b/>
        <sz val="8"/>
        <rFont val="Arial"/>
        <family val="2"/>
      </rPr>
      <t>PROMO</t>
    </r>
    <r>
      <rPr>
        <sz val="8"/>
        <rFont val="Arial"/>
        <family val="2"/>
      </rPr>
      <t xml:space="preserve"> Urban porta notebook 12 litros </t>
    </r>
  </si>
  <si>
    <t>03020 - Cerebro antiestres de poliuretano</t>
  </si>
  <si>
    <t>03022 - Pelotita Futbol antiestres de poliuretano 5 cm diám.</t>
  </si>
  <si>
    <t>03021 - Pelotita antiestres de poliuretano 6,3 cm diám.</t>
  </si>
  <si>
    <t xml:space="preserve">03023 - Pelotita Rugby antiestres de poliuretano </t>
  </si>
  <si>
    <t xml:space="preserve">03024 - Cubo antiestres de poliuretano </t>
  </si>
  <si>
    <t>03025 - Corazón antiestres de poliuretano 6x7 cm</t>
  </si>
  <si>
    <t>IR A PELOTITAS ANTIESTRES</t>
  </si>
  <si>
    <t>IP-T12M - Taza cerámica blanca terminación mate</t>
  </si>
  <si>
    <t>CE-M20</t>
  </si>
  <si>
    <t>CE-M20 - Taza blanca IMPORTADA con tapa y base de corcho</t>
  </si>
  <si>
    <t>00534 - Marbete / Tag identificador de valijas rígido</t>
  </si>
  <si>
    <t>03026 - Pelotita basquet antiestres de poliuretano 6,2 cm</t>
  </si>
  <si>
    <t>00089-1 - Billetera Gastronómica con calendario y logo</t>
  </si>
  <si>
    <t>00089 - Billetera Gastronómica con logo de un lado</t>
  </si>
  <si>
    <t>00089-1</t>
  </si>
  <si>
    <t>00020 - Bombilla 17cm coco ancho detalle dorado punto rojo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</si>
  <si>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30 de junio de 2025. Muestras a disposición del cliente para verificar diseño.</t>
  </si>
  <si>
    <t>00037 - Bombilla chata de acero inoxidable 17cm</t>
  </si>
  <si>
    <t>00295-1</t>
  </si>
  <si>
    <t>00387 - Auriculares bluetooth</t>
  </si>
  <si>
    <t>03110 - Pulsera tela poliester de un uso con broche plastico</t>
  </si>
  <si>
    <r>
      <t xml:space="preserve">00872 - Paraguas automático </t>
    </r>
    <r>
      <rPr>
        <b/>
        <sz val="8"/>
        <rFont val="Arial"/>
        <family val="2"/>
      </rPr>
      <t>NEGRO</t>
    </r>
    <r>
      <rPr>
        <sz val="8"/>
        <rFont val="Arial"/>
        <family val="2"/>
      </rPr>
      <t xml:space="preserve"> con vivo de color</t>
    </r>
  </si>
  <si>
    <t>00527 - Marbete - Identificador de valijas poliester flexible</t>
  </si>
  <si>
    <t>02416 - Bolígrafo metálico PARKER® JOTTER con estuche</t>
  </si>
  <si>
    <t>IR A PULSERAS</t>
  </si>
  <si>
    <t>00521 - Credencial identificatoria poliester flexible 8x12cm</t>
  </si>
  <si>
    <t>00520 - Credencial identificatoria poliester flexible 7x10,5cm</t>
  </si>
  <si>
    <t>10603 - Posavasos premium de PVC laminado 8,5 cm</t>
  </si>
  <si>
    <t>03111 - Pulsera tela poliester de un uso con broche plastico</t>
  </si>
  <si>
    <t>11604 - Almanaque 2026 Paisajes 14 Hojas - Logo 1 color</t>
  </si>
  <si>
    <t>11610 - Repuesto de almanaque 2026</t>
  </si>
  <si>
    <r>
      <t>03100 - Pulsera tyvek adhesiva</t>
    </r>
    <r>
      <rPr>
        <b/>
        <sz val="8"/>
        <rFont val="Arial"/>
        <family val="2"/>
      </rPr>
      <t xml:space="preserve"> impresa en negro</t>
    </r>
  </si>
  <si>
    <r>
      <t xml:space="preserve">00905B - Paraguas gigante </t>
    </r>
    <r>
      <rPr>
        <b/>
        <sz val="8"/>
        <rFont val="Arial"/>
        <family val="2"/>
      </rPr>
      <t xml:space="preserve">BLANCO </t>
    </r>
    <r>
      <rPr>
        <sz val="8"/>
        <rFont val="Arial"/>
        <family val="2"/>
      </rPr>
      <t>con sistema anti viento</t>
    </r>
  </si>
  <si>
    <r>
      <t xml:space="preserve">00905 -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sistema anti viento</t>
    </r>
  </si>
  <si>
    <t>00622 - Calzador plástico 17,7cm</t>
  </si>
  <si>
    <t>02346 - Bolígrafo metálico acero negro mate</t>
  </si>
  <si>
    <t>03106 - Pulsera poliester 300mic. metalizada full color c/broche</t>
  </si>
  <si>
    <t>03105 - Pulsera poliester 300mic. blanca full color con broche</t>
  </si>
  <si>
    <t>00354 - Pad Mouse gigante Full Color esmerilado 44x29cm</t>
  </si>
  <si>
    <t>LISTA DE PRECIOS Nº 9 / 2025 (En Pesos) - NO INCLUYE I.V.A. - SEPTIEMBRE - 2025</t>
  </si>
  <si>
    <r>
      <t xml:space="preserve">00085 - Portapatente cerrado modelo viejo </t>
    </r>
    <r>
      <rPr>
        <b/>
        <sz val="8"/>
        <rFont val="Arial"/>
        <family val="2"/>
      </rPr>
      <t>NEGRO</t>
    </r>
  </si>
  <si>
    <t>00085 - Portapatente cerrado segunda selección blanco/beige</t>
  </si>
  <si>
    <t>00643 - Cooler Box 24x22x17cm</t>
  </si>
  <si>
    <t>00642 - Cooler lunchera Best value poliester 20x14x12,5cm</t>
  </si>
  <si>
    <t>00641 - Cooler lunchera Mini 4,5 litros 20x14x15,5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</si>
</sst>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18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7"/>
      <name val="Arial Narrow"/>
      <family val="2"/>
    </font>
    <font>
      <sz val="9"/>
      <color indexed="10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7"/>
      <color indexed="12"/>
      <name val="Arial"/>
      <family val="2"/>
    </font>
    <font>
      <b/>
      <sz val="8"/>
      <color theme="0"/>
      <name val="Arial Narrow"/>
      <family val="2"/>
    </font>
    <font>
      <sz val="8"/>
      <color indexed="30"/>
      <name val="Arial"/>
      <family val="2"/>
    </font>
    <font>
      <b/>
      <i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185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4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6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57" fillId="2" borderId="0" xfId="0" applyFont="1" applyFill="1"/>
    <xf numFmtId="0" fontId="0" fillId="4" borderId="0" xfId="0" applyFill="1" applyBorder="1" applyAlignment="1">
      <alignment wrapText="1"/>
    </xf>
    <xf numFmtId="2" fontId="4" fillId="4" borderId="0" xfId="0" applyNumberFormat="1" applyFont="1" applyFill="1" applyBorder="1" applyAlignment="1">
      <alignment horizontal="center" vertical="center"/>
    </xf>
    <xf numFmtId="0" fontId="65" fillId="2" borderId="0" xfId="0" applyFont="1" applyFill="1"/>
    <xf numFmtId="0" fontId="0" fillId="4" borderId="0" xfId="0" applyFill="1"/>
    <xf numFmtId="2" fontId="0" fillId="4" borderId="0" xfId="0" applyNumberFormat="1" applyFill="1" applyBorder="1"/>
    <xf numFmtId="0" fontId="0" fillId="4" borderId="0" xfId="0" applyFill="1" applyBorder="1" applyAlignment="1"/>
    <xf numFmtId="0" fontId="14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/>
    </xf>
    <xf numFmtId="0" fontId="67" fillId="2" borderId="0" xfId="0" applyFont="1" applyFill="1"/>
    <xf numFmtId="0" fontId="68" fillId="2" borderId="0" xfId="0" applyFont="1" applyFill="1"/>
    <xf numFmtId="0" fontId="0" fillId="4" borderId="0" xfId="0" applyFill="1" applyBorder="1"/>
    <xf numFmtId="0" fontId="31" fillId="2" borderId="0" xfId="0" applyFont="1" applyFill="1"/>
    <xf numFmtId="2" fontId="7" fillId="4" borderId="0" xfId="0" applyNumberFormat="1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0" fillId="4" borderId="0" xfId="0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2" fontId="4" fillId="6" borderId="12" xfId="0" applyNumberFormat="1" applyFont="1" applyFill="1" applyBorder="1" applyAlignment="1">
      <alignment horizontal="center" vertical="center"/>
    </xf>
    <xf numFmtId="0" fontId="41" fillId="6" borderId="2" xfId="0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/>
    </xf>
    <xf numFmtId="0" fontId="69" fillId="2" borderId="0" xfId="0" applyFont="1" applyFill="1"/>
    <xf numFmtId="2" fontId="64" fillId="4" borderId="0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8" xfId="0" applyNumberFormat="1" applyFont="1" applyFill="1" applyBorder="1" applyAlignment="1">
      <alignment horizontal="center" vertical="center"/>
    </xf>
    <xf numFmtId="2" fontId="59" fillId="7" borderId="7" xfId="0" applyNumberFormat="1" applyFont="1" applyFill="1" applyBorder="1" applyAlignment="1">
      <alignment horizontal="center" vertical="center"/>
    </xf>
    <xf numFmtId="2" fontId="59" fillId="4" borderId="8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right"/>
    </xf>
    <xf numFmtId="0" fontId="65" fillId="2" borderId="0" xfId="0" applyFont="1" applyFill="1" applyBorder="1"/>
    <xf numFmtId="2" fontId="70" fillId="7" borderId="3" xfId="0" applyNumberFormat="1" applyFont="1" applyFill="1" applyBorder="1" applyAlignment="1">
      <alignment horizontal="center" vertical="center"/>
    </xf>
    <xf numFmtId="0" fontId="60" fillId="4" borderId="3" xfId="0" applyFont="1" applyFill="1" applyBorder="1"/>
    <xf numFmtId="2" fontId="59" fillId="7" borderId="5" xfId="0" applyNumberFormat="1" applyFont="1" applyFill="1" applyBorder="1" applyAlignment="1">
      <alignment horizontal="center" vertical="center"/>
    </xf>
    <xf numFmtId="2" fontId="59" fillId="4" borderId="5" xfId="0" applyNumberFormat="1" applyFont="1" applyFill="1" applyBorder="1" applyAlignment="1">
      <alignment horizontal="center" vertical="center"/>
    </xf>
    <xf numFmtId="0" fontId="61" fillId="4" borderId="0" xfId="0" applyFont="1" applyFill="1" applyAlignment="1">
      <alignment horizontal="center" vertical="center"/>
    </xf>
    <xf numFmtId="0" fontId="60" fillId="7" borderId="3" xfId="0" applyFont="1" applyFill="1" applyBorder="1"/>
    <xf numFmtId="2" fontId="58" fillId="4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4" borderId="0" xfId="0" applyFont="1" applyFill="1" applyBorder="1" applyAlignment="1"/>
    <xf numFmtId="2" fontId="34" fillId="4" borderId="0" xfId="0" applyNumberFormat="1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center" vertical="center" wrapText="1"/>
    </xf>
    <xf numFmtId="2" fontId="59" fillId="4" borderId="7" xfId="0" applyNumberFormat="1" applyFont="1" applyFill="1" applyBorder="1" applyAlignment="1">
      <alignment horizontal="center" vertical="center"/>
    </xf>
    <xf numFmtId="2" fontId="59" fillId="4" borderId="3" xfId="3" applyNumberFormat="1" applyFont="1" applyFill="1" applyBorder="1" applyAlignment="1">
      <alignment horizontal="center" vertical="center"/>
    </xf>
    <xf numFmtId="2" fontId="59" fillId="7" borderId="3" xfId="3" applyNumberFormat="1" applyFont="1" applyFill="1" applyBorder="1" applyAlignment="1">
      <alignment horizontal="center" vertical="center"/>
    </xf>
    <xf numFmtId="2" fontId="59" fillId="4" borderId="11" xfId="0" applyNumberFormat="1" applyFont="1" applyFill="1" applyBorder="1" applyAlignment="1">
      <alignment horizontal="center" vertical="center"/>
    </xf>
    <xf numFmtId="2" fontId="59" fillId="4" borderId="0" xfId="0" applyNumberFormat="1" applyFont="1" applyFill="1" applyBorder="1" applyAlignment="1">
      <alignment horizontal="center" vertical="center"/>
    </xf>
    <xf numFmtId="2" fontId="59" fillId="4" borderId="15" xfId="0" applyNumberFormat="1" applyFont="1" applyFill="1" applyBorder="1" applyAlignment="1">
      <alignment horizontal="center" vertical="center"/>
    </xf>
    <xf numFmtId="2" fontId="59" fillId="7" borderId="15" xfId="0" applyNumberFormat="1" applyFont="1" applyFill="1" applyBorder="1" applyAlignment="1">
      <alignment horizontal="center" vertical="center"/>
    </xf>
    <xf numFmtId="2" fontId="62" fillId="7" borderId="3" xfId="0" applyNumberFormat="1" applyFont="1" applyFill="1" applyBorder="1" applyAlignment="1">
      <alignment horizontal="center" vertical="center"/>
    </xf>
    <xf numFmtId="2" fontId="62" fillId="4" borderId="3" xfId="0" applyNumberFormat="1" applyFont="1" applyFill="1" applyBorder="1" applyAlignment="1">
      <alignment horizontal="center" vertical="center"/>
    </xf>
    <xf numFmtId="2" fontId="40" fillId="4" borderId="3" xfId="0" applyNumberFormat="1" applyFont="1" applyFill="1" applyBorder="1" applyAlignment="1">
      <alignment horizontal="center" vertical="center"/>
    </xf>
    <xf numFmtId="2" fontId="40" fillId="7" borderId="3" xfId="0" applyNumberFormat="1" applyFon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horizontal="center" vertical="center"/>
    </xf>
    <xf numFmtId="0" fontId="65" fillId="4" borderId="0" xfId="0" applyFont="1" applyFill="1" applyAlignment="1">
      <alignment horizontal="right"/>
    </xf>
    <xf numFmtId="0" fontId="65" fillId="2" borderId="0" xfId="0" applyFont="1" applyFill="1" applyAlignment="1">
      <alignment horizontal="right"/>
    </xf>
    <xf numFmtId="0" fontId="18" fillId="2" borderId="0" xfId="0" applyFont="1" applyFill="1" applyBorder="1"/>
    <xf numFmtId="2" fontId="70" fillId="4" borderId="0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66" fillId="9" borderId="0" xfId="0" applyFont="1" applyFill="1"/>
    <xf numFmtId="0" fontId="18" fillId="9" borderId="0" xfId="0" applyFont="1" applyFill="1"/>
    <xf numFmtId="0" fontId="0" fillId="9" borderId="0" xfId="0" applyFill="1" applyBorder="1"/>
    <xf numFmtId="2" fontId="0" fillId="9" borderId="0" xfId="0" applyNumberFormat="1" applyFill="1"/>
    <xf numFmtId="0" fontId="0" fillId="9" borderId="0" xfId="0" applyFill="1" applyBorder="1" applyAlignment="1"/>
    <xf numFmtId="0" fontId="0" fillId="9" borderId="22" xfId="0" applyFill="1" applyBorder="1"/>
    <xf numFmtId="2" fontId="0" fillId="9" borderId="0" xfId="0" applyNumberFormat="1" applyFill="1" applyBorder="1"/>
    <xf numFmtId="0" fontId="26" fillId="9" borderId="0" xfId="0" applyFont="1" applyFill="1" applyBorder="1"/>
    <xf numFmtId="4" fontId="0" fillId="9" borderId="0" xfId="0" applyNumberFormat="1" applyFill="1" applyBorder="1"/>
    <xf numFmtId="4" fontId="0" fillId="9" borderId="22" xfId="0" applyNumberFormat="1" applyFill="1" applyBorder="1"/>
    <xf numFmtId="0" fontId="26" fillId="9" borderId="0" xfId="0" applyFont="1" applyFill="1"/>
    <xf numFmtId="0" fontId="11" fillId="9" borderId="0" xfId="0" applyFont="1" applyFill="1"/>
    <xf numFmtId="4" fontId="0" fillId="9" borderId="0" xfId="0" applyNumberFormat="1" applyFill="1"/>
    <xf numFmtId="0" fontId="73" fillId="9" borderId="0" xfId="0" applyFont="1" applyFill="1"/>
    <xf numFmtId="0" fontId="73" fillId="9" borderId="0" xfId="0" applyFont="1" applyFill="1" applyBorder="1"/>
    <xf numFmtId="0" fontId="65" fillId="9" borderId="0" xfId="0" applyFont="1" applyFill="1"/>
    <xf numFmtId="0" fontId="65" fillId="9" borderId="0" xfId="0" applyFont="1" applyFill="1" applyBorder="1"/>
    <xf numFmtId="0" fontId="65" fillId="9" borderId="22" xfId="0" applyFont="1" applyFill="1" applyBorder="1"/>
    <xf numFmtId="0" fontId="10" fillId="9" borderId="0" xfId="0" applyFont="1" applyFill="1"/>
    <xf numFmtId="0" fontId="0" fillId="9" borderId="0" xfId="0" applyFill="1" applyBorder="1" applyAlignment="1">
      <alignment horizontal="center" vertical="center" wrapText="1"/>
    </xf>
    <xf numFmtId="0" fontId="49" fillId="9" borderId="0" xfId="0" applyFont="1" applyFill="1"/>
    <xf numFmtId="0" fontId="74" fillId="9" borderId="1" xfId="0" applyFont="1" applyFill="1" applyBorder="1" applyAlignment="1">
      <alignment horizontal="center" vertical="center"/>
    </xf>
    <xf numFmtId="0" fontId="65" fillId="9" borderId="0" xfId="0" applyFont="1" applyFill="1" applyBorder="1" applyAlignment="1">
      <alignment horizontal="center" vertical="center"/>
    </xf>
    <xf numFmtId="0" fontId="65" fillId="9" borderId="22" xfId="0" applyFont="1" applyFill="1" applyBorder="1" applyAlignment="1">
      <alignment horizontal="center" vertical="center"/>
    </xf>
    <xf numFmtId="2" fontId="65" fillId="9" borderId="0" xfId="0" applyNumberFormat="1" applyFont="1" applyFill="1"/>
    <xf numFmtId="0" fontId="74" fillId="9" borderId="0" xfId="0" applyFont="1" applyFill="1"/>
    <xf numFmtId="0" fontId="0" fillId="9" borderId="1" xfId="0" applyFill="1" applyBorder="1"/>
    <xf numFmtId="2" fontId="18" fillId="9" borderId="1" xfId="0" applyNumberFormat="1" applyFont="1" applyFill="1" applyBorder="1"/>
    <xf numFmtId="2" fontId="0" fillId="9" borderId="1" xfId="0" applyNumberFormat="1" applyFill="1" applyBorder="1"/>
    <xf numFmtId="0" fontId="26" fillId="9" borderId="1" xfId="0" applyFont="1" applyFill="1" applyBorder="1"/>
    <xf numFmtId="0" fontId="0" fillId="9" borderId="0" xfId="0" applyFill="1" applyAlignment="1"/>
    <xf numFmtId="0" fontId="0" fillId="9" borderId="22" xfId="0" applyFill="1" applyBorder="1" applyAlignment="1"/>
    <xf numFmtId="0" fontId="2" fillId="9" borderId="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1" fillId="9" borderId="0" xfId="0" applyFont="1" applyFill="1"/>
    <xf numFmtId="0" fontId="41" fillId="9" borderId="0" xfId="0" applyFont="1" applyFill="1" applyBorder="1"/>
    <xf numFmtId="0" fontId="11" fillId="9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0" fillId="0" borderId="0" xfId="2" applyFont="1" applyAlignment="1" applyProtection="1"/>
    <xf numFmtId="0" fontId="2" fillId="9" borderId="1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6" fillId="4" borderId="0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right"/>
    </xf>
    <xf numFmtId="2" fontId="66" fillId="9" borderId="0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166" fontId="79" fillId="2" borderId="3" xfId="2" applyNumberFormat="1" applyFont="1" applyFill="1" applyBorder="1" applyAlignment="1" applyProtection="1">
      <alignment horizontal="center"/>
    </xf>
    <xf numFmtId="0" fontId="10" fillId="4" borderId="11" xfId="0" applyFont="1" applyFill="1" applyBorder="1" applyAlignment="1">
      <alignment horizontal="left" vertical="center"/>
    </xf>
    <xf numFmtId="2" fontId="59" fillId="6" borderId="4" xfId="0" applyNumberFormat="1" applyFont="1" applyFill="1" applyBorder="1" applyAlignment="1">
      <alignment horizontal="center" vertical="center"/>
    </xf>
    <xf numFmtId="0" fontId="41" fillId="6" borderId="1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76" fillId="4" borderId="0" xfId="2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/>
    <xf numFmtId="0" fontId="26" fillId="4" borderId="0" xfId="0" applyFont="1" applyFill="1" applyBorder="1"/>
    <xf numFmtId="4" fontId="0" fillId="4" borderId="0" xfId="0" applyNumberFormat="1" applyFill="1" applyBorder="1"/>
    <xf numFmtId="166" fontId="12" fillId="4" borderId="0" xfId="2" applyNumberFormat="1" applyFill="1" applyBorder="1" applyAlignment="1" applyProtection="1">
      <alignment horizontal="center" vertical="center"/>
    </xf>
    <xf numFmtId="0" fontId="0" fillId="4" borderId="0" xfId="0" applyFill="1" applyAlignment="1">
      <alignment horizontal="right"/>
    </xf>
    <xf numFmtId="0" fontId="11" fillId="4" borderId="0" xfId="0" applyFont="1" applyFill="1" applyBorder="1" applyAlignment="1">
      <alignment horizontal="center" vertical="center"/>
    </xf>
    <xf numFmtId="0" fontId="82" fillId="4" borderId="0" xfId="0" applyFont="1" applyFill="1" applyBorder="1" applyAlignment="1">
      <alignment horizontal="center" vertical="center" wrapText="1"/>
    </xf>
    <xf numFmtId="0" fontId="76" fillId="4" borderId="0" xfId="0" applyFont="1" applyFill="1" applyBorder="1" applyAlignment="1">
      <alignment horizontal="center" vertical="center"/>
    </xf>
    <xf numFmtId="0" fontId="81" fillId="4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0" fontId="66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9" fillId="4" borderId="0" xfId="0" applyFont="1" applyFill="1"/>
    <xf numFmtId="0" fontId="95" fillId="2" borderId="0" xfId="0" applyFont="1" applyFill="1"/>
    <xf numFmtId="2" fontId="5" fillId="4" borderId="0" xfId="0" applyNumberFormat="1" applyFont="1" applyFill="1" applyBorder="1" applyAlignment="1">
      <alignment wrapText="1"/>
    </xf>
    <xf numFmtId="0" fontId="2" fillId="4" borderId="0" xfId="0" applyFont="1" applyFill="1" applyBorder="1" applyAlignment="1"/>
    <xf numFmtId="0" fontId="2" fillId="4" borderId="0" xfId="0" applyFont="1" applyFill="1" applyAlignment="1"/>
    <xf numFmtId="0" fontId="2" fillId="9" borderId="0" xfId="0" applyFont="1" applyFill="1" applyBorder="1" applyAlignment="1"/>
    <xf numFmtId="0" fontId="0" fillId="4" borderId="0" xfId="0" applyFill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65" fillId="4" borderId="0" xfId="0" applyFont="1" applyFill="1"/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36" fillId="7" borderId="16" xfId="0" applyFont="1" applyFill="1" applyBorder="1" applyAlignment="1"/>
    <xf numFmtId="0" fontId="36" fillId="7" borderId="25" xfId="0" applyFont="1" applyFill="1" applyBorder="1" applyAlignment="1"/>
    <xf numFmtId="2" fontId="58" fillId="7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59" fillId="4" borderId="8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0" fillId="7" borderId="3" xfId="0" applyFill="1" applyBorder="1"/>
    <xf numFmtId="0" fontId="5" fillId="4" borderId="3" xfId="0" applyFont="1" applyFill="1" applyBorder="1" applyAlignment="1">
      <alignment horizontal="center" vertical="center"/>
    </xf>
    <xf numFmtId="0" fontId="0" fillId="4" borderId="3" xfId="0" applyFill="1" applyBorder="1"/>
    <xf numFmtId="0" fontId="10" fillId="4" borderId="16" xfId="0" applyFont="1" applyFill="1" applyBorder="1" applyAlignment="1">
      <alignment horizontal="left" vertical="center"/>
    </xf>
    <xf numFmtId="0" fontId="41" fillId="6" borderId="16" xfId="0" applyFont="1" applyFill="1" applyBorder="1" applyAlignment="1">
      <alignment horizontal="center" vertical="center"/>
    </xf>
    <xf numFmtId="0" fontId="41" fillId="6" borderId="25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left" vertical="center"/>
    </xf>
    <xf numFmtId="2" fontId="4" fillId="6" borderId="25" xfId="0" applyNumberFormat="1" applyFont="1" applyFill="1" applyBorder="1" applyAlignment="1">
      <alignment horizontal="center" vertical="center"/>
    </xf>
    <xf numFmtId="2" fontId="59" fillId="6" borderId="19" xfId="0" applyNumberFormat="1" applyFont="1" applyFill="1" applyBorder="1" applyAlignment="1">
      <alignment horizontal="center" vertical="center"/>
    </xf>
    <xf numFmtId="2" fontId="59" fillId="6" borderId="9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/>
    <xf numFmtId="0" fontId="0" fillId="7" borderId="3" xfId="0" applyFill="1" applyBorder="1" applyAlignment="1">
      <alignment horizontal="center" vertical="center" wrapText="1"/>
    </xf>
    <xf numFmtId="2" fontId="10" fillId="7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/>
    <xf numFmtId="0" fontId="1" fillId="4" borderId="3" xfId="0" applyFont="1" applyFill="1" applyBorder="1"/>
    <xf numFmtId="0" fontId="5" fillId="7" borderId="3" xfId="0" applyFont="1" applyFill="1" applyBorder="1"/>
    <xf numFmtId="0" fontId="0" fillId="7" borderId="3" xfId="0" applyFill="1" applyBorder="1" applyAlignment="1">
      <alignment horizontal="center" vertical="center" wrapText="1"/>
    </xf>
    <xf numFmtId="0" fontId="1" fillId="7" borderId="0" xfId="0" applyFont="1" applyFill="1"/>
    <xf numFmtId="1" fontId="59" fillId="4" borderId="3" xfId="0" applyNumberFormat="1" applyFont="1" applyFill="1" applyBorder="1" applyAlignment="1">
      <alignment horizontal="center" vertical="center"/>
    </xf>
    <xf numFmtId="1" fontId="59" fillId="7" borderId="3" xfId="0" applyNumberFormat="1" applyFont="1" applyFill="1" applyBorder="1" applyAlignment="1">
      <alignment horizontal="center" vertical="center"/>
    </xf>
    <xf numFmtId="1" fontId="59" fillId="4" borderId="7" xfId="0" applyNumberFormat="1" applyFont="1" applyFill="1" applyBorder="1" applyAlignment="1">
      <alignment horizontal="center" vertical="center"/>
    </xf>
    <xf numFmtId="1" fontId="59" fillId="7" borderId="7" xfId="0" applyNumberFormat="1" applyFont="1" applyFill="1" applyBorder="1" applyAlignment="1">
      <alignment horizontal="center" vertical="center"/>
    </xf>
    <xf numFmtId="2" fontId="59" fillId="14" borderId="3" xfId="0" applyNumberFormat="1" applyFont="1" applyFill="1" applyBorder="1" applyAlignment="1">
      <alignment horizontal="center" vertical="center"/>
    </xf>
    <xf numFmtId="0" fontId="62" fillId="7" borderId="3" xfId="0" applyFont="1" applyFill="1" applyBorder="1"/>
    <xf numFmtId="0" fontId="62" fillId="4" borderId="3" xfId="0" applyFont="1" applyFill="1" applyBorder="1"/>
    <xf numFmtId="0" fontId="4" fillId="7" borderId="3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2" fontId="5" fillId="7" borderId="3" xfId="0" applyNumberFormat="1" applyFont="1" applyFill="1" applyBorder="1"/>
    <xf numFmtId="0" fontId="5" fillId="7" borderId="3" xfId="0" applyFont="1" applyFill="1" applyBorder="1" applyAlignment="1">
      <alignment horizontal="center" vertical="center"/>
    </xf>
    <xf numFmtId="2" fontId="6" fillId="7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59" fillId="7" borderId="8" xfId="0" applyNumberFormat="1" applyFont="1" applyFill="1" applyBorder="1" applyAlignment="1">
      <alignment horizontal="center" vertical="center"/>
    </xf>
    <xf numFmtId="1" fontId="59" fillId="4" borderId="5" xfId="0" applyNumberFormat="1" applyFont="1" applyFill="1" applyBorder="1" applyAlignment="1">
      <alignment horizontal="center" vertical="center"/>
    </xf>
    <xf numFmtId="1" fontId="59" fillId="4" borderId="11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" fontId="59" fillId="7" borderId="14" xfId="0" applyNumberFormat="1" applyFont="1" applyFill="1" applyBorder="1" applyAlignment="1">
      <alignment horizontal="center" vertical="center"/>
    </xf>
    <xf numFmtId="1" fontId="59" fillId="4" borderId="14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1" fillId="4" borderId="0" xfId="0" applyFont="1" applyFill="1"/>
    <xf numFmtId="1" fontId="59" fillId="7" borderId="5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1" fontId="59" fillId="7" borderId="4" xfId="0" applyNumberFormat="1" applyFont="1" applyFill="1" applyBorder="1" applyAlignment="1">
      <alignment horizontal="center" vertical="center"/>
    </xf>
    <xf numFmtId="1" fontId="59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2" fontId="1" fillId="4" borderId="3" xfId="0" applyNumberFormat="1" applyFont="1" applyFill="1" applyBorder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7" borderId="3" xfId="0" applyNumberFormat="1" applyFont="1" applyFill="1" applyBorder="1" applyAlignment="1">
      <alignment horizontal="center" vertical="center"/>
    </xf>
    <xf numFmtId="1" fontId="70" fillId="4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0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18" xfId="0" applyNumberFormat="1" applyFont="1" applyFill="1" applyBorder="1" applyAlignment="1">
      <alignment horizontal="center" vertical="center"/>
    </xf>
    <xf numFmtId="1" fontId="59" fillId="7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1" fillId="4" borderId="3" xfId="0" applyNumberFormat="1" applyFont="1" applyFill="1" applyBorder="1"/>
    <xf numFmtId="1" fontId="1" fillId="7" borderId="3" xfId="0" applyNumberFormat="1" applyFont="1" applyFill="1" applyBorder="1"/>
    <xf numFmtId="1" fontId="4" fillId="7" borderId="3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1" fillId="7" borderId="7" xfId="0" applyNumberFormat="1" applyFont="1" applyFill="1" applyBorder="1"/>
    <xf numFmtId="1" fontId="59" fillId="4" borderId="17" xfId="0" applyNumberFormat="1" applyFont="1" applyFill="1" applyBorder="1" applyAlignment="1">
      <alignment horizontal="center" vertical="center"/>
    </xf>
    <xf numFmtId="1" fontId="59" fillId="7" borderId="17" xfId="0" applyNumberFormat="1" applyFon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" fontId="62" fillId="4" borderId="3" xfId="0" applyNumberFormat="1" applyFont="1" applyFill="1" applyBorder="1" applyAlignment="1">
      <alignment horizontal="center" vertical="center" wrapText="1"/>
    </xf>
    <xf numFmtId="1" fontId="62" fillId="7" borderId="3" xfId="0" applyNumberFormat="1" applyFont="1" applyFill="1" applyBorder="1" applyAlignment="1">
      <alignment horizontal="center" vertical="center" wrapText="1"/>
    </xf>
    <xf numFmtId="168" fontId="71" fillId="4" borderId="8" xfId="0" applyNumberFormat="1" applyFont="1" applyFill="1" applyBorder="1" applyAlignment="1">
      <alignment horizontal="center" vertical="center"/>
    </xf>
    <xf numFmtId="168" fontId="4" fillId="5" borderId="3" xfId="0" applyNumberFormat="1" applyFont="1" applyFill="1" applyBorder="1" applyAlignment="1">
      <alignment horizontal="center" vertical="center"/>
    </xf>
    <xf numFmtId="168" fontId="59" fillId="7" borderId="3" xfId="0" applyNumberFormat="1" applyFont="1" applyFill="1" applyBorder="1" applyAlignment="1">
      <alignment horizontal="center" vertical="center"/>
    </xf>
    <xf numFmtId="168" fontId="59" fillId="7" borderId="7" xfId="0" applyNumberFormat="1" applyFont="1" applyFill="1" applyBorder="1" applyAlignment="1">
      <alignment horizontal="center" vertical="center"/>
    </xf>
    <xf numFmtId="168" fontId="59" fillId="4" borderId="3" xfId="0" applyNumberFormat="1" applyFont="1" applyFill="1" applyBorder="1" applyAlignment="1">
      <alignment horizontal="center" vertical="center"/>
    </xf>
    <xf numFmtId="168" fontId="59" fillId="7" borderId="8" xfId="0" applyNumberFormat="1" applyFont="1" applyFill="1" applyBorder="1" applyAlignment="1">
      <alignment horizontal="center" vertical="center"/>
    </xf>
    <xf numFmtId="0" fontId="3" fillId="12" borderId="25" xfId="0" applyNumberFormat="1" applyFont="1" applyFill="1" applyBorder="1" applyAlignment="1">
      <alignment horizontal="center" vertical="center" wrapText="1"/>
    </xf>
    <xf numFmtId="0" fontId="3" fillId="12" borderId="0" xfId="0" applyNumberFormat="1" applyFont="1" applyFill="1" applyBorder="1" applyAlignment="1">
      <alignment horizontal="center" vertical="center" wrapText="1"/>
    </xf>
    <xf numFmtId="0" fontId="3" fillId="12" borderId="12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1" fontId="106" fillId="4" borderId="3" xfId="0" applyNumberFormat="1" applyFont="1" applyFill="1" applyBorder="1" applyAlignment="1">
      <alignment horizontal="center" vertical="center"/>
    </xf>
    <xf numFmtId="1" fontId="106" fillId="7" borderId="3" xfId="0" applyNumberFormat="1" applyFont="1" applyFill="1" applyBorder="1" applyAlignment="1">
      <alignment horizontal="center" vertical="center"/>
    </xf>
    <xf numFmtId="1" fontId="106" fillId="7" borderId="5" xfId="0" applyNumberFormat="1" applyFont="1" applyFill="1" applyBorder="1" applyAlignment="1">
      <alignment horizontal="center" vertical="center"/>
    </xf>
    <xf numFmtId="1" fontId="106" fillId="4" borderId="5" xfId="0" applyNumberFormat="1" applyFont="1" applyFill="1" applyBorder="1" applyAlignment="1">
      <alignment horizontal="center" vertical="center"/>
    </xf>
    <xf numFmtId="0" fontId="62" fillId="4" borderId="3" xfId="0" applyFont="1" applyFill="1" applyBorder="1" applyAlignment="1">
      <alignment vertical="center"/>
    </xf>
    <xf numFmtId="0" fontId="62" fillId="7" borderId="3" xfId="0" applyFont="1" applyFill="1" applyBorder="1" applyAlignment="1">
      <alignment vertical="center"/>
    </xf>
    <xf numFmtId="0" fontId="5" fillId="7" borderId="11" xfId="0" applyFont="1" applyFill="1" applyBorder="1"/>
    <xf numFmtId="1" fontId="59" fillId="17" borderId="3" xfId="0" applyNumberFormat="1" applyFont="1" applyFill="1" applyBorder="1" applyAlignment="1">
      <alignment horizontal="center" vertical="center"/>
    </xf>
    <xf numFmtId="2" fontId="70" fillId="4" borderId="3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68" fontId="1" fillId="7" borderId="3" xfId="0" applyNumberFormat="1" applyFont="1" applyFill="1" applyBorder="1"/>
    <xf numFmtId="2" fontId="4" fillId="14" borderId="3" xfId="0" applyNumberFormat="1" applyFont="1" applyFill="1" applyBorder="1" applyAlignment="1">
      <alignment horizontal="center" vertical="center"/>
    </xf>
    <xf numFmtId="168" fontId="1" fillId="4" borderId="3" xfId="0" applyNumberFormat="1" applyFont="1" applyFill="1" applyBorder="1"/>
    <xf numFmtId="2" fontId="4" fillId="18" borderId="3" xfId="0" applyNumberFormat="1" applyFont="1" applyFill="1" applyBorder="1" applyAlignment="1">
      <alignment horizontal="center" vertical="center"/>
    </xf>
    <xf numFmtId="2" fontId="59" fillId="18" borderId="7" xfId="0" applyNumberFormat="1" applyFont="1" applyFill="1" applyBorder="1" applyAlignment="1">
      <alignment horizontal="center" vertical="center"/>
    </xf>
    <xf numFmtId="168" fontId="59" fillId="4" borderId="7" xfId="0" applyNumberFormat="1" applyFont="1" applyFill="1" applyBorder="1" applyAlignment="1">
      <alignment horizontal="center" vertical="center"/>
    </xf>
    <xf numFmtId="2" fontId="59" fillId="18" borderId="3" xfId="0" applyNumberFormat="1" applyFont="1" applyFill="1" applyBorder="1" applyAlignment="1">
      <alignment horizontal="center" vertical="center"/>
    </xf>
    <xf numFmtId="168" fontId="59" fillId="4" borderId="8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166" fontId="79" fillId="2" borderId="3" xfId="2" applyNumberFormat="1" applyFont="1" applyFill="1" applyBorder="1" applyAlignment="1" applyProtection="1">
      <alignment horizontal="center" vertical="center"/>
    </xf>
    <xf numFmtId="166" fontId="79" fillId="2" borderId="5" xfId="2" applyNumberFormat="1" applyFont="1" applyFill="1" applyBorder="1" applyAlignment="1" applyProtection="1">
      <alignment horizontal="center"/>
    </xf>
    <xf numFmtId="166" fontId="108" fillId="2" borderId="5" xfId="2" applyNumberFormat="1" applyFont="1" applyFill="1" applyBorder="1" applyAlignment="1" applyProtection="1">
      <alignment horizontal="center"/>
    </xf>
    <xf numFmtId="166" fontId="109" fillId="2" borderId="5" xfId="2" applyNumberFormat="1" applyFont="1" applyFill="1" applyBorder="1" applyAlignment="1" applyProtection="1">
      <alignment horizontal="center"/>
    </xf>
    <xf numFmtId="0" fontId="79" fillId="2" borderId="3" xfId="2" applyFont="1" applyFill="1" applyBorder="1" applyAlignment="1" applyProtection="1">
      <alignment horizontal="center"/>
    </xf>
    <xf numFmtId="166" fontId="79" fillId="2" borderId="19" xfId="2" applyNumberFormat="1" applyFont="1" applyFill="1" applyBorder="1" applyAlignment="1" applyProtection="1">
      <alignment horizontal="center"/>
    </xf>
    <xf numFmtId="0" fontId="79" fillId="0" borderId="3" xfId="2" applyNumberFormat="1" applyFont="1" applyBorder="1" applyAlignment="1" applyProtection="1">
      <alignment horizontal="center"/>
    </xf>
    <xf numFmtId="0" fontId="65" fillId="2" borderId="3" xfId="0" applyFont="1" applyFill="1" applyBorder="1" applyAlignment="1">
      <alignment horizontal="center"/>
    </xf>
    <xf numFmtId="0" fontId="65" fillId="0" borderId="3" xfId="0" applyNumberFormat="1" applyFont="1" applyBorder="1" applyAlignment="1">
      <alignment horizontal="center"/>
    </xf>
    <xf numFmtId="0" fontId="79" fillId="0" borderId="3" xfId="2" applyFont="1" applyBorder="1" applyAlignment="1" applyProtection="1">
      <alignment horizontal="center"/>
    </xf>
    <xf numFmtId="0" fontId="79" fillId="2" borderId="7" xfId="2" applyFont="1" applyFill="1" applyBorder="1" applyAlignment="1" applyProtection="1">
      <alignment horizontal="center"/>
    </xf>
    <xf numFmtId="166" fontId="79" fillId="2" borderId="4" xfId="2" applyNumberFormat="1" applyFont="1" applyFill="1" applyBorder="1" applyAlignment="1" applyProtection="1">
      <alignment horizontal="center" vertical="center"/>
    </xf>
    <xf numFmtId="166" fontId="79" fillId="2" borderId="4" xfId="2" applyNumberFormat="1" applyFont="1" applyFill="1" applyBorder="1" applyAlignment="1" applyProtection="1">
      <alignment horizontal="center"/>
    </xf>
    <xf numFmtId="166" fontId="79" fillId="0" borderId="3" xfId="2" applyNumberFormat="1" applyFont="1" applyBorder="1" applyAlignment="1" applyProtection="1">
      <alignment horizontal="center"/>
    </xf>
    <xf numFmtId="166" fontId="79" fillId="2" borderId="5" xfId="2" applyNumberFormat="1" applyFont="1" applyFill="1" applyBorder="1" applyAlignment="1" applyProtection="1">
      <alignment horizontal="center" vertical="center"/>
    </xf>
    <xf numFmtId="166" fontId="65" fillId="2" borderId="4" xfId="0" applyNumberFormat="1" applyFont="1" applyFill="1" applyBorder="1" applyAlignment="1">
      <alignment horizontal="center"/>
    </xf>
    <xf numFmtId="166" fontId="65" fillId="2" borderId="3" xfId="0" applyNumberFormat="1" applyFont="1" applyFill="1" applyBorder="1" applyAlignment="1">
      <alignment horizontal="center"/>
    </xf>
    <xf numFmtId="166" fontId="79" fillId="4" borderId="3" xfId="2" applyNumberFormat="1" applyFont="1" applyFill="1" applyBorder="1" applyAlignment="1" applyProtection="1">
      <alignment horizontal="center"/>
    </xf>
    <xf numFmtId="166" fontId="65" fillId="4" borderId="3" xfId="0" applyNumberFormat="1" applyFont="1" applyFill="1" applyBorder="1" applyAlignment="1">
      <alignment horizontal="center"/>
    </xf>
    <xf numFmtId="49" fontId="79" fillId="2" borderId="3" xfId="2" applyNumberFormat="1" applyFont="1" applyFill="1" applyBorder="1" applyAlignment="1" applyProtection="1">
      <alignment horizontal="center"/>
    </xf>
    <xf numFmtId="49" fontId="79" fillId="2" borderId="5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168" fontId="71" fillId="4" borderId="3" xfId="0" applyNumberFormat="1" applyFont="1" applyFill="1" applyBorder="1" applyAlignment="1">
      <alignment horizontal="center" vertical="center" wrapText="1"/>
    </xf>
    <xf numFmtId="1" fontId="106" fillId="4" borderId="0" xfId="0" applyNumberFormat="1" applyFont="1" applyFill="1" applyBorder="1" applyAlignment="1">
      <alignment horizontal="center" vertical="center"/>
    </xf>
    <xf numFmtId="49" fontId="79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1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4" borderId="5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6" fontId="79" fillId="2" borderId="9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2" fontId="59" fillId="7" borderId="11" xfId="0" applyNumberFormat="1" applyFont="1" applyFill="1" applyBorder="1" applyAlignment="1">
      <alignment horizontal="center" vertical="center"/>
    </xf>
    <xf numFmtId="1" fontId="106" fillId="4" borderId="11" xfId="0" applyNumberFormat="1" applyFont="1" applyFill="1" applyBorder="1" applyAlignment="1">
      <alignment horizontal="center" vertical="center"/>
    </xf>
    <xf numFmtId="1" fontId="106" fillId="7" borderId="11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1" fillId="7" borderId="3" xfId="0" applyNumberFormat="1" applyFont="1" applyFill="1" applyBorder="1"/>
    <xf numFmtId="0" fontId="0" fillId="4" borderId="0" xfId="0" applyFill="1" applyBorder="1" applyAlignment="1"/>
    <xf numFmtId="0" fontId="76" fillId="4" borderId="0" xfId="2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78" fillId="13" borderId="12" xfId="0" applyFont="1" applyFill="1" applyBorder="1"/>
    <xf numFmtId="0" fontId="76" fillId="13" borderId="3" xfId="0" applyFont="1" applyFill="1" applyBorder="1" applyAlignment="1">
      <alignment horizontal="center" vertical="center"/>
    </xf>
    <xf numFmtId="0" fontId="66" fillId="13" borderId="3" xfId="0" applyFont="1" applyFill="1" applyBorder="1" applyAlignment="1">
      <alignment horizontal="center" vertical="center"/>
    </xf>
    <xf numFmtId="2" fontId="43" fillId="13" borderId="3" xfId="0" applyNumberFormat="1" applyFont="1" applyFill="1" applyBorder="1" applyAlignment="1">
      <alignment horizontal="center" vertical="center"/>
    </xf>
    <xf numFmtId="2" fontId="76" fillId="13" borderId="3" xfId="0" applyNumberFormat="1" applyFont="1" applyFill="1" applyBorder="1" applyAlignment="1">
      <alignment horizontal="center" vertical="center"/>
    </xf>
    <xf numFmtId="2" fontId="55" fillId="10" borderId="7" xfId="0" applyNumberFormat="1" applyFont="1" applyFill="1" applyBorder="1" applyAlignment="1">
      <alignment horizontal="center" vertical="center" wrapText="1"/>
    </xf>
    <xf numFmtId="0" fontId="74" fillId="10" borderId="5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left" vertical="center"/>
    </xf>
    <xf numFmtId="0" fontId="5" fillId="19" borderId="9" xfId="0" applyFont="1" applyFill="1" applyBorder="1" applyAlignment="1">
      <alignment horizontal="left" vertical="center"/>
    </xf>
    <xf numFmtId="2" fontId="46" fillId="13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0" fontId="66" fillId="13" borderId="12" xfId="0" applyFont="1" applyFill="1" applyBorder="1" applyAlignment="1">
      <alignment horizontal="center" vertical="center"/>
    </xf>
    <xf numFmtId="0" fontId="76" fillId="13" borderId="12" xfId="0" applyFont="1" applyFill="1" applyBorder="1" applyAlignment="1">
      <alignment horizontal="center" vertical="center"/>
    </xf>
    <xf numFmtId="0" fontId="76" fillId="13" borderId="9" xfId="0" applyFont="1" applyFill="1" applyBorder="1" applyAlignment="1">
      <alignment horizontal="center" vertical="center"/>
    </xf>
    <xf numFmtId="168" fontId="59" fillId="4" borderId="35" xfId="0" applyNumberFormat="1" applyFont="1" applyFill="1" applyBorder="1" applyAlignment="1">
      <alignment horizontal="center" vertical="center"/>
    </xf>
    <xf numFmtId="168" fontId="59" fillId="4" borderId="37" xfId="0" applyNumberFormat="1" applyFont="1" applyFill="1" applyBorder="1" applyAlignment="1">
      <alignment horizontal="center" vertical="center"/>
    </xf>
    <xf numFmtId="2" fontId="77" fillId="15" borderId="5" xfId="0" applyNumberFormat="1" applyFont="1" applyFill="1" applyBorder="1" applyAlignment="1">
      <alignment horizontal="center" vertical="center"/>
    </xf>
    <xf numFmtId="2" fontId="76" fillId="15" borderId="5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1" fillId="2" borderId="0" xfId="0" applyFont="1" applyFill="1" applyBorder="1"/>
    <xf numFmtId="2" fontId="6" fillId="4" borderId="2" xfId="0" applyNumberFormat="1" applyFont="1" applyFill="1" applyBorder="1" applyAlignment="1">
      <alignment horizontal="center" vertical="center" wrapText="1"/>
    </xf>
    <xf numFmtId="2" fontId="65" fillId="4" borderId="3" xfId="0" applyNumberFormat="1" applyFont="1" applyFill="1" applyBorder="1"/>
    <xf numFmtId="2" fontId="65" fillId="7" borderId="3" xfId="0" applyNumberFormat="1" applyFont="1" applyFill="1" applyBorder="1"/>
    <xf numFmtId="0" fontId="4" fillId="7" borderId="5" xfId="0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106" fillId="4" borderId="15" xfId="0" applyNumberFormat="1" applyFont="1" applyFill="1" applyBorder="1" applyAlignment="1">
      <alignment horizontal="center" vertical="center"/>
    </xf>
    <xf numFmtId="1" fontId="70" fillId="7" borderId="15" xfId="0" applyNumberFormat="1" applyFont="1" applyFill="1" applyBorder="1" applyAlignment="1">
      <alignment horizontal="center" vertical="center"/>
    </xf>
    <xf numFmtId="1" fontId="115" fillId="7" borderId="8" xfId="0" applyNumberFormat="1" applyFont="1" applyFill="1" applyBorder="1" applyAlignment="1">
      <alignment horizontal="center" vertical="center"/>
    </xf>
    <xf numFmtId="1" fontId="59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4" borderId="5" xfId="0" applyNumberFormat="1" applyFont="1" applyFill="1" applyBorder="1" applyAlignment="1">
      <alignment horizontal="center" vertical="center"/>
    </xf>
    <xf numFmtId="166" fontId="109" fillId="2" borderId="3" xfId="2" applyNumberFormat="1" applyFont="1" applyFill="1" applyBorder="1" applyAlignment="1" applyProtection="1">
      <alignment horizontal="center" vertical="center"/>
    </xf>
    <xf numFmtId="0" fontId="2" fillId="9" borderId="0" xfId="0" applyFont="1" applyFill="1" applyBorder="1" applyAlignment="1"/>
    <xf numFmtId="2" fontId="59" fillId="4" borderId="3" xfId="0" applyNumberFormat="1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/>
    </xf>
    <xf numFmtId="1" fontId="41" fillId="4" borderId="3" xfId="0" applyNumberFormat="1" applyFont="1" applyFill="1" applyBorder="1" applyAlignment="1">
      <alignment horizontal="center" vertical="center" wrapText="1"/>
    </xf>
    <xf numFmtId="1" fontId="59" fillId="4" borderId="34" xfId="0" applyNumberFormat="1" applyFont="1" applyFill="1" applyBorder="1" applyAlignment="1">
      <alignment horizontal="center" vertical="center"/>
    </xf>
    <xf numFmtId="1" fontId="59" fillId="7" borderId="31" xfId="0" applyNumberFormat="1" applyFont="1" applyFill="1" applyBorder="1" applyAlignment="1">
      <alignment horizontal="center" vertical="center"/>
    </xf>
    <xf numFmtId="2" fontId="59" fillId="7" borderId="32" xfId="0" applyNumberFormat="1" applyFont="1" applyFill="1" applyBorder="1" applyAlignment="1">
      <alignment horizontal="center" vertical="center"/>
    </xf>
    <xf numFmtId="1" fontId="59" fillId="7" borderId="32" xfId="0" applyNumberFormat="1" applyFont="1" applyFill="1" applyBorder="1" applyAlignment="1">
      <alignment horizontal="center" vertical="center"/>
    </xf>
    <xf numFmtId="1" fontId="41" fillId="7" borderId="7" xfId="0" applyNumberFormat="1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center" vertical="center"/>
    </xf>
    <xf numFmtId="0" fontId="41" fillId="7" borderId="25" xfId="0" applyFont="1" applyFill="1" applyBorder="1" applyAlignment="1">
      <alignment horizontal="center" vertical="center"/>
    </xf>
    <xf numFmtId="1" fontId="106" fillId="4" borderId="7" xfId="0" applyNumberFormat="1" applyFont="1" applyFill="1" applyBorder="1" applyAlignment="1">
      <alignment horizontal="center" vertical="center"/>
    </xf>
    <xf numFmtId="0" fontId="116" fillId="2" borderId="0" xfId="0" applyFont="1" applyFill="1"/>
    <xf numFmtId="1" fontId="59" fillId="21" borderId="5" xfId="0" applyNumberFormat="1" applyFont="1" applyFill="1" applyBorder="1" applyAlignment="1">
      <alignment horizontal="center" vertical="center"/>
    </xf>
    <xf numFmtId="1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/>
    <xf numFmtId="2" fontId="4" fillId="21" borderId="3" xfId="0" applyNumberFormat="1" applyFont="1" applyFill="1" applyBorder="1" applyAlignment="1">
      <alignment horizontal="center" vertical="center"/>
    </xf>
    <xf numFmtId="1" fontId="1" fillId="21" borderId="3" xfId="0" applyNumberFormat="1" applyFont="1" applyFill="1" applyBorder="1"/>
    <xf numFmtId="1" fontId="106" fillId="21" borderId="3" xfId="0" applyNumberFormat="1" applyFont="1" applyFill="1" applyBorder="1" applyAlignment="1">
      <alignment horizontal="center" vertical="center"/>
    </xf>
    <xf numFmtId="1" fontId="59" fillId="21" borderId="14" xfId="0" applyNumberFormat="1" applyFont="1" applyFill="1" applyBorder="1" applyAlignment="1">
      <alignment horizontal="center" vertical="center"/>
    </xf>
    <xf numFmtId="2" fontId="4" fillId="21" borderId="5" xfId="0" applyNumberFormat="1" applyFont="1" applyFill="1" applyBorder="1" applyAlignment="1">
      <alignment horizontal="center" vertical="center"/>
    </xf>
    <xf numFmtId="2" fontId="5" fillId="21" borderId="5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2" fontId="62" fillId="7" borderId="3" xfId="0" applyNumberFormat="1" applyFont="1" applyFill="1" applyBorder="1"/>
    <xf numFmtId="2" fontId="59" fillId="7" borderId="3" xfId="0" applyNumberFormat="1" applyFont="1" applyFill="1" applyBorder="1" applyAlignment="1">
      <alignment horizontal="center"/>
    </xf>
    <xf numFmtId="1" fontId="59" fillId="7" borderId="3" xfId="0" applyNumberFormat="1" applyFont="1" applyFill="1" applyBorder="1" applyAlignment="1">
      <alignment horizont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66" fillId="9" borderId="0" xfId="0" applyFont="1" applyFill="1" applyAlignment="1">
      <alignment vertical="center"/>
    </xf>
    <xf numFmtId="2" fontId="5" fillId="4" borderId="0" xfId="0" applyNumberFormat="1" applyFont="1" applyFill="1" applyBorder="1" applyAlignment="1"/>
    <xf numFmtId="2" fontId="0" fillId="4" borderId="0" xfId="0" applyNumberFormat="1" applyFill="1" applyBorder="1" applyAlignment="1"/>
    <xf numFmtId="0" fontId="66" fillId="9" borderId="0" xfId="0" applyFont="1" applyFill="1" applyBorder="1" applyAlignment="1"/>
    <xf numFmtId="0" fontId="5" fillId="4" borderId="11" xfId="0" applyFont="1" applyFill="1" applyBorder="1"/>
    <xf numFmtId="0" fontId="1" fillId="7" borderId="5" xfId="0" applyFont="1" applyFill="1" applyBorder="1"/>
    <xf numFmtId="1" fontId="106" fillId="0" borderId="3" xfId="0" applyNumberFormat="1" applyFont="1" applyFill="1" applyBorder="1" applyAlignment="1">
      <alignment horizontal="center" vertical="center"/>
    </xf>
    <xf numFmtId="1" fontId="106" fillId="7" borderId="7" xfId="0" applyNumberFormat="1" applyFont="1" applyFill="1" applyBorder="1" applyAlignment="1">
      <alignment horizontal="center" vertical="center"/>
    </xf>
    <xf numFmtId="166" fontId="79" fillId="4" borderId="0" xfId="2" applyNumberFormat="1" applyFont="1" applyFill="1" applyBorder="1" applyAlignment="1" applyProtection="1">
      <alignment horizontal="center"/>
    </xf>
    <xf numFmtId="0" fontId="73" fillId="4" borderId="0" xfId="0" applyFont="1" applyFill="1" applyBorder="1"/>
    <xf numFmtId="0" fontId="4" fillId="7" borderId="3" xfId="0" applyFont="1" applyFill="1" applyBorder="1"/>
    <xf numFmtId="0" fontId="4" fillId="4" borderId="3" xfId="0" applyFont="1" applyFill="1" applyBorder="1"/>
    <xf numFmtId="0" fontId="4" fillId="7" borderId="3" xfId="0" applyFont="1" applyFill="1" applyBorder="1" applyAlignment="1"/>
    <xf numFmtId="0" fontId="4" fillId="4" borderId="3" xfId="0" applyFont="1" applyFill="1" applyBorder="1" applyAlignment="1"/>
    <xf numFmtId="1" fontId="59" fillId="4" borderId="15" xfId="0" applyNumberFormat="1" applyFont="1" applyFill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107" fillId="7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0" fontId="1" fillId="7" borderId="0" xfId="0" applyFont="1" applyFill="1" applyBorder="1"/>
    <xf numFmtId="0" fontId="1" fillId="4" borderId="0" xfId="0" applyFont="1" applyFill="1" applyBorder="1"/>
    <xf numFmtId="0" fontId="61" fillId="7" borderId="3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1" fontId="1" fillId="7" borderId="3" xfId="0" applyNumberFormat="1" applyFont="1" applyFill="1" applyBorder="1" applyAlignment="1">
      <alignment horizontal="center" vertical="center"/>
    </xf>
    <xf numFmtId="2" fontId="59" fillId="21" borderId="5" xfId="3" applyNumberFormat="1" applyFont="1" applyFill="1" applyBorder="1" applyAlignment="1">
      <alignment horizontal="center" vertical="center"/>
    </xf>
    <xf numFmtId="1" fontId="59" fillId="21" borderId="8" xfId="0" applyNumberFormat="1" applyFont="1" applyFill="1" applyBorder="1" applyAlignment="1">
      <alignment horizontal="center" vertical="center"/>
    </xf>
    <xf numFmtId="2" fontId="59" fillId="21" borderId="5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59" fillId="21" borderId="4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2" fontId="59" fillId="7" borderId="3" xfId="0" applyNumberFormat="1" applyFont="1" applyFill="1" applyBorder="1" applyAlignment="1">
      <alignment horizontal="center" vertical="center"/>
    </xf>
    <xf numFmtId="1" fontId="59" fillId="4" borderId="10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0" fontId="1" fillId="4" borderId="2" xfId="0" applyFont="1" applyFill="1" applyBorder="1"/>
    <xf numFmtId="0" fontId="1" fillId="4" borderId="12" xfId="0" applyFont="1" applyFill="1" applyBorder="1"/>
    <xf numFmtId="166" fontId="79" fillId="2" borderId="0" xfId="2" applyNumberFormat="1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/>
    <xf numFmtId="0" fontId="15" fillId="4" borderId="3" xfId="0" applyFont="1" applyFill="1" applyBorder="1"/>
    <xf numFmtId="0" fontId="4" fillId="7" borderId="3" xfId="0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1" fillId="7" borderId="11" xfId="0" applyFont="1" applyFill="1" applyBorder="1"/>
    <xf numFmtId="0" fontId="0" fillId="4" borderId="5" xfId="0" applyFill="1" applyBorder="1"/>
    <xf numFmtId="2" fontId="6" fillId="4" borderId="12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/>
    <xf numFmtId="0" fontId="1" fillId="4" borderId="7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1" fontId="115" fillId="7" borderId="3" xfId="0" applyNumberFormat="1" applyFont="1" applyFill="1" applyBorder="1" applyAlignment="1">
      <alignment horizontal="center" vertical="center"/>
    </xf>
    <xf numFmtId="0" fontId="61" fillId="4" borderId="3" xfId="0" applyFont="1" applyFill="1" applyBorder="1" applyAlignment="1">
      <alignment horizontal="center" vertical="center" wrapText="1"/>
    </xf>
    <xf numFmtId="2" fontId="59" fillId="4" borderId="19" xfId="0" applyNumberFormat="1" applyFont="1" applyFill="1" applyBorder="1" applyAlignment="1">
      <alignment horizontal="center" vertical="center"/>
    </xf>
    <xf numFmtId="2" fontId="40" fillId="4" borderId="7" xfId="0" applyNumberFormat="1" applyFont="1" applyFill="1" applyBorder="1" applyAlignment="1">
      <alignment horizontal="center" vertical="center"/>
    </xf>
    <xf numFmtId="2" fontId="59" fillId="7" borderId="4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0" fontId="66" fillId="9" borderId="0" xfId="0" applyFont="1" applyFill="1" applyBorder="1" applyAlignment="1"/>
    <xf numFmtId="0" fontId="66" fillId="9" borderId="22" xfId="0" applyFont="1" applyFill="1" applyBorder="1" applyAlignment="1"/>
    <xf numFmtId="0" fontId="66" fillId="9" borderId="0" xfId="0" applyFont="1" applyFill="1" applyAlignment="1"/>
    <xf numFmtId="1" fontId="70" fillId="7" borderId="5" xfId="0" applyNumberFormat="1" applyFont="1" applyFill="1" applyBorder="1" applyAlignment="1">
      <alignment horizontal="center" vertical="center"/>
    </xf>
    <xf numFmtId="1" fontId="106" fillId="7" borderId="4" xfId="0" applyNumberFormat="1" applyFont="1" applyFill="1" applyBorder="1" applyAlignment="1">
      <alignment horizontal="center" vertical="center"/>
    </xf>
    <xf numFmtId="1" fontId="115" fillId="4" borderId="8" xfId="0" applyNumberFormat="1" applyFont="1" applyFill="1" applyBorder="1" applyAlignment="1">
      <alignment horizontal="center" vertical="center"/>
    </xf>
    <xf numFmtId="1" fontId="106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0" fillId="4" borderId="3" xfId="0" applyFont="1" applyFill="1" applyBorder="1" applyAlignment="1">
      <alignment horizontal="center" vertical="center" wrapText="1"/>
    </xf>
    <xf numFmtId="0" fontId="62" fillId="4" borderId="3" xfId="0" applyFont="1" applyFill="1" applyBorder="1" applyAlignment="1">
      <alignment horizontal="center" vertical="center" wrapText="1"/>
    </xf>
    <xf numFmtId="0" fontId="62" fillId="7" borderId="3" xfId="0" applyFont="1" applyFill="1" applyBorder="1" applyAlignment="1">
      <alignment horizontal="center" vertical="center" wrapText="1"/>
    </xf>
    <xf numFmtId="1" fontId="70" fillId="21" borderId="5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2" fontId="62" fillId="21" borderId="3" xfId="0" applyNumberFormat="1" applyFont="1" applyFill="1" applyBorder="1" applyAlignment="1">
      <alignment horizontal="center" vertical="center"/>
    </xf>
    <xf numFmtId="1" fontId="1" fillId="4" borderId="5" xfId="0" applyNumberFormat="1" applyFont="1" applyFill="1" applyBorder="1"/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" fontId="59" fillId="0" borderId="3" xfId="0" applyNumberFormat="1" applyFont="1" applyFill="1" applyBorder="1" applyAlignment="1">
      <alignment horizontal="center" vertical="center"/>
    </xf>
    <xf numFmtId="1" fontId="59" fillId="6" borderId="3" xfId="0" applyNumberFormat="1" applyFont="1" applyFill="1" applyBorder="1" applyAlignment="1">
      <alignment horizontal="center" vertical="center"/>
    </xf>
    <xf numFmtId="1" fontId="59" fillId="6" borderId="8" xfId="0" applyNumberFormat="1" applyFont="1" applyFill="1" applyBorder="1" applyAlignment="1">
      <alignment horizontal="center" vertical="center"/>
    </xf>
    <xf numFmtId="2" fontId="59" fillId="6" borderId="3" xfId="0" applyNumberFormat="1" applyFont="1" applyFill="1" applyBorder="1" applyAlignment="1">
      <alignment horizontal="center" vertical="center"/>
    </xf>
    <xf numFmtId="1" fontId="59" fillId="4" borderId="32" xfId="0" applyNumberFormat="1" applyFont="1" applyFill="1" applyBorder="1" applyAlignment="1">
      <alignment horizontal="center" vertical="center"/>
    </xf>
    <xf numFmtId="1" fontId="59" fillId="7" borderId="33" xfId="0" applyNumberFormat="1" applyFont="1" applyFill="1" applyBorder="1" applyAlignment="1">
      <alignment horizontal="center" vertical="center"/>
    </xf>
    <xf numFmtId="1" fontId="59" fillId="4" borderId="3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1" fontId="1" fillId="4" borderId="3" xfId="0" applyNumberFormat="1" applyFont="1" applyFill="1" applyBorder="1" applyAlignment="1">
      <alignment vertical="center"/>
    </xf>
    <xf numFmtId="2" fontId="59" fillId="4" borderId="12" xfId="0" applyNumberFormat="1" applyFont="1" applyFill="1" applyBorder="1" applyAlignment="1">
      <alignment horizontal="center" vertical="center"/>
    </xf>
    <xf numFmtId="1" fontId="59" fillId="7" borderId="10" xfId="0" applyNumberFormat="1" applyFont="1" applyFill="1" applyBorder="1" applyAlignment="1">
      <alignment horizontal="center" vertical="center"/>
    </xf>
    <xf numFmtId="2" fontId="58" fillId="7" borderId="7" xfId="0" applyNumberFormat="1" applyFont="1" applyFill="1" applyBorder="1" applyAlignment="1">
      <alignment horizontal="center" vertical="center"/>
    </xf>
    <xf numFmtId="1" fontId="59" fillId="7" borderId="35" xfId="0" applyNumberFormat="1" applyFont="1" applyFill="1" applyBorder="1" applyAlignment="1">
      <alignment horizontal="center" vertical="center"/>
    </xf>
    <xf numFmtId="1" fontId="59" fillId="7" borderId="21" xfId="0" applyNumberFormat="1" applyFont="1" applyFill="1" applyBorder="1" applyAlignment="1">
      <alignment horizontal="center" vertical="center"/>
    </xf>
    <xf numFmtId="0" fontId="1" fillId="7" borderId="5" xfId="0" applyFont="1" applyFill="1" applyBorder="1" applyAlignment="1">
      <alignment vertical="center"/>
    </xf>
    <xf numFmtId="1" fontId="1" fillId="7" borderId="5" xfId="0" applyNumberFormat="1" applyFont="1" applyFill="1" applyBorder="1" applyAlignment="1">
      <alignment vertical="center"/>
    </xf>
    <xf numFmtId="2" fontId="59" fillId="7" borderId="2" xfId="0" applyNumberFormat="1" applyFont="1" applyFill="1" applyBorder="1" applyAlignment="1">
      <alignment horizontal="center" vertical="center"/>
    </xf>
    <xf numFmtId="1" fontId="59" fillId="4" borderId="9" xfId="0" applyNumberFormat="1" applyFont="1" applyFill="1" applyBorder="1" applyAlignment="1">
      <alignment horizontal="center" vertical="center"/>
    </xf>
    <xf numFmtId="2" fontId="62" fillId="7" borderId="7" xfId="0" applyNumberFormat="1" applyFont="1" applyFill="1" applyBorder="1" applyAlignment="1">
      <alignment horizontal="center" vertical="center"/>
    </xf>
    <xf numFmtId="0" fontId="60" fillId="7" borderId="3" xfId="0" applyFont="1" applyFill="1" applyBorder="1" applyAlignment="1">
      <alignment horizontal="center" vertical="center" wrapText="1"/>
    </xf>
    <xf numFmtId="0" fontId="52" fillId="4" borderId="0" xfId="2" applyFont="1" applyFill="1" applyAlignment="1" applyProtection="1"/>
    <xf numFmtId="0" fontId="52" fillId="0" borderId="0" xfId="2" applyFont="1" applyAlignment="1" applyProtection="1"/>
    <xf numFmtId="2" fontId="5" fillId="6" borderId="5" xfId="0" applyNumberFormat="1" applyFont="1" applyFill="1" applyBorder="1" applyAlignment="1"/>
    <xf numFmtId="0" fontId="18" fillId="6" borderId="5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5" fillId="4" borderId="3" xfId="0" applyNumberFormat="1" applyFont="1" applyFill="1" applyBorder="1" applyAlignment="1"/>
    <xf numFmtId="0" fontId="0" fillId="4" borderId="3" xfId="0" applyFill="1" applyBorder="1" applyAlignment="1"/>
    <xf numFmtId="2" fontId="104" fillId="13" borderId="3" xfId="0" applyNumberFormat="1" applyFont="1" applyFill="1" applyBorder="1" applyAlignment="1">
      <alignment horizontal="center" vertical="center" wrapText="1"/>
    </xf>
    <xf numFmtId="0" fontId="78" fillId="13" borderId="3" xfId="0" applyFont="1" applyFill="1" applyBorder="1" applyAlignment="1">
      <alignment horizontal="center" vertical="center" wrapText="1"/>
    </xf>
    <xf numFmtId="0" fontId="66" fillId="9" borderId="0" xfId="0" applyFont="1" applyFill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2" fontId="5" fillId="7" borderId="11" xfId="0" applyNumberFormat="1" applyFont="1" applyFill="1" applyBorder="1" applyAlignment="1"/>
    <xf numFmtId="0" fontId="18" fillId="7" borderId="2" xfId="0" applyFont="1" applyFill="1" applyBorder="1" applyAlignment="1"/>
    <xf numFmtId="0" fontId="18" fillId="7" borderId="4" xfId="0" applyFont="1" applyFill="1" applyBorder="1" applyAlignment="1"/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0" fontId="61" fillId="11" borderId="3" xfId="0" applyFont="1" applyFill="1" applyBorder="1" applyAlignment="1">
      <alignment horizontal="center" vertical="center" wrapText="1"/>
    </xf>
    <xf numFmtId="0" fontId="60" fillId="11" borderId="3" xfId="0" applyFont="1" applyFill="1" applyBorder="1" applyAlignment="1">
      <alignment horizontal="center" vertical="center" wrapText="1"/>
    </xf>
    <xf numFmtId="0" fontId="66" fillId="9" borderId="1" xfId="0" applyFont="1" applyFill="1" applyBorder="1" applyAlignment="1"/>
    <xf numFmtId="0" fontId="66" fillId="9" borderId="0" xfId="0" applyFont="1" applyFill="1" applyBorder="1" applyAlignment="1"/>
    <xf numFmtId="0" fontId="66" fillId="9" borderId="22" xfId="0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0" fontId="5" fillId="6" borderId="11" xfId="0" applyFont="1" applyFill="1" applyBorder="1" applyAlignment="1"/>
    <xf numFmtId="0" fontId="0" fillId="6" borderId="2" xfId="0" applyFill="1" applyBorder="1" applyAlignment="1"/>
    <xf numFmtId="0" fontId="0" fillId="6" borderId="4" xfId="0" applyFill="1" applyBorder="1" applyAlignment="1"/>
    <xf numFmtId="2" fontId="5" fillId="4" borderId="5" xfId="0" applyNumberFormat="1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0" fontId="4" fillId="19" borderId="16" xfId="2" applyFont="1" applyFill="1" applyBorder="1" applyAlignment="1" applyProtection="1">
      <alignment horizontal="center" vertical="center" wrapText="1"/>
    </xf>
    <xf numFmtId="0" fontId="4" fillId="19" borderId="25" xfId="2" applyFont="1" applyFill="1" applyBorder="1" applyAlignment="1" applyProtection="1">
      <alignment horizontal="center" vertical="center" wrapText="1"/>
    </xf>
    <xf numFmtId="0" fontId="4" fillId="19" borderId="19" xfId="2" applyFont="1" applyFill="1" applyBorder="1" applyAlignment="1" applyProtection="1">
      <alignment horizontal="center" vertical="center" wrapText="1"/>
    </xf>
    <xf numFmtId="0" fontId="4" fillId="19" borderId="18" xfId="2" applyFont="1" applyFill="1" applyBorder="1" applyAlignment="1" applyProtection="1">
      <alignment horizontal="center" vertical="center" wrapText="1"/>
    </xf>
    <xf numFmtId="0" fontId="4" fillId="19" borderId="12" xfId="2" applyFont="1" applyFill="1" applyBorder="1" applyAlignment="1" applyProtection="1">
      <alignment horizontal="center" vertical="center" wrapText="1"/>
    </xf>
    <xf numFmtId="0" fontId="4" fillId="19" borderId="9" xfId="2" applyFont="1" applyFill="1" applyBorder="1" applyAlignment="1" applyProtection="1">
      <alignment horizontal="center" vertical="center" wrapText="1"/>
    </xf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2" fontId="5" fillId="4" borderId="11" xfId="0" applyNumberFormat="1" applyFont="1" applyFill="1" applyBorder="1" applyAlignment="1"/>
    <xf numFmtId="0" fontId="18" fillId="4" borderId="2" xfId="0" applyFont="1" applyFill="1" applyBorder="1" applyAlignment="1"/>
    <xf numFmtId="0" fontId="18" fillId="4" borderId="4" xfId="0" applyFont="1" applyFill="1" applyBorder="1" applyAlignment="1"/>
    <xf numFmtId="2" fontId="5" fillId="7" borderId="3" xfId="0" applyNumberFormat="1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2" fontId="5" fillId="21" borderId="11" xfId="0" applyNumberFormat="1" applyFont="1" applyFill="1" applyBorder="1" applyAlignment="1"/>
    <xf numFmtId="0" fontId="0" fillId="21" borderId="2" xfId="0" applyFill="1" applyBorder="1" applyAlignment="1"/>
    <xf numFmtId="0" fontId="0" fillId="21" borderId="4" xfId="0" applyFill="1" applyBorder="1" applyAlignment="1"/>
    <xf numFmtId="2" fontId="5" fillId="21" borderId="3" xfId="0" applyNumberFormat="1" applyFont="1" applyFill="1" applyBorder="1" applyAlignment="1">
      <alignment wrapText="1"/>
    </xf>
    <xf numFmtId="0" fontId="18" fillId="21" borderId="3" xfId="0" applyFont="1" applyFill="1" applyBorder="1" applyAlignment="1">
      <alignment wrapText="1"/>
    </xf>
    <xf numFmtId="0" fontId="5" fillId="4" borderId="11" xfId="0" applyNumberFormat="1" applyFont="1" applyFill="1" applyBorder="1" applyAlignment="1"/>
    <xf numFmtId="0" fontId="0" fillId="4" borderId="2" xfId="0" applyNumberFormat="1" applyFill="1" applyBorder="1" applyAlignment="1"/>
    <xf numFmtId="0" fontId="0" fillId="4" borderId="4" xfId="0" applyNumberFormat="1" applyFill="1" applyBorder="1" applyAlignment="1"/>
    <xf numFmtId="2" fontId="5" fillId="4" borderId="11" xfId="0" applyNumberFormat="1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18" fillId="7" borderId="3" xfId="0" applyFont="1" applyFill="1" applyBorder="1" applyAlignment="1"/>
    <xf numFmtId="2" fontId="5" fillId="6" borderId="11" xfId="0" applyNumberFormat="1" applyFont="1" applyFill="1" applyBorder="1" applyAlignment="1"/>
    <xf numFmtId="0" fontId="0" fillId="4" borderId="2" xfId="0" applyFill="1" applyBorder="1" applyAlignment="1"/>
    <xf numFmtId="0" fontId="0" fillId="4" borderId="4" xfId="0" applyFill="1" applyBorder="1" applyAlignment="1"/>
    <xf numFmtId="0" fontId="18" fillId="6" borderId="2" xfId="0" applyFont="1" applyFill="1" applyBorder="1" applyAlignment="1"/>
    <xf numFmtId="0" fontId="18" fillId="6" borderId="4" xfId="0" applyFont="1" applyFill="1" applyBorder="1" applyAlignment="1"/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5" fillId="6" borderId="3" xfId="0" applyNumberFormat="1" applyFont="1" applyFill="1" applyBorder="1" applyAlignment="1"/>
    <xf numFmtId="0" fontId="1" fillId="6" borderId="3" xfId="0" applyFont="1" applyFill="1" applyBorder="1" applyAlignment="1"/>
    <xf numFmtId="2" fontId="5" fillId="4" borderId="2" xfId="0" applyNumberFormat="1" applyFont="1" applyFill="1" applyBorder="1" applyAlignment="1"/>
    <xf numFmtId="2" fontId="5" fillId="4" borderId="4" xfId="0" applyNumberFormat="1" applyFont="1" applyFill="1" applyBorder="1" applyAlignment="1"/>
    <xf numFmtId="2" fontId="4" fillId="21" borderId="11" xfId="0" applyNumberFormat="1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1" fillId="21" borderId="4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wrapText="1"/>
    </xf>
    <xf numFmtId="0" fontId="18" fillId="4" borderId="4" xfId="0" applyFont="1" applyFill="1" applyBorder="1" applyAlignment="1">
      <alignment wrapText="1"/>
    </xf>
    <xf numFmtId="2" fontId="5" fillId="4" borderId="5" xfId="0" applyNumberFormat="1" applyFont="1" applyFill="1" applyBorder="1" applyAlignment="1"/>
    <xf numFmtId="0" fontId="0" fillId="4" borderId="5" xfId="0" applyFill="1" applyBorder="1" applyAlignment="1"/>
    <xf numFmtId="0" fontId="1" fillId="7" borderId="3" xfId="0" applyFont="1" applyFill="1" applyBorder="1" applyAlignment="1">
      <alignment wrapText="1"/>
    </xf>
    <xf numFmtId="0" fontId="18" fillId="4" borderId="5" xfId="0" applyFont="1" applyFill="1" applyBorder="1" applyAlignment="1"/>
    <xf numFmtId="0" fontId="18" fillId="4" borderId="3" xfId="0" applyFont="1" applyFill="1" applyBorder="1" applyAlignment="1"/>
    <xf numFmtId="2" fontId="2" fillId="12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6" fillId="9" borderId="0" xfId="0" applyFont="1" applyFill="1" applyBorder="1" applyAlignment="1">
      <alignment wrapText="1"/>
    </xf>
    <xf numFmtId="0" fontId="9" fillId="9" borderId="0" xfId="0" applyFont="1" applyFill="1" applyBorder="1" applyAlignment="1">
      <alignment wrapText="1"/>
    </xf>
    <xf numFmtId="0" fontId="9" fillId="9" borderId="22" xfId="0" applyFont="1" applyFill="1" applyBorder="1" applyAlignment="1">
      <alignment wrapText="1"/>
    </xf>
    <xf numFmtId="0" fontId="36" fillId="9" borderId="0" xfId="0" applyFont="1" applyFill="1" applyBorder="1" applyAlignment="1"/>
    <xf numFmtId="0" fontId="36" fillId="9" borderId="0" xfId="0" applyFont="1" applyFill="1" applyAlignment="1"/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66" fillId="12" borderId="16" xfId="0" applyFont="1" applyFill="1" applyBorder="1" applyAlignment="1">
      <alignment horizontal="center" vertical="center" wrapText="1"/>
    </xf>
    <xf numFmtId="0" fontId="66" fillId="12" borderId="25" xfId="0" applyFont="1" applyFill="1" applyBorder="1" applyAlignment="1">
      <alignment horizontal="center" vertical="center" wrapText="1"/>
    </xf>
    <xf numFmtId="0" fontId="0" fillId="12" borderId="25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66" fillId="12" borderId="1" xfId="0" applyFont="1" applyFill="1" applyBorder="1" applyAlignment="1">
      <alignment horizontal="center" vertical="center" wrapText="1"/>
    </xf>
    <xf numFmtId="0" fontId="66" fillId="12" borderId="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22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12" borderId="18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2" fontId="5" fillId="4" borderId="3" xfId="0" applyNumberFormat="1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2" fontId="17" fillId="4" borderId="11" xfId="0" applyNumberFormat="1" applyFont="1" applyFill="1" applyBorder="1" applyAlignment="1">
      <alignment wrapText="1"/>
    </xf>
    <xf numFmtId="0" fontId="39" fillId="4" borderId="2" xfId="0" applyFont="1" applyFill="1" applyBorder="1" applyAlignment="1">
      <alignment wrapText="1"/>
    </xf>
    <xf numFmtId="0" fontId="39" fillId="4" borderId="4" xfId="0" applyFont="1" applyFill="1" applyBorder="1" applyAlignment="1">
      <alignment wrapText="1"/>
    </xf>
    <xf numFmtId="0" fontId="18" fillId="7" borderId="3" xfId="0" applyFont="1" applyFill="1" applyBorder="1" applyAlignment="1">
      <alignment wrapText="1"/>
    </xf>
    <xf numFmtId="0" fontId="18" fillId="21" borderId="2" xfId="0" applyFont="1" applyFill="1" applyBorder="1" applyAlignment="1"/>
    <xf numFmtId="0" fontId="18" fillId="21" borderId="4" xfId="0" applyFont="1" applyFill="1" applyBorder="1" applyAlignment="1"/>
    <xf numFmtId="2" fontId="5" fillId="7" borderId="18" xfId="0" applyNumberFormat="1" applyFont="1" applyFill="1" applyBorder="1" applyAlignment="1">
      <alignment wrapText="1"/>
    </xf>
    <xf numFmtId="0" fontId="1" fillId="7" borderId="12" xfId="0" applyFont="1" applyFill="1" applyBorder="1" applyAlignment="1">
      <alignment wrapText="1"/>
    </xf>
    <xf numFmtId="0" fontId="1" fillId="7" borderId="9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8" fillId="10" borderId="0" xfId="0" applyFont="1" applyFill="1" applyBorder="1" applyAlignment="1">
      <alignment horizontal="center" vertical="center" wrapText="1"/>
    </xf>
    <xf numFmtId="0" fontId="80" fillId="10" borderId="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5" fillId="7" borderId="5" xfId="0" applyFont="1" applyFill="1" applyBorder="1" applyAlignment="1"/>
    <xf numFmtId="0" fontId="0" fillId="7" borderId="5" xfId="0" applyFill="1" applyBorder="1" applyAlignment="1"/>
    <xf numFmtId="0" fontId="50" fillId="2" borderId="0" xfId="2" applyFont="1" applyFill="1" applyAlignment="1" applyProtection="1"/>
    <xf numFmtId="0" fontId="50" fillId="0" borderId="0" xfId="2" applyFont="1" applyAlignment="1" applyProtection="1"/>
    <xf numFmtId="0" fontId="5" fillId="4" borderId="5" xfId="0" applyFont="1" applyFill="1" applyBorder="1" applyAlignment="1"/>
    <xf numFmtId="0" fontId="5" fillId="4" borderId="11" xfId="0" applyFont="1" applyFill="1" applyBorder="1" applyAlignment="1"/>
    <xf numFmtId="0" fontId="5" fillId="4" borderId="2" xfId="0" applyFont="1" applyFill="1" applyBorder="1" applyAlignment="1"/>
    <xf numFmtId="0" fontId="5" fillId="4" borderId="4" xfId="0" applyFont="1" applyFill="1" applyBorder="1" applyAlignment="1"/>
    <xf numFmtId="0" fontId="5" fillId="21" borderId="11" xfId="0" applyFont="1" applyFill="1" applyBorder="1" applyAlignment="1"/>
    <xf numFmtId="0" fontId="5" fillId="21" borderId="2" xfId="0" applyFont="1" applyFill="1" applyBorder="1" applyAlignment="1"/>
    <xf numFmtId="0" fontId="5" fillId="21" borderId="4" xfId="0" applyFont="1" applyFill="1" applyBorder="1" applyAlignment="1"/>
    <xf numFmtId="0" fontId="5" fillId="4" borderId="3" xfId="0" applyFont="1" applyFill="1" applyBorder="1" applyAlignment="1"/>
    <xf numFmtId="0" fontId="5" fillId="6" borderId="2" xfId="0" applyFont="1" applyFill="1" applyBorder="1" applyAlignment="1"/>
    <xf numFmtId="0" fontId="5" fillId="6" borderId="4" xfId="0" applyFont="1" applyFill="1" applyBorder="1" applyAlignment="1"/>
    <xf numFmtId="0" fontId="61" fillId="19" borderId="7" xfId="0" applyFont="1" applyFill="1" applyBorder="1" applyAlignment="1">
      <alignment horizontal="center" vertical="center" wrapText="1"/>
    </xf>
    <xf numFmtId="0" fontId="61" fillId="19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/>
    <xf numFmtId="0" fontId="5" fillId="7" borderId="3" xfId="0" applyFont="1" applyFill="1" applyBorder="1" applyAlignment="1"/>
    <xf numFmtId="0" fontId="1" fillId="19" borderId="25" xfId="0" applyFont="1" applyFill="1" applyBorder="1" applyAlignment="1">
      <alignment horizontal="center" vertical="center" wrapText="1"/>
    </xf>
    <xf numFmtId="0" fontId="1" fillId="19" borderId="19" xfId="0" applyFont="1" applyFill="1" applyBorder="1" applyAlignment="1">
      <alignment horizontal="center" vertical="center" wrapText="1"/>
    </xf>
    <xf numFmtId="0" fontId="1" fillId="19" borderId="18" xfId="0" applyFont="1" applyFill="1" applyBorder="1" applyAlignment="1">
      <alignment horizontal="center" vertical="center" wrapText="1"/>
    </xf>
    <xf numFmtId="0" fontId="1" fillId="19" borderId="12" xfId="0" applyFont="1" applyFill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2" fontId="5" fillId="7" borderId="18" xfId="0" applyNumberFormat="1" applyFont="1" applyFill="1" applyBorder="1" applyAlignment="1"/>
    <xf numFmtId="0" fontId="18" fillId="7" borderId="12" xfId="0" applyFont="1" applyFill="1" applyBorder="1" applyAlignment="1"/>
    <xf numFmtId="0" fontId="18" fillId="7" borderId="9" xfId="0" applyFont="1" applyFill="1" applyBorder="1" applyAlignment="1"/>
    <xf numFmtId="2" fontId="5" fillId="6" borderId="18" xfId="0" applyNumberFormat="1" applyFont="1" applyFill="1" applyBorder="1" applyAlignment="1"/>
    <xf numFmtId="0" fontId="0" fillId="6" borderId="12" xfId="0" applyFill="1" applyBorder="1" applyAlignment="1"/>
    <xf numFmtId="0" fontId="0" fillId="6" borderId="9" xfId="0" applyFill="1" applyBorder="1" applyAlignment="1"/>
    <xf numFmtId="2" fontId="5" fillId="4" borderId="16" xfId="0" applyNumberFormat="1" applyFont="1" applyFill="1" applyBorder="1" applyAlignment="1"/>
    <xf numFmtId="2" fontId="5" fillId="4" borderId="25" xfId="0" applyNumberFormat="1" applyFont="1" applyFill="1" applyBorder="1" applyAlignment="1"/>
    <xf numFmtId="2" fontId="5" fillId="4" borderId="19" xfId="0" applyNumberFormat="1" applyFont="1" applyFill="1" applyBorder="1" applyAlignment="1"/>
    <xf numFmtId="0" fontId="66" fillId="9" borderId="0" xfId="0" applyFont="1" applyFill="1" applyAlignment="1"/>
    <xf numFmtId="2" fontId="76" fillId="15" borderId="15" xfId="0" applyNumberFormat="1" applyFont="1" applyFill="1" applyBorder="1" applyAlignment="1">
      <alignment horizontal="center" vertical="center" wrapText="1"/>
    </xf>
    <xf numFmtId="0" fontId="104" fillId="15" borderId="15" xfId="0" applyFont="1" applyFill="1" applyBorder="1" applyAlignment="1">
      <alignment horizontal="center" vertical="center" wrapText="1"/>
    </xf>
    <xf numFmtId="0" fontId="104" fillId="15" borderId="5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19" fillId="4" borderId="1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2" fontId="4" fillId="19" borderId="1" xfId="0" applyNumberFormat="1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horizontal="center" vertical="center" wrapText="1"/>
    </xf>
    <xf numFmtId="0" fontId="5" fillId="19" borderId="22" xfId="0" applyFont="1" applyFill="1" applyBorder="1" applyAlignment="1">
      <alignment horizontal="center" vertical="center" wrapText="1"/>
    </xf>
    <xf numFmtId="0" fontId="5" fillId="19" borderId="18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center" vertical="center" wrapText="1"/>
    </xf>
    <xf numFmtId="0" fontId="5" fillId="19" borderId="9" xfId="0" applyFont="1" applyFill="1" applyBorder="1" applyAlignment="1">
      <alignment horizontal="center" vertical="center" wrapText="1"/>
    </xf>
    <xf numFmtId="0" fontId="78" fillId="10" borderId="0" xfId="0" applyFont="1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2" fontId="77" fillId="15" borderId="15" xfId="0" applyNumberFormat="1" applyFont="1" applyFill="1" applyBorder="1" applyAlignment="1">
      <alignment horizontal="center" vertical="center" wrapText="1"/>
    </xf>
    <xf numFmtId="0" fontId="78" fillId="15" borderId="15" xfId="0" applyFont="1" applyFill="1" applyBorder="1" applyAlignment="1">
      <alignment horizontal="center" vertical="center" wrapText="1"/>
    </xf>
    <xf numFmtId="2" fontId="4" fillId="7" borderId="11" xfId="0" applyNumberFormat="1" applyFont="1" applyFill="1" applyBorder="1" applyAlignment="1">
      <alignment vertical="center" wrapText="1"/>
    </xf>
    <xf numFmtId="2" fontId="4" fillId="7" borderId="2" xfId="0" applyNumberFormat="1" applyFont="1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0" fillId="19" borderId="0" xfId="0" applyFill="1" applyBorder="1" applyAlignment="1">
      <alignment horizontal="center" vertical="center" wrapText="1"/>
    </xf>
    <xf numFmtId="0" fontId="0" fillId="19" borderId="22" xfId="0" applyFill="1" applyBorder="1" applyAlignment="1">
      <alignment horizontal="center" vertical="center" wrapText="1"/>
    </xf>
    <xf numFmtId="0" fontId="0" fillId="19" borderId="12" xfId="0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77" fillId="13" borderId="23" xfId="0" applyFont="1" applyFill="1" applyBorder="1" applyAlignment="1">
      <alignment horizontal="center" vertical="center" wrapText="1"/>
    </xf>
    <xf numFmtId="0" fontId="77" fillId="13" borderId="26" xfId="0" applyFont="1" applyFill="1" applyBorder="1" applyAlignment="1">
      <alignment horizontal="center" vertical="center" wrapText="1"/>
    </xf>
    <xf numFmtId="0" fontId="77" fillId="13" borderId="27" xfId="0" applyFont="1" applyFill="1" applyBorder="1" applyAlignment="1">
      <alignment horizontal="center" vertical="center" wrapText="1"/>
    </xf>
    <xf numFmtId="0" fontId="77" fillId="13" borderId="6" xfId="0" applyFont="1" applyFill="1" applyBorder="1" applyAlignment="1">
      <alignment horizontal="center" vertical="center" wrapText="1"/>
    </xf>
    <xf numFmtId="0" fontId="77" fillId="13" borderId="0" xfId="0" applyFont="1" applyFill="1" applyBorder="1" applyAlignment="1">
      <alignment horizontal="center" vertical="center" wrapText="1"/>
    </xf>
    <xf numFmtId="0" fontId="77" fillId="13" borderId="13" xfId="0" applyFont="1" applyFill="1" applyBorder="1" applyAlignment="1">
      <alignment horizontal="center" vertical="center" wrapText="1"/>
    </xf>
    <xf numFmtId="0" fontId="77" fillId="13" borderId="24" xfId="0" applyFont="1" applyFill="1" applyBorder="1" applyAlignment="1">
      <alignment horizontal="center" vertical="center" wrapText="1"/>
    </xf>
    <xf numFmtId="0" fontId="77" fillId="13" borderId="20" xfId="0" applyFont="1" applyFill="1" applyBorder="1" applyAlignment="1">
      <alignment horizontal="center" vertical="center" wrapText="1"/>
    </xf>
    <xf numFmtId="0" fontId="77" fillId="13" borderId="28" xfId="0" applyFont="1" applyFill="1" applyBorder="1" applyAlignment="1">
      <alignment horizontal="center" vertical="center" wrapText="1"/>
    </xf>
    <xf numFmtId="0" fontId="84" fillId="7" borderId="3" xfId="0" applyFont="1" applyFill="1" applyBorder="1" applyAlignment="1">
      <alignment horizontal="left" wrapText="1"/>
    </xf>
    <xf numFmtId="0" fontId="84" fillId="4" borderId="3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5" fillId="13" borderId="3" xfId="0" applyFont="1" applyFill="1" applyBorder="1" applyAlignment="1">
      <alignment horizontal="center" vertical="center" wrapText="1"/>
    </xf>
    <xf numFmtId="0" fontId="86" fillId="13" borderId="3" xfId="0" applyFont="1" applyFill="1" applyBorder="1" applyAlignment="1">
      <alignment horizontal="center" vertical="center" wrapText="1"/>
    </xf>
    <xf numFmtId="2" fontId="28" fillId="5" borderId="11" xfId="0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horizontal="left" vertical="center"/>
    </xf>
    <xf numFmtId="0" fontId="15" fillId="4" borderId="25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0" fontId="97" fillId="10" borderId="11" xfId="0" applyFont="1" applyFill="1" applyBorder="1" applyAlignment="1">
      <alignment horizontal="center" vertical="center" wrapText="1"/>
    </xf>
    <xf numFmtId="0" fontId="97" fillId="10" borderId="2" xfId="0" applyFont="1" applyFill="1" applyBorder="1" applyAlignment="1">
      <alignment horizontal="center" vertical="center" wrapText="1"/>
    </xf>
    <xf numFmtId="0" fontId="98" fillId="10" borderId="4" xfId="0" applyFont="1" applyFill="1" applyBorder="1" applyAlignment="1">
      <alignment horizontal="center" vertical="center" wrapText="1"/>
    </xf>
    <xf numFmtId="0" fontId="85" fillId="13" borderId="16" xfId="0" applyFont="1" applyFill="1" applyBorder="1" applyAlignment="1">
      <alignment horizontal="center" vertical="center" wrapText="1"/>
    </xf>
    <xf numFmtId="0" fontId="86" fillId="13" borderId="25" xfId="0" applyFont="1" applyFill="1" applyBorder="1" applyAlignment="1">
      <alignment horizontal="center" vertical="center" wrapText="1"/>
    </xf>
    <xf numFmtId="0" fontId="86" fillId="13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76" fillId="13" borderId="11" xfId="0" applyNumberFormat="1" applyFont="1" applyFill="1" applyBorder="1" applyAlignment="1">
      <alignment horizontal="center" vertical="center"/>
    </xf>
    <xf numFmtId="0" fontId="76" fillId="13" borderId="2" xfId="0" applyFont="1" applyFill="1" applyBorder="1" applyAlignment="1">
      <alignment horizontal="center" vertical="center"/>
    </xf>
    <xf numFmtId="0" fontId="78" fillId="13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0" fillId="7" borderId="12" xfId="0" applyFill="1" applyBorder="1" applyAlignment="1"/>
    <xf numFmtId="0" fontId="0" fillId="7" borderId="9" xfId="0" applyFill="1" applyBorder="1" applyAlignment="1"/>
    <xf numFmtId="0" fontId="100" fillId="13" borderId="11" xfId="2" applyFont="1" applyFill="1" applyBorder="1" applyAlignment="1" applyProtection="1">
      <alignment horizontal="center" vertical="center" wrapText="1"/>
    </xf>
    <xf numFmtId="0" fontId="100" fillId="13" borderId="2" xfId="2" applyFont="1" applyFill="1" applyBorder="1" applyAlignment="1" applyProtection="1">
      <alignment horizontal="center" vertical="center" wrapText="1"/>
    </xf>
    <xf numFmtId="0" fontId="100" fillId="13" borderId="4" xfId="2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wrapText="1"/>
    </xf>
    <xf numFmtId="0" fontId="9" fillId="19" borderId="19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wrapText="1"/>
    </xf>
    <xf numFmtId="0" fontId="9" fillId="19" borderId="22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wrapText="1"/>
    </xf>
    <xf numFmtId="0" fontId="9" fillId="19" borderId="0" xfId="0" applyFont="1" applyFill="1" applyBorder="1" applyAlignment="1">
      <alignment horizontal="left" wrapText="1"/>
    </xf>
    <xf numFmtId="0" fontId="0" fillId="19" borderId="1" xfId="0" applyFill="1" applyBorder="1" applyAlignment="1">
      <alignment wrapText="1"/>
    </xf>
    <xf numFmtId="0" fontId="0" fillId="19" borderId="0" xfId="0" applyFill="1" applyBorder="1" applyAlignment="1">
      <alignment wrapText="1"/>
    </xf>
    <xf numFmtId="0" fontId="0" fillId="19" borderId="22" xfId="0" applyFill="1" applyBorder="1" applyAlignment="1">
      <alignment wrapText="1"/>
    </xf>
    <xf numFmtId="0" fontId="0" fillId="19" borderId="18" xfId="0" applyFill="1" applyBorder="1" applyAlignment="1">
      <alignment wrapText="1"/>
    </xf>
    <xf numFmtId="0" fontId="0" fillId="19" borderId="12" xfId="0" applyFill="1" applyBorder="1" applyAlignment="1">
      <alignment wrapText="1"/>
    </xf>
    <xf numFmtId="0" fontId="0" fillId="19" borderId="9" xfId="0" applyFill="1" applyBorder="1" applyAlignment="1">
      <alignment wrapText="1"/>
    </xf>
    <xf numFmtId="0" fontId="104" fillId="1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9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wrapText="1"/>
    </xf>
    <xf numFmtId="0" fontId="1" fillId="19" borderId="0" xfId="0" applyFont="1" applyFill="1" applyBorder="1" applyAlignment="1">
      <alignment wrapText="1"/>
    </xf>
    <xf numFmtId="0" fontId="1" fillId="19" borderId="22" xfId="0" applyFont="1" applyFill="1" applyBorder="1" applyAlignment="1">
      <alignment wrapText="1"/>
    </xf>
    <xf numFmtId="0" fontId="5" fillId="19" borderId="1" xfId="0" applyFont="1" applyFill="1" applyBorder="1" applyAlignment="1">
      <alignment wrapText="1"/>
    </xf>
    <xf numFmtId="0" fontId="5" fillId="19" borderId="18" xfId="0" applyFont="1" applyFill="1" applyBorder="1" applyAlignment="1">
      <alignment wrapText="1"/>
    </xf>
    <xf numFmtId="0" fontId="5" fillId="19" borderId="12" xfId="0" applyFont="1" applyFill="1" applyBorder="1" applyAlignment="1">
      <alignment wrapText="1"/>
    </xf>
    <xf numFmtId="0" fontId="1" fillId="19" borderId="12" xfId="0" applyFont="1" applyFill="1" applyBorder="1" applyAlignment="1">
      <alignment wrapText="1"/>
    </xf>
    <xf numFmtId="0" fontId="1" fillId="19" borderId="9" xfId="0" applyFont="1" applyFill="1" applyBorder="1" applyAlignment="1">
      <alignment wrapText="1"/>
    </xf>
    <xf numFmtId="0" fontId="26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2" fillId="13" borderId="36" xfId="0" applyFont="1" applyFill="1" applyBorder="1" applyAlignment="1">
      <alignment horizontal="center" vertical="center" wrapText="1"/>
    </xf>
    <xf numFmtId="0" fontId="78" fillId="13" borderId="29" xfId="0" applyFont="1" applyFill="1" applyBorder="1" applyAlignment="1">
      <alignment horizontal="center" vertical="center" wrapText="1"/>
    </xf>
    <xf numFmtId="0" fontId="78" fillId="13" borderId="3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17" fillId="4" borderId="11" xfId="0" applyNumberFormat="1" applyFont="1" applyFill="1" applyBorder="1" applyAlignment="1"/>
    <xf numFmtId="0" fontId="5" fillId="6" borderId="3" xfId="0" applyFont="1" applyFill="1" applyBorder="1" applyAlignment="1"/>
    <xf numFmtId="0" fontId="0" fillId="6" borderId="3" xfId="0" applyFill="1" applyBorder="1" applyAlignment="1"/>
    <xf numFmtId="0" fontId="5" fillId="4" borderId="18" xfId="0" applyFont="1" applyFill="1" applyBorder="1" applyAlignment="1"/>
    <xf numFmtId="0" fontId="0" fillId="4" borderId="12" xfId="0" applyFill="1" applyBorder="1" applyAlignment="1"/>
    <xf numFmtId="0" fontId="0" fillId="4" borderId="9" xfId="0" applyFill="1" applyBorder="1" applyAlignment="1"/>
    <xf numFmtId="0" fontId="61" fillId="11" borderId="7" xfId="0" applyFont="1" applyFill="1" applyBorder="1" applyAlignment="1">
      <alignment horizontal="center" vertical="center" wrapText="1"/>
    </xf>
    <xf numFmtId="0" fontId="60" fillId="11" borderId="5" xfId="0" applyFont="1" applyFill="1" applyBorder="1" applyAlignment="1">
      <alignment horizontal="center" vertical="center" wrapText="1"/>
    </xf>
    <xf numFmtId="2" fontId="5" fillId="4" borderId="16" xfId="0" applyNumberFormat="1" applyFont="1" applyFill="1" applyBorder="1" applyAlignment="1">
      <alignment wrapText="1"/>
    </xf>
    <xf numFmtId="0" fontId="0" fillId="4" borderId="25" xfId="0" applyFill="1" applyBorder="1" applyAlignment="1">
      <alignment wrapText="1"/>
    </xf>
    <xf numFmtId="0" fontId="0" fillId="4" borderId="19" xfId="0" applyFill="1" applyBorder="1" applyAlignment="1">
      <alignment wrapText="1"/>
    </xf>
    <xf numFmtId="0" fontId="76" fillId="17" borderId="5" xfId="0" applyFont="1" applyFill="1" applyBorder="1" applyAlignment="1"/>
    <xf numFmtId="0" fontId="104" fillId="17" borderId="5" xfId="0" applyFont="1" applyFill="1" applyBorder="1" applyAlignment="1"/>
    <xf numFmtId="2" fontId="104" fillId="13" borderId="25" xfId="0" applyNumberFormat="1" applyFont="1" applyFill="1" applyBorder="1" applyAlignment="1">
      <alignment horizontal="center" vertical="center" wrapText="1"/>
    </xf>
    <xf numFmtId="0" fontId="78" fillId="13" borderId="25" xfId="0" applyFont="1" applyFill="1" applyBorder="1" applyAlignment="1">
      <alignment horizontal="center" vertical="center" wrapText="1"/>
    </xf>
    <xf numFmtId="0" fontId="78" fillId="13" borderId="19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/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0" fontId="5" fillId="21" borderId="3" xfId="0" applyFont="1" applyFill="1" applyBorder="1" applyAlignment="1"/>
    <xf numFmtId="0" fontId="1" fillId="21" borderId="3" xfId="0" applyFont="1" applyFill="1" applyBorder="1" applyAlignment="1"/>
    <xf numFmtId="2" fontId="5" fillId="21" borderId="5" xfId="0" applyNumberFormat="1" applyFont="1" applyFill="1" applyBorder="1" applyAlignment="1"/>
    <xf numFmtId="0" fontId="18" fillId="21" borderId="5" xfId="0" applyFont="1" applyFill="1" applyBorder="1" applyAlignment="1"/>
    <xf numFmtId="0" fontId="26" fillId="9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2" fontId="0" fillId="4" borderId="3" xfId="0" applyNumberFormat="1" applyFill="1" applyBorder="1" applyAlignment="1"/>
    <xf numFmtId="2" fontId="0" fillId="7" borderId="3" xfId="0" applyNumberFormat="1" applyFill="1" applyBorder="1" applyAlignment="1"/>
    <xf numFmtId="2" fontId="84" fillId="7" borderId="11" xfId="0" applyNumberFormat="1" applyFont="1" applyFill="1" applyBorder="1" applyAlignment="1"/>
    <xf numFmtId="2" fontId="17" fillId="4" borderId="3" xfId="0" applyNumberFormat="1" applyFont="1" applyFill="1" applyBorder="1" applyAlignment="1"/>
    <xf numFmtId="0" fontId="11" fillId="4" borderId="3" xfId="0" applyFont="1" applyFill="1" applyBorder="1" applyAlignment="1"/>
    <xf numFmtId="0" fontId="65" fillId="12" borderId="25" xfId="0" applyFont="1" applyFill="1" applyBorder="1" applyAlignment="1">
      <alignment horizontal="center" vertical="center" wrapText="1"/>
    </xf>
    <xf numFmtId="0" fontId="65" fillId="12" borderId="19" xfId="0" applyFont="1" applyFill="1" applyBorder="1" applyAlignment="1">
      <alignment horizontal="center" vertical="center" wrapText="1"/>
    </xf>
    <xf numFmtId="0" fontId="65" fillId="12" borderId="1" xfId="0" applyFont="1" applyFill="1" applyBorder="1" applyAlignment="1">
      <alignment horizontal="center" vertical="center" wrapText="1"/>
    </xf>
    <xf numFmtId="0" fontId="65" fillId="12" borderId="0" xfId="0" applyFont="1" applyFill="1" applyAlignment="1">
      <alignment horizontal="center" vertical="center" wrapText="1"/>
    </xf>
    <xf numFmtId="0" fontId="65" fillId="12" borderId="22" xfId="0" applyFont="1" applyFill="1" applyBorder="1" applyAlignment="1">
      <alignment horizontal="center" vertical="center" wrapText="1"/>
    </xf>
    <xf numFmtId="0" fontId="65" fillId="12" borderId="18" xfId="0" applyFont="1" applyFill="1" applyBorder="1" applyAlignment="1">
      <alignment horizontal="center" vertical="center" wrapText="1"/>
    </xf>
    <xf numFmtId="0" fontId="65" fillId="12" borderId="12" xfId="0" applyFont="1" applyFill="1" applyBorder="1" applyAlignment="1">
      <alignment horizontal="center" vertical="center" wrapText="1"/>
    </xf>
    <xf numFmtId="0" fontId="65" fillId="12" borderId="9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/>
    <xf numFmtId="2" fontId="5" fillId="21" borderId="3" xfId="0" applyNumberFormat="1" applyFont="1" applyFill="1" applyBorder="1" applyAlignment="1"/>
    <xf numFmtId="0" fontId="1" fillId="4" borderId="2" xfId="0" applyFont="1" applyFill="1" applyBorder="1" applyAlignment="1"/>
    <xf numFmtId="0" fontId="1" fillId="4" borderId="4" xfId="0" applyFont="1" applyFill="1" applyBorder="1" applyAlignment="1"/>
    <xf numFmtId="0" fontId="0" fillId="21" borderId="3" xfId="0" applyFill="1" applyBorder="1" applyAlignment="1"/>
    <xf numFmtId="2" fontId="5" fillId="6" borderId="3" xfId="0" applyNumberFormat="1" applyFont="1" applyFill="1" applyBorder="1" applyAlignment="1">
      <alignment wrapText="1"/>
    </xf>
    <xf numFmtId="2" fontId="1" fillId="7" borderId="5" xfId="0" applyNumberFormat="1" applyFont="1" applyFill="1" applyBorder="1" applyAlignment="1"/>
    <xf numFmtId="0" fontId="14" fillId="0" borderId="0" xfId="0" applyFont="1" applyAlignment="1"/>
    <xf numFmtId="0" fontId="14" fillId="0" borderId="22" xfId="0" applyFont="1" applyBorder="1" applyAlignment="1"/>
    <xf numFmtId="2" fontId="5" fillId="4" borderId="7" xfId="0" applyNumberFormat="1" applyFont="1" applyFill="1" applyBorder="1" applyAlignment="1"/>
    <xf numFmtId="0" fontId="0" fillId="4" borderId="7" xfId="0" applyFill="1" applyBorder="1" applyAlignment="1"/>
    <xf numFmtId="2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 textRotation="90" wrapText="1"/>
    </xf>
    <xf numFmtId="2" fontId="4" fillId="4" borderId="11" xfId="0" applyNumberFormat="1" applyFont="1" applyFill="1" applyBorder="1" applyAlignment="1">
      <alignment vertical="center" wrapText="1"/>
    </xf>
    <xf numFmtId="2" fontId="4" fillId="4" borderId="2" xfId="0" applyNumberFormat="1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51" fillId="15" borderId="18" xfId="0" applyFont="1" applyFill="1" applyBorder="1" applyAlignment="1">
      <alignment horizontal="center" vertical="center" wrapText="1"/>
    </xf>
    <xf numFmtId="0" fontId="14" fillId="15" borderId="12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 wrapText="1"/>
    </xf>
    <xf numFmtId="0" fontId="73" fillId="9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2" fillId="9" borderId="1" xfId="0" applyFont="1" applyFill="1" applyBorder="1" applyAlignment="1">
      <alignment vertical="center"/>
    </xf>
    <xf numFmtId="0" fontId="14" fillId="9" borderId="0" xfId="0" applyFont="1" applyFill="1" applyBorder="1" applyAlignment="1"/>
    <xf numFmtId="0" fontId="14" fillId="9" borderId="22" xfId="0" applyFont="1" applyFill="1" applyBorder="1" applyAlignment="1"/>
    <xf numFmtId="0" fontId="73" fillId="9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0" fontId="73" fillId="9" borderId="1" xfId="0" applyFont="1" applyFill="1" applyBorder="1" applyAlignment="1">
      <alignment vertical="center"/>
    </xf>
    <xf numFmtId="0" fontId="75" fillId="9" borderId="0" xfId="0" applyFont="1" applyFill="1" applyBorder="1" applyAlignment="1">
      <alignment vertical="center"/>
    </xf>
    <xf numFmtId="0" fontId="75" fillId="9" borderId="22" xfId="0" applyFont="1" applyFill="1" applyBorder="1" applyAlignment="1">
      <alignment vertical="center"/>
    </xf>
    <xf numFmtId="0" fontId="39" fillId="4" borderId="3" xfId="0" applyFont="1" applyFill="1" applyBorder="1" applyAlignment="1"/>
    <xf numFmtId="2" fontId="5" fillId="4" borderId="18" xfId="0" applyNumberFormat="1" applyFont="1" applyFill="1" applyBorder="1" applyAlignment="1"/>
    <xf numFmtId="0" fontId="5" fillId="21" borderId="5" xfId="0" applyFont="1" applyFill="1" applyBorder="1" applyAlignment="1"/>
    <xf numFmtId="0" fontId="0" fillId="21" borderId="5" xfId="0" applyFill="1" applyBorder="1" applyAlignment="1"/>
    <xf numFmtId="0" fontId="15" fillId="9" borderId="1" xfId="0" applyFont="1" applyFill="1" applyBorder="1" applyAlignment="1">
      <alignment vertical="center"/>
    </xf>
    <xf numFmtId="0" fontId="9" fillId="9" borderId="0" xfId="0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2" fontId="40" fillId="7" borderId="3" xfId="0" applyNumberFormat="1" applyFont="1" applyFill="1" applyBorder="1" applyAlignment="1">
      <alignment horizontal="center" vertical="center" wrapText="1"/>
    </xf>
    <xf numFmtId="2" fontId="45" fillId="7" borderId="3" xfId="0" applyNumberFormat="1" applyFont="1" applyFill="1" applyBorder="1" applyAlignment="1">
      <alignment horizontal="center" vertical="center" wrapText="1"/>
    </xf>
    <xf numFmtId="0" fontId="60" fillId="7" borderId="3" xfId="0" applyFont="1" applyFill="1" applyBorder="1" applyAlignment="1">
      <alignment horizontal="center" vertical="center" wrapText="1"/>
    </xf>
    <xf numFmtId="2" fontId="17" fillId="7" borderId="3" xfId="0" applyNumberFormat="1" applyFont="1" applyFill="1" applyBorder="1" applyAlignment="1"/>
    <xf numFmtId="0" fontId="39" fillId="7" borderId="3" xfId="0" applyFont="1" applyFill="1" applyBorder="1" applyAlignment="1"/>
    <xf numFmtId="0" fontId="105" fillId="12" borderId="16" xfId="0" applyFont="1" applyFill="1" applyBorder="1" applyAlignment="1">
      <alignment horizontal="center" vertical="center" wrapText="1"/>
    </xf>
    <xf numFmtId="0" fontId="105" fillId="12" borderId="25" xfId="0" applyFont="1" applyFill="1" applyBorder="1" applyAlignment="1">
      <alignment horizontal="center" vertical="center" wrapText="1"/>
    </xf>
    <xf numFmtId="0" fontId="105" fillId="12" borderId="19" xfId="0" applyFont="1" applyFill="1" applyBorder="1" applyAlignment="1">
      <alignment horizontal="center" vertical="center" wrapText="1"/>
    </xf>
    <xf numFmtId="0" fontId="105" fillId="12" borderId="1" xfId="0" applyFont="1" applyFill="1" applyBorder="1" applyAlignment="1">
      <alignment horizontal="center" vertical="center" wrapText="1"/>
    </xf>
    <xf numFmtId="0" fontId="105" fillId="12" borderId="0" xfId="0" applyFont="1" applyFill="1" applyBorder="1" applyAlignment="1">
      <alignment horizontal="center" vertical="center" wrapText="1"/>
    </xf>
    <xf numFmtId="0" fontId="105" fillId="12" borderId="22" xfId="0" applyFont="1" applyFill="1" applyBorder="1" applyAlignment="1">
      <alignment horizontal="center" vertical="center" wrapText="1"/>
    </xf>
    <xf numFmtId="0" fontId="105" fillId="12" borderId="18" xfId="0" applyFont="1" applyFill="1" applyBorder="1" applyAlignment="1">
      <alignment horizontal="center" vertical="center" wrapText="1"/>
    </xf>
    <xf numFmtId="0" fontId="105" fillId="12" borderId="12" xfId="0" applyFont="1" applyFill="1" applyBorder="1" applyAlignment="1">
      <alignment horizontal="center" vertical="center" wrapText="1"/>
    </xf>
    <xf numFmtId="0" fontId="105" fillId="12" borderId="9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/>
    <xf numFmtId="0" fontId="2" fillId="12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2" fontId="4" fillId="6" borderId="18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0" xfId="0" applyAlignment="1"/>
    <xf numFmtId="2" fontId="58" fillId="7" borderId="3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/>
    <xf numFmtId="0" fontId="39" fillId="7" borderId="2" xfId="0" applyFont="1" applyFill="1" applyBorder="1" applyAlignment="1"/>
    <xf numFmtId="0" fontId="39" fillId="7" borderId="4" xfId="0" applyFont="1" applyFill="1" applyBorder="1" applyAlignment="1"/>
    <xf numFmtId="2" fontId="58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8" fillId="7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93" fillId="4" borderId="11" xfId="0" applyFont="1" applyFill="1" applyBorder="1" applyAlignment="1">
      <alignment horizontal="center" vertical="center"/>
    </xf>
    <xf numFmtId="0" fontId="91" fillId="4" borderId="2" xfId="0" applyFont="1" applyFill="1" applyBorder="1" applyAlignment="1">
      <alignment horizontal="center" vertical="center"/>
    </xf>
    <xf numFmtId="0" fontId="91" fillId="4" borderId="2" xfId="0" applyFont="1" applyFill="1" applyBorder="1" applyAlignment="1"/>
    <xf numFmtId="0" fontId="91" fillId="4" borderId="4" xfId="0" applyFont="1" applyFill="1" applyBorder="1" applyAlignment="1"/>
    <xf numFmtId="0" fontId="110" fillId="19" borderId="11" xfId="0" applyFont="1" applyFill="1" applyBorder="1" applyAlignment="1">
      <alignment horizontal="center" vertical="center" wrapText="1"/>
    </xf>
    <xf numFmtId="0" fontId="111" fillId="19" borderId="2" xfId="0" applyFont="1" applyFill="1" applyBorder="1" applyAlignment="1">
      <alignment horizontal="center" vertical="center" wrapText="1"/>
    </xf>
    <xf numFmtId="0" fontId="111" fillId="19" borderId="4" xfId="0" applyFont="1" applyFill="1" applyBorder="1" applyAlignment="1">
      <alignment horizontal="center" vertical="center" wrapText="1"/>
    </xf>
    <xf numFmtId="0" fontId="88" fillId="13" borderId="11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/>
    </xf>
    <xf numFmtId="0" fontId="78" fillId="13" borderId="4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 vertical="center" wrapText="1"/>
    </xf>
    <xf numFmtId="2" fontId="58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2" fontId="58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5" fillId="4" borderId="11" xfId="0" applyNumberFormat="1" applyFont="1" applyFill="1" applyBorder="1" applyAlignment="1">
      <alignment horizontal="left"/>
    </xf>
    <xf numFmtId="2" fontId="59" fillId="7" borderId="16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2" fontId="59" fillId="4" borderId="16" xfId="0" applyNumberFormat="1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63" fillId="2" borderId="7" xfId="2" applyFont="1" applyFill="1" applyBorder="1" applyAlignment="1" applyProtection="1">
      <alignment horizontal="center" vertical="center"/>
    </xf>
    <xf numFmtId="0" fontId="63" fillId="0" borderId="5" xfId="2" applyFont="1" applyBorder="1" applyAlignment="1" applyProtection="1">
      <alignment horizontal="center" vertical="center"/>
    </xf>
    <xf numFmtId="0" fontId="45" fillId="19" borderId="16" xfId="0" applyFont="1" applyFill="1" applyBorder="1" applyAlignment="1">
      <alignment horizontal="left" vertical="center" wrapText="1"/>
    </xf>
    <xf numFmtId="0" fontId="18" fillId="19" borderId="25" xfId="0" applyFont="1" applyFill="1" applyBorder="1" applyAlignment="1">
      <alignment horizontal="left" vertical="center" wrapText="1"/>
    </xf>
    <xf numFmtId="0" fontId="18" fillId="19" borderId="19" xfId="0" applyFont="1" applyFill="1" applyBorder="1" applyAlignment="1">
      <alignment horizontal="left" vertical="center" wrapText="1"/>
    </xf>
    <xf numFmtId="0" fontId="8" fillId="19" borderId="16" xfId="0" applyFont="1" applyFill="1" applyBorder="1" applyAlignment="1">
      <alignment horizontal="center" vertical="center" wrapText="1"/>
    </xf>
    <xf numFmtId="0" fontId="44" fillId="19" borderId="25" xfId="0" applyFont="1" applyFill="1" applyBorder="1" applyAlignment="1">
      <alignment horizontal="center" vertical="center" wrapText="1"/>
    </xf>
    <xf numFmtId="0" fontId="44" fillId="19" borderId="19" xfId="0" applyFont="1" applyFill="1" applyBorder="1" applyAlignment="1">
      <alignment horizontal="center" vertical="center" wrapText="1"/>
    </xf>
    <xf numFmtId="0" fontId="52" fillId="2" borderId="0" xfId="2" applyFont="1" applyFill="1" applyAlignment="1" applyProtection="1"/>
    <xf numFmtId="0" fontId="87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12" fillId="19" borderId="18" xfId="2" applyFill="1" applyBorder="1" applyAlignment="1" applyProtection="1">
      <alignment horizontal="left" vertical="center"/>
    </xf>
    <xf numFmtId="0" fontId="12" fillId="19" borderId="12" xfId="2" applyFill="1" applyBorder="1" applyAlignment="1" applyProtection="1">
      <alignment horizontal="left" vertical="center"/>
    </xf>
    <xf numFmtId="0" fontId="90" fillId="20" borderId="11" xfId="0" applyFont="1" applyFill="1" applyBorder="1" applyAlignment="1">
      <alignment horizontal="center" vertical="center"/>
    </xf>
    <xf numFmtId="0" fontId="91" fillId="20" borderId="2" xfId="0" applyFont="1" applyFill="1" applyBorder="1" applyAlignment="1">
      <alignment horizontal="center" vertical="center"/>
    </xf>
    <xf numFmtId="0" fontId="91" fillId="20" borderId="4" xfId="0" applyFont="1" applyFill="1" applyBorder="1" applyAlignment="1">
      <alignment horizontal="center" vertical="center"/>
    </xf>
    <xf numFmtId="0" fontId="117" fillId="19" borderId="16" xfId="0" applyFont="1" applyFill="1" applyBorder="1" applyAlignment="1">
      <alignment horizontal="center" vertical="center" wrapText="1"/>
    </xf>
    <xf numFmtId="0" fontId="5" fillId="19" borderId="25" xfId="0" applyFont="1" applyFill="1" applyBorder="1" applyAlignment="1">
      <alignment horizontal="center" vertical="center" wrapText="1"/>
    </xf>
    <xf numFmtId="0" fontId="5" fillId="19" borderId="19" xfId="0" applyFont="1" applyFill="1" applyBorder="1" applyAlignment="1">
      <alignment horizontal="center" vertical="center" wrapText="1"/>
    </xf>
    <xf numFmtId="0" fontId="14" fillId="19" borderId="18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19" borderId="9" xfId="0" applyFont="1" applyFill="1" applyBorder="1" applyAlignment="1">
      <alignment horizontal="center" vertical="center" wrapText="1"/>
    </xf>
    <xf numFmtId="0" fontId="114" fillId="19" borderId="16" xfId="2" applyFont="1" applyFill="1" applyBorder="1" applyAlignment="1" applyProtection="1">
      <alignment horizontal="center" vertical="center" wrapText="1"/>
    </xf>
    <xf numFmtId="0" fontId="114" fillId="19" borderId="25" xfId="2" applyFont="1" applyFill="1" applyBorder="1" applyAlignment="1" applyProtection="1">
      <alignment horizontal="center" vertical="center" wrapText="1"/>
    </xf>
    <xf numFmtId="0" fontId="114" fillId="19" borderId="19" xfId="2" applyFont="1" applyFill="1" applyBorder="1" applyAlignment="1" applyProtection="1">
      <alignment horizontal="center" vertical="center" wrapText="1"/>
    </xf>
    <xf numFmtId="0" fontId="114" fillId="19" borderId="18" xfId="2" applyFont="1" applyFill="1" applyBorder="1" applyAlignment="1" applyProtection="1">
      <alignment horizontal="center" vertical="center" wrapText="1"/>
    </xf>
    <xf numFmtId="0" fontId="114" fillId="19" borderId="12" xfId="2" applyFont="1" applyFill="1" applyBorder="1" applyAlignment="1" applyProtection="1">
      <alignment horizontal="center" vertical="center" wrapText="1"/>
    </xf>
    <xf numFmtId="0" fontId="114" fillId="19" borderId="9" xfId="2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2" fillId="8" borderId="11" xfId="0" applyFont="1" applyFill="1" applyBorder="1" applyAlignment="1">
      <alignment horizontal="center" vertical="center" wrapText="1"/>
    </xf>
    <xf numFmtId="0" fontId="112" fillId="8" borderId="2" xfId="0" applyFont="1" applyFill="1" applyBorder="1" applyAlignment="1">
      <alignment horizontal="center" vertical="center" wrapText="1"/>
    </xf>
    <xf numFmtId="0" fontId="113" fillId="8" borderId="4" xfId="0" applyFont="1" applyFill="1" applyBorder="1" applyAlignment="1">
      <alignment horizontal="center" vertical="center" wrapText="1"/>
    </xf>
    <xf numFmtId="0" fontId="53" fillId="3" borderId="11" xfId="0" applyFont="1" applyFill="1" applyBorder="1" applyAlignment="1">
      <alignment horizontal="center" wrapText="1"/>
    </xf>
    <xf numFmtId="0" fontId="53" fillId="3" borderId="2" xfId="0" applyFont="1" applyFill="1" applyBorder="1" applyAlignment="1">
      <alignment horizontal="center" wrapText="1"/>
    </xf>
    <xf numFmtId="0" fontId="47" fillId="3" borderId="4" xfId="0" applyFont="1" applyFill="1" applyBorder="1" applyAlignment="1">
      <alignment horizontal="center" wrapText="1"/>
    </xf>
    <xf numFmtId="0" fontId="52" fillId="19" borderId="11" xfId="2" applyFont="1" applyFill="1" applyBorder="1" applyAlignment="1" applyProtection="1">
      <alignment horizontal="center" vertical="center" wrapText="1"/>
    </xf>
    <xf numFmtId="0" fontId="52" fillId="19" borderId="2" xfId="2" applyFont="1" applyFill="1" applyBorder="1" applyAlignment="1" applyProtection="1">
      <alignment horizontal="center" vertical="center" wrapText="1"/>
    </xf>
    <xf numFmtId="0" fontId="52" fillId="19" borderId="4" xfId="2" applyFont="1" applyFill="1" applyBorder="1" applyAlignment="1" applyProtection="1">
      <alignment horizontal="center" vertical="center" wrapText="1"/>
    </xf>
    <xf numFmtId="0" fontId="89" fillId="4" borderId="0" xfId="2" applyFont="1" applyFill="1" applyBorder="1" applyAlignment="1" applyProtection="1">
      <alignment horizontal="center" vertical="center" wrapText="1"/>
    </xf>
    <xf numFmtId="0" fontId="5" fillId="4" borderId="18" xfId="0" applyNumberFormat="1" applyFont="1" applyFill="1" applyBorder="1" applyAlignment="1"/>
    <xf numFmtId="0" fontId="0" fillId="4" borderId="12" xfId="0" applyNumberFormat="1" applyFill="1" applyBorder="1" applyAlignment="1"/>
    <xf numFmtId="0" fontId="0" fillId="4" borderId="9" xfId="0" applyNumberFormat="1" applyFill="1" applyBorder="1" applyAlignment="1"/>
    <xf numFmtId="0" fontId="37" fillId="9" borderId="16" xfId="0" applyFont="1" applyFill="1" applyBorder="1" applyAlignment="1">
      <alignment horizontal="center" vertical="center" wrapText="1"/>
    </xf>
    <xf numFmtId="0" fontId="37" fillId="9" borderId="25" xfId="0" applyFont="1" applyFill="1" applyBorder="1" applyAlignment="1">
      <alignment horizontal="center" vertical="center" wrapText="1"/>
    </xf>
    <xf numFmtId="0" fontId="37" fillId="9" borderId="19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37" fillId="9" borderId="0" xfId="0" applyFont="1" applyFill="1" applyBorder="1" applyAlignment="1">
      <alignment horizontal="center" vertical="center" wrapText="1"/>
    </xf>
    <xf numFmtId="0" fontId="37" fillId="9" borderId="22" xfId="0" applyFon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2" fontId="4" fillId="6" borderId="1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0" fillId="4" borderId="11" xfId="0" applyFill="1" applyBorder="1" applyAlignment="1"/>
    <xf numFmtId="0" fontId="94" fillId="9" borderId="0" xfId="0" applyFont="1" applyFill="1" applyBorder="1" applyAlignment="1"/>
    <xf numFmtId="0" fontId="65" fillId="9" borderId="0" xfId="0" applyFont="1" applyFill="1" applyBorder="1" applyAlignment="1"/>
    <xf numFmtId="0" fontId="17" fillId="4" borderId="11" xfId="0" applyFont="1" applyFill="1" applyBorder="1" applyAlignment="1"/>
    <xf numFmtId="0" fontId="39" fillId="4" borderId="2" xfId="0" applyFont="1" applyFill="1" applyBorder="1" applyAlignment="1"/>
    <xf numFmtId="0" fontId="39" fillId="4" borderId="4" xfId="0" applyFont="1" applyFill="1" applyBorder="1" applyAlignment="1"/>
    <xf numFmtId="0" fontId="0" fillId="4" borderId="18" xfId="0" applyFill="1" applyBorder="1" applyAlignment="1"/>
    <xf numFmtId="0" fontId="0" fillId="7" borderId="11" xfId="0" applyFill="1" applyBorder="1" applyAlignment="1"/>
    <xf numFmtId="2" fontId="2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2" fontId="5" fillId="7" borderId="11" xfId="0" applyNumberFormat="1" applyFont="1" applyFill="1" applyBorder="1" applyAlignment="1">
      <alignment vertical="center" wrapText="1"/>
    </xf>
    <xf numFmtId="0" fontId="18" fillId="7" borderId="2" xfId="0" applyFont="1" applyFill="1" applyBorder="1" applyAlignment="1">
      <alignment vertical="center" wrapText="1"/>
    </xf>
    <xf numFmtId="0" fontId="18" fillId="7" borderId="4" xfId="0" applyFont="1" applyFill="1" applyBorder="1" applyAlignment="1">
      <alignment vertical="center" wrapText="1"/>
    </xf>
    <xf numFmtId="2" fontId="4" fillId="21" borderId="18" xfId="0" applyNumberFormat="1" applyFont="1" applyFill="1" applyBorder="1" applyAlignment="1">
      <alignment horizontal="center" vertical="center"/>
    </xf>
    <xf numFmtId="2" fontId="4" fillId="21" borderId="12" xfId="0" applyNumberFormat="1" applyFont="1" applyFill="1" applyBorder="1" applyAlignment="1">
      <alignment horizontal="center" vertical="center"/>
    </xf>
    <xf numFmtId="0" fontId="73" fillId="9" borderId="0" xfId="0" applyFont="1" applyFill="1" applyBorder="1" applyAlignment="1"/>
    <xf numFmtId="0" fontId="73" fillId="9" borderId="22" xfId="0" applyFont="1" applyFill="1" applyBorder="1" applyAlignment="1"/>
    <xf numFmtId="0" fontId="36" fillId="7" borderId="18" xfId="0" applyFont="1" applyFill="1" applyBorder="1" applyAlignment="1"/>
    <xf numFmtId="0" fontId="36" fillId="7" borderId="12" xfId="0" applyFont="1" applyFill="1" applyBorder="1" applyAlignment="1"/>
    <xf numFmtId="0" fontId="5" fillId="4" borderId="7" xfId="0" applyFont="1" applyFill="1" applyBorder="1" applyAlignment="1"/>
    <xf numFmtId="0" fontId="18" fillId="4" borderId="7" xfId="0" applyFont="1" applyFill="1" applyBorder="1" applyAlignment="1"/>
    <xf numFmtId="0" fontId="73" fillId="4" borderId="1" xfId="0" applyFont="1" applyFill="1" applyBorder="1" applyAlignment="1"/>
    <xf numFmtId="0" fontId="0" fillId="4" borderId="0" xfId="0" applyFill="1" applyBorder="1" applyAlignment="1"/>
    <xf numFmtId="0" fontId="2" fillId="4" borderId="3" xfId="0" applyFont="1" applyFill="1" applyBorder="1" applyAlignment="1">
      <alignment horizontal="left" vertical="center" wrapText="1"/>
    </xf>
    <xf numFmtId="2" fontId="1" fillId="4" borderId="5" xfId="0" applyNumberFormat="1" applyFont="1" applyFill="1" applyBorder="1" applyAlignment="1"/>
    <xf numFmtId="2" fontId="5" fillId="4" borderId="2" xfId="0" applyNumberFormat="1" applyFont="1" applyFill="1" applyBorder="1" applyAlignment="1">
      <alignment wrapText="1"/>
    </xf>
    <xf numFmtId="2" fontId="5" fillId="4" borderId="4" xfId="0" applyNumberFormat="1" applyFont="1" applyFill="1" applyBorder="1" applyAlignment="1">
      <alignment wrapText="1"/>
    </xf>
    <xf numFmtId="2" fontId="5" fillId="6" borderId="2" xfId="0" applyNumberFormat="1" applyFont="1" applyFill="1" applyBorder="1" applyAlignment="1"/>
    <xf numFmtId="2" fontId="5" fillId="6" borderId="4" xfId="0" applyNumberFormat="1" applyFont="1" applyFill="1" applyBorder="1" applyAlignment="1"/>
    <xf numFmtId="0" fontId="2" fillId="9" borderId="1" xfId="0" applyFont="1" applyFill="1" applyBorder="1" applyAlignment="1">
      <alignment horizontal="left"/>
    </xf>
    <xf numFmtId="0" fontId="2" fillId="9" borderId="0" xfId="0" applyFont="1" applyFill="1" applyBorder="1" applyAlignment="1">
      <alignment horizontal="left"/>
    </xf>
    <xf numFmtId="0" fontId="2" fillId="9" borderId="22" xfId="0" applyFont="1" applyFill="1" applyBorder="1" applyAlignment="1">
      <alignment horizontal="left"/>
    </xf>
    <xf numFmtId="0" fontId="65" fillId="0" borderId="0" xfId="0" applyFont="1" applyAlignment="1"/>
    <xf numFmtId="0" fontId="65" fillId="0" borderId="22" xfId="0" applyFont="1" applyBorder="1" applyAlignment="1"/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2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2" fontId="5" fillId="0" borderId="11" xfId="0" applyNumberFormat="1" applyFont="1" applyFill="1" applyBorder="1" applyAlignment="1"/>
    <xf numFmtId="0" fontId="0" fillId="0" borderId="2" xfId="0" applyFill="1" applyBorder="1" applyAlignment="1"/>
    <xf numFmtId="0" fontId="0" fillId="0" borderId="4" xfId="0" applyFill="1" applyBorder="1" applyAlignment="1"/>
    <xf numFmtId="2" fontId="5" fillId="21" borderId="11" xfId="0" applyNumberFormat="1" applyFont="1" applyFill="1" applyBorder="1" applyAlignment="1">
      <alignment wrapText="1"/>
    </xf>
    <xf numFmtId="0" fontId="0" fillId="21" borderId="2" xfId="0" applyFill="1" applyBorder="1" applyAlignment="1">
      <alignment wrapText="1"/>
    </xf>
    <xf numFmtId="0" fontId="0" fillId="21" borderId="4" xfId="0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5" fillId="7" borderId="11" xfId="0" applyNumberFormat="1" applyFont="1" applyFill="1" applyBorder="1" applyAlignment="1"/>
    <xf numFmtId="0" fontId="0" fillId="7" borderId="2" xfId="0" applyNumberFormat="1" applyFill="1" applyBorder="1" applyAlignment="1"/>
    <xf numFmtId="0" fontId="0" fillId="7" borderId="4" xfId="0" applyNumberFormat="1" applyFill="1" applyBorder="1" applyAlignment="1"/>
    <xf numFmtId="0" fontId="4" fillId="19" borderId="3" xfId="2" applyFont="1" applyFill="1" applyBorder="1" applyAlignment="1" applyProtection="1">
      <alignment horizontal="center" vertical="center" wrapText="1"/>
    </xf>
    <xf numFmtId="0" fontId="18" fillId="21" borderId="3" xfId="0" applyFont="1" applyFill="1" applyBorder="1" applyAlignment="1"/>
    <xf numFmtId="0" fontId="18" fillId="4" borderId="3" xfId="0" applyFont="1" applyFill="1" applyBorder="1" applyAlignment="1">
      <alignment wrapText="1"/>
    </xf>
    <xf numFmtId="0" fontId="1" fillId="4" borderId="3" xfId="0" applyFont="1" applyFill="1" applyBorder="1" applyAlignment="1">
      <alignment wrapText="1"/>
    </xf>
    <xf numFmtId="2" fontId="66" fillId="12" borderId="16" xfId="0" applyNumberFormat="1" applyFont="1" applyFill="1" applyBorder="1" applyAlignment="1">
      <alignment horizontal="center" vertical="center" wrapText="1"/>
    </xf>
    <xf numFmtId="0" fontId="72" fillId="12" borderId="25" xfId="0" applyFont="1" applyFill="1" applyBorder="1" applyAlignment="1">
      <alignment horizontal="center" vertical="center" wrapText="1"/>
    </xf>
    <xf numFmtId="0" fontId="72" fillId="12" borderId="19" xfId="0" applyFont="1" applyFill="1" applyBorder="1" applyAlignment="1">
      <alignment horizontal="center" vertical="center" wrapText="1"/>
    </xf>
    <xf numFmtId="0" fontId="72" fillId="12" borderId="1" xfId="0" applyFont="1" applyFill="1" applyBorder="1" applyAlignment="1">
      <alignment horizontal="center" vertical="center" wrapText="1"/>
    </xf>
    <xf numFmtId="0" fontId="72" fillId="12" borderId="0" xfId="0" applyFont="1" applyFill="1" applyBorder="1" applyAlignment="1">
      <alignment horizontal="center" vertical="center" wrapText="1"/>
    </xf>
    <xf numFmtId="0" fontId="72" fillId="12" borderId="2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1" fillId="19" borderId="3" xfId="0" applyFont="1" applyFill="1" applyBorder="1" applyAlignment="1">
      <alignment horizontal="center" vertical="center" wrapText="1"/>
    </xf>
    <xf numFmtId="2" fontId="72" fillId="21" borderId="3" xfId="0" applyNumberFormat="1" applyFont="1" applyFill="1" applyBorder="1" applyAlignment="1"/>
    <xf numFmtId="0" fontId="65" fillId="21" borderId="3" xfId="0" applyFont="1" applyFill="1" applyBorder="1" applyAlignment="1"/>
    <xf numFmtId="0" fontId="1" fillId="6" borderId="3" xfId="0" applyFont="1" applyFill="1" applyBorder="1" applyAlignment="1">
      <alignment wrapText="1"/>
    </xf>
    <xf numFmtId="0" fontId="77" fillId="13" borderId="11" xfId="0" applyFont="1" applyFill="1" applyBorder="1" applyAlignment="1">
      <alignment wrapText="1"/>
    </xf>
    <xf numFmtId="0" fontId="78" fillId="13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77" fillId="16" borderId="11" xfId="0" applyFont="1" applyFill="1" applyBorder="1" applyAlignment="1">
      <alignment wrapText="1"/>
    </xf>
    <xf numFmtId="0" fontId="78" fillId="16" borderId="2" xfId="0" applyFont="1" applyFill="1" applyBorder="1" applyAlignment="1">
      <alignment wrapText="1"/>
    </xf>
    <xf numFmtId="2" fontId="84" fillId="4" borderId="3" xfId="0" applyNumberFormat="1" applyFont="1" applyFill="1" applyBorder="1" applyAlignment="1"/>
    <xf numFmtId="0" fontId="83" fillId="4" borderId="3" xfId="0" applyFont="1" applyFill="1" applyBorder="1" applyAlignment="1"/>
    <xf numFmtId="2" fontId="40" fillId="4" borderId="3" xfId="0" applyNumberFormat="1" applyFont="1" applyFill="1" applyBorder="1" applyAlignment="1">
      <alignment horizontal="center" vertical="center" wrapText="1"/>
    </xf>
    <xf numFmtId="1" fontId="70" fillId="21" borderId="3" xfId="0" applyNumberFormat="1" applyFont="1" applyFill="1" applyBorder="1" applyAlignment="1">
      <alignment horizontal="center" vertical="center"/>
    </xf>
    <xf numFmtId="1" fontId="70" fillId="21" borderId="4" xfId="0" applyNumberFormat="1" applyFont="1" applyFill="1" applyBorder="1" applyAlignment="1">
      <alignment horizontal="center" vertical="center"/>
    </xf>
    <xf numFmtId="1" fontId="70" fillId="7" borderId="4" xfId="0" applyNumberFormat="1" applyFont="1" applyFill="1" applyBorder="1" applyAlignment="1">
      <alignment horizontal="center" vertical="center"/>
    </xf>
    <xf numFmtId="1" fontId="70" fillId="4" borderId="4" xfId="0" applyNumberFormat="1" applyFont="1" applyFill="1" applyBorder="1" applyAlignment="1">
      <alignment horizontal="center" vertical="center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CCFF99"/>
      <color rgb="FFFFFFCC"/>
      <color rgb="FF007635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" Type="http://schemas.openxmlformats.org/officeDocument/2006/relationships/image" Target="../media/image5.jpeg"/><Relationship Id="rId19" Type="http://schemas.openxmlformats.org/officeDocument/2006/relationships/image" Target="../media/image18.png"/><Relationship Id="rId4" Type="http://schemas.openxmlformats.org/officeDocument/2006/relationships/image" Target="../media/image4.png"/><Relationship Id="rId9" Type="http://schemas.openxmlformats.org/officeDocument/2006/relationships/hyperlink" Target="http://www.jivi.com.ar/home.asp" TargetMode="External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796</xdr:row>
      <xdr:rowOff>28575</xdr:rowOff>
    </xdr:from>
    <xdr:to>
      <xdr:col>1</xdr:col>
      <xdr:colOff>295275</xdr:colOff>
      <xdr:row>796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103</xdr:row>
      <xdr:rowOff>19050</xdr:rowOff>
    </xdr:from>
    <xdr:to>
      <xdr:col>0</xdr:col>
      <xdr:colOff>295275</xdr:colOff>
      <xdr:row>103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85726</xdr:colOff>
      <xdr:row>792</xdr:row>
      <xdr:rowOff>28576</xdr:rowOff>
    </xdr:from>
    <xdr:to>
      <xdr:col>1</xdr:col>
      <xdr:colOff>173958</xdr:colOff>
      <xdr:row>792</xdr:row>
      <xdr:rowOff>180976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6" y="120910351"/>
          <a:ext cx="88232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126</xdr:row>
      <xdr:rowOff>0</xdr:rowOff>
    </xdr:from>
    <xdr:to>
      <xdr:col>38</xdr:col>
      <xdr:colOff>371475</xdr:colOff>
      <xdr:row>129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65</xdr:row>
      <xdr:rowOff>19050</xdr:rowOff>
    </xdr:from>
    <xdr:to>
      <xdr:col>0</xdr:col>
      <xdr:colOff>295275</xdr:colOff>
      <xdr:row>65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782</xdr:row>
      <xdr:rowOff>76200</xdr:rowOff>
    </xdr:from>
    <xdr:to>
      <xdr:col>8</xdr:col>
      <xdr:colOff>353861</xdr:colOff>
      <xdr:row>788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66</xdr:row>
      <xdr:rowOff>28575</xdr:rowOff>
    </xdr:from>
    <xdr:to>
      <xdr:col>0</xdr:col>
      <xdr:colOff>295275</xdr:colOff>
      <xdr:row>67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798</xdr:row>
      <xdr:rowOff>38100</xdr:rowOff>
    </xdr:from>
    <xdr:to>
      <xdr:col>1</xdr:col>
      <xdr:colOff>295275</xdr:colOff>
      <xdr:row>798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121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797</xdr:row>
      <xdr:rowOff>38100</xdr:rowOff>
    </xdr:from>
    <xdr:to>
      <xdr:col>1</xdr:col>
      <xdr:colOff>295275</xdr:colOff>
      <xdr:row>797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700</xdr:row>
      <xdr:rowOff>19050</xdr:rowOff>
    </xdr:from>
    <xdr:to>
      <xdr:col>1</xdr:col>
      <xdr:colOff>0</xdr:colOff>
      <xdr:row>700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701</xdr:row>
      <xdr:rowOff>19050</xdr:rowOff>
    </xdr:from>
    <xdr:to>
      <xdr:col>1</xdr:col>
      <xdr:colOff>0</xdr:colOff>
      <xdr:row>701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702</xdr:row>
      <xdr:rowOff>19050</xdr:rowOff>
    </xdr:from>
    <xdr:to>
      <xdr:col>1</xdr:col>
      <xdr:colOff>0</xdr:colOff>
      <xdr:row>702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370</xdr:row>
      <xdr:rowOff>28575</xdr:rowOff>
    </xdr:from>
    <xdr:to>
      <xdr:col>1</xdr:col>
      <xdr:colOff>0</xdr:colOff>
      <xdr:row>370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231</xdr:row>
      <xdr:rowOff>28575</xdr:rowOff>
    </xdr:from>
    <xdr:to>
      <xdr:col>1</xdr:col>
      <xdr:colOff>0</xdr:colOff>
      <xdr:row>231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484</xdr:row>
      <xdr:rowOff>28575</xdr:rowOff>
    </xdr:from>
    <xdr:to>
      <xdr:col>1</xdr:col>
      <xdr:colOff>0</xdr:colOff>
      <xdr:row>484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483</xdr:row>
      <xdr:rowOff>19050</xdr:rowOff>
    </xdr:from>
    <xdr:to>
      <xdr:col>24</xdr:col>
      <xdr:colOff>47625</xdr:colOff>
      <xdr:row>483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480</xdr:row>
      <xdr:rowOff>19050</xdr:rowOff>
    </xdr:from>
    <xdr:to>
      <xdr:col>24</xdr:col>
      <xdr:colOff>47625</xdr:colOff>
      <xdr:row>480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471</xdr:row>
      <xdr:rowOff>19050</xdr:rowOff>
    </xdr:from>
    <xdr:to>
      <xdr:col>24</xdr:col>
      <xdr:colOff>47625</xdr:colOff>
      <xdr:row>471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470</xdr:row>
      <xdr:rowOff>19050</xdr:rowOff>
    </xdr:from>
    <xdr:to>
      <xdr:col>24</xdr:col>
      <xdr:colOff>47625</xdr:colOff>
      <xdr:row>470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508</xdr:row>
      <xdr:rowOff>19050</xdr:rowOff>
    </xdr:from>
    <xdr:to>
      <xdr:col>24</xdr:col>
      <xdr:colOff>47625</xdr:colOff>
      <xdr:row>508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510</xdr:row>
      <xdr:rowOff>19050</xdr:rowOff>
    </xdr:from>
    <xdr:to>
      <xdr:col>24</xdr:col>
      <xdr:colOff>47625</xdr:colOff>
      <xdr:row>510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511</xdr:row>
      <xdr:rowOff>19050</xdr:rowOff>
    </xdr:from>
    <xdr:to>
      <xdr:col>24</xdr:col>
      <xdr:colOff>47625</xdr:colOff>
      <xdr:row>511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512</xdr:row>
      <xdr:rowOff>19050</xdr:rowOff>
    </xdr:from>
    <xdr:to>
      <xdr:col>24</xdr:col>
      <xdr:colOff>47625</xdr:colOff>
      <xdr:row>512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513</xdr:row>
      <xdr:rowOff>19050</xdr:rowOff>
    </xdr:from>
    <xdr:to>
      <xdr:col>24</xdr:col>
      <xdr:colOff>47625</xdr:colOff>
      <xdr:row>513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509</xdr:row>
      <xdr:rowOff>19050</xdr:rowOff>
    </xdr:from>
    <xdr:to>
      <xdr:col>24</xdr:col>
      <xdr:colOff>47625</xdr:colOff>
      <xdr:row>509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540</xdr:row>
      <xdr:rowOff>19050</xdr:rowOff>
    </xdr:from>
    <xdr:to>
      <xdr:col>24</xdr:col>
      <xdr:colOff>47625</xdr:colOff>
      <xdr:row>540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680</xdr:row>
      <xdr:rowOff>19050</xdr:rowOff>
    </xdr:from>
    <xdr:to>
      <xdr:col>24</xdr:col>
      <xdr:colOff>47625</xdr:colOff>
      <xdr:row>680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681</xdr:row>
      <xdr:rowOff>19050</xdr:rowOff>
    </xdr:from>
    <xdr:to>
      <xdr:col>24</xdr:col>
      <xdr:colOff>47625</xdr:colOff>
      <xdr:row>681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688</xdr:row>
      <xdr:rowOff>19050</xdr:rowOff>
    </xdr:from>
    <xdr:to>
      <xdr:col>24</xdr:col>
      <xdr:colOff>47625</xdr:colOff>
      <xdr:row>688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689</xdr:row>
      <xdr:rowOff>19050</xdr:rowOff>
    </xdr:from>
    <xdr:to>
      <xdr:col>24</xdr:col>
      <xdr:colOff>47625</xdr:colOff>
      <xdr:row>689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725</xdr:row>
      <xdr:rowOff>19050</xdr:rowOff>
    </xdr:from>
    <xdr:to>
      <xdr:col>24</xdr:col>
      <xdr:colOff>47625</xdr:colOff>
      <xdr:row>725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726</xdr:row>
      <xdr:rowOff>19050</xdr:rowOff>
    </xdr:from>
    <xdr:to>
      <xdr:col>24</xdr:col>
      <xdr:colOff>47625</xdr:colOff>
      <xdr:row>726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727</xdr:row>
      <xdr:rowOff>19050</xdr:rowOff>
    </xdr:from>
    <xdr:to>
      <xdr:col>24</xdr:col>
      <xdr:colOff>47625</xdr:colOff>
      <xdr:row>727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728</xdr:row>
      <xdr:rowOff>19050</xdr:rowOff>
    </xdr:from>
    <xdr:to>
      <xdr:col>24</xdr:col>
      <xdr:colOff>47625</xdr:colOff>
      <xdr:row>728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729</xdr:row>
      <xdr:rowOff>19050</xdr:rowOff>
    </xdr:from>
    <xdr:to>
      <xdr:col>24</xdr:col>
      <xdr:colOff>47625</xdr:colOff>
      <xdr:row>729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730</xdr:row>
      <xdr:rowOff>19050</xdr:rowOff>
    </xdr:from>
    <xdr:to>
      <xdr:col>24</xdr:col>
      <xdr:colOff>47625</xdr:colOff>
      <xdr:row>730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713</xdr:row>
      <xdr:rowOff>19050</xdr:rowOff>
    </xdr:from>
    <xdr:to>
      <xdr:col>24</xdr:col>
      <xdr:colOff>47625</xdr:colOff>
      <xdr:row>713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714</xdr:row>
      <xdr:rowOff>19050</xdr:rowOff>
    </xdr:from>
    <xdr:to>
      <xdr:col>24</xdr:col>
      <xdr:colOff>47625</xdr:colOff>
      <xdr:row>714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715</xdr:row>
      <xdr:rowOff>19050</xdr:rowOff>
    </xdr:from>
    <xdr:to>
      <xdr:col>24</xdr:col>
      <xdr:colOff>47625</xdr:colOff>
      <xdr:row>715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716</xdr:row>
      <xdr:rowOff>19050</xdr:rowOff>
    </xdr:from>
    <xdr:to>
      <xdr:col>24</xdr:col>
      <xdr:colOff>47625</xdr:colOff>
      <xdr:row>716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709</xdr:row>
      <xdr:rowOff>19050</xdr:rowOff>
    </xdr:from>
    <xdr:to>
      <xdr:col>24</xdr:col>
      <xdr:colOff>47625</xdr:colOff>
      <xdr:row>709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708</xdr:row>
      <xdr:rowOff>19050</xdr:rowOff>
    </xdr:from>
    <xdr:to>
      <xdr:col>24</xdr:col>
      <xdr:colOff>47625</xdr:colOff>
      <xdr:row>708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706</xdr:row>
      <xdr:rowOff>19050</xdr:rowOff>
    </xdr:from>
    <xdr:to>
      <xdr:col>24</xdr:col>
      <xdr:colOff>47625</xdr:colOff>
      <xdr:row>706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705</xdr:row>
      <xdr:rowOff>19050</xdr:rowOff>
    </xdr:from>
    <xdr:to>
      <xdr:col>24</xdr:col>
      <xdr:colOff>47625</xdr:colOff>
      <xdr:row>705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704</xdr:row>
      <xdr:rowOff>19050</xdr:rowOff>
    </xdr:from>
    <xdr:to>
      <xdr:col>24</xdr:col>
      <xdr:colOff>47625</xdr:colOff>
      <xdr:row>704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703</xdr:row>
      <xdr:rowOff>19050</xdr:rowOff>
    </xdr:from>
    <xdr:to>
      <xdr:col>24</xdr:col>
      <xdr:colOff>47625</xdr:colOff>
      <xdr:row>703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285</xdr:row>
      <xdr:rowOff>19050</xdr:rowOff>
    </xdr:from>
    <xdr:to>
      <xdr:col>24</xdr:col>
      <xdr:colOff>47625</xdr:colOff>
      <xdr:row>285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245</xdr:row>
      <xdr:rowOff>19050</xdr:rowOff>
    </xdr:from>
    <xdr:to>
      <xdr:col>24</xdr:col>
      <xdr:colOff>47625</xdr:colOff>
      <xdr:row>245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240</xdr:row>
      <xdr:rowOff>19050</xdr:rowOff>
    </xdr:from>
    <xdr:to>
      <xdr:col>24</xdr:col>
      <xdr:colOff>47625</xdr:colOff>
      <xdr:row>240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234</xdr:row>
      <xdr:rowOff>19050</xdr:rowOff>
    </xdr:from>
    <xdr:to>
      <xdr:col>24</xdr:col>
      <xdr:colOff>47625</xdr:colOff>
      <xdr:row>234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231</xdr:row>
      <xdr:rowOff>19050</xdr:rowOff>
    </xdr:from>
    <xdr:to>
      <xdr:col>24</xdr:col>
      <xdr:colOff>47625</xdr:colOff>
      <xdr:row>231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222</xdr:row>
      <xdr:rowOff>19050</xdr:rowOff>
    </xdr:from>
    <xdr:to>
      <xdr:col>24</xdr:col>
      <xdr:colOff>47625</xdr:colOff>
      <xdr:row>222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224</xdr:row>
      <xdr:rowOff>19050</xdr:rowOff>
    </xdr:from>
    <xdr:to>
      <xdr:col>24</xdr:col>
      <xdr:colOff>47625</xdr:colOff>
      <xdr:row>224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193</xdr:row>
      <xdr:rowOff>19050</xdr:rowOff>
    </xdr:from>
    <xdr:to>
      <xdr:col>26</xdr:col>
      <xdr:colOff>9524</xdr:colOff>
      <xdr:row>193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183</xdr:row>
      <xdr:rowOff>19050</xdr:rowOff>
    </xdr:from>
    <xdr:to>
      <xdr:col>24</xdr:col>
      <xdr:colOff>47625</xdr:colOff>
      <xdr:row>183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161</xdr:row>
      <xdr:rowOff>19050</xdr:rowOff>
    </xdr:from>
    <xdr:to>
      <xdr:col>26</xdr:col>
      <xdr:colOff>9524</xdr:colOff>
      <xdr:row>161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162</xdr:row>
      <xdr:rowOff>19050</xdr:rowOff>
    </xdr:from>
    <xdr:to>
      <xdr:col>26</xdr:col>
      <xdr:colOff>9524</xdr:colOff>
      <xdr:row>162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163</xdr:row>
      <xdr:rowOff>19050</xdr:rowOff>
    </xdr:from>
    <xdr:to>
      <xdr:col>26</xdr:col>
      <xdr:colOff>9524</xdr:colOff>
      <xdr:row>163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164</xdr:row>
      <xdr:rowOff>19050</xdr:rowOff>
    </xdr:from>
    <xdr:to>
      <xdr:col>26</xdr:col>
      <xdr:colOff>9524</xdr:colOff>
      <xdr:row>164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165</xdr:row>
      <xdr:rowOff>19050</xdr:rowOff>
    </xdr:from>
    <xdr:to>
      <xdr:col>26</xdr:col>
      <xdr:colOff>9524</xdr:colOff>
      <xdr:row>165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146</xdr:row>
      <xdr:rowOff>19050</xdr:rowOff>
    </xdr:from>
    <xdr:to>
      <xdr:col>26</xdr:col>
      <xdr:colOff>9524</xdr:colOff>
      <xdr:row>146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146</xdr:row>
      <xdr:rowOff>19050</xdr:rowOff>
    </xdr:from>
    <xdr:to>
      <xdr:col>26</xdr:col>
      <xdr:colOff>447675</xdr:colOff>
      <xdr:row>146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147</xdr:row>
      <xdr:rowOff>19050</xdr:rowOff>
    </xdr:from>
    <xdr:to>
      <xdr:col>26</xdr:col>
      <xdr:colOff>447675</xdr:colOff>
      <xdr:row>147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148</xdr:row>
      <xdr:rowOff>19050</xdr:rowOff>
    </xdr:from>
    <xdr:to>
      <xdr:col>26</xdr:col>
      <xdr:colOff>447675</xdr:colOff>
      <xdr:row>148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151</xdr:row>
      <xdr:rowOff>19050</xdr:rowOff>
    </xdr:from>
    <xdr:to>
      <xdr:col>26</xdr:col>
      <xdr:colOff>447675</xdr:colOff>
      <xdr:row>151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150</xdr:row>
      <xdr:rowOff>19050</xdr:rowOff>
    </xdr:from>
    <xdr:to>
      <xdr:col>26</xdr:col>
      <xdr:colOff>447675</xdr:colOff>
      <xdr:row>150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152</xdr:row>
      <xdr:rowOff>19050</xdr:rowOff>
    </xdr:from>
    <xdr:to>
      <xdr:col>26</xdr:col>
      <xdr:colOff>447675</xdr:colOff>
      <xdr:row>152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126</xdr:row>
      <xdr:rowOff>19050</xdr:rowOff>
    </xdr:from>
    <xdr:to>
      <xdr:col>24</xdr:col>
      <xdr:colOff>47625</xdr:colOff>
      <xdr:row>126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104</xdr:row>
      <xdr:rowOff>19050</xdr:rowOff>
    </xdr:from>
    <xdr:to>
      <xdr:col>25</xdr:col>
      <xdr:colOff>380999</xdr:colOff>
      <xdr:row>104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126</xdr:row>
      <xdr:rowOff>19050</xdr:rowOff>
    </xdr:from>
    <xdr:to>
      <xdr:col>26</xdr:col>
      <xdr:colOff>9524</xdr:colOff>
      <xdr:row>126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127</xdr:row>
      <xdr:rowOff>19050</xdr:rowOff>
    </xdr:from>
    <xdr:to>
      <xdr:col>26</xdr:col>
      <xdr:colOff>9524</xdr:colOff>
      <xdr:row>127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123</xdr:row>
      <xdr:rowOff>19050</xdr:rowOff>
    </xdr:from>
    <xdr:to>
      <xdr:col>24</xdr:col>
      <xdr:colOff>47625</xdr:colOff>
      <xdr:row>123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128</xdr:row>
      <xdr:rowOff>19050</xdr:rowOff>
    </xdr:from>
    <xdr:to>
      <xdr:col>26</xdr:col>
      <xdr:colOff>9524</xdr:colOff>
      <xdr:row>128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100</xdr:row>
      <xdr:rowOff>19050</xdr:rowOff>
    </xdr:from>
    <xdr:to>
      <xdr:col>26</xdr:col>
      <xdr:colOff>9524</xdr:colOff>
      <xdr:row>100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96</xdr:row>
      <xdr:rowOff>19050</xdr:rowOff>
    </xdr:from>
    <xdr:to>
      <xdr:col>24</xdr:col>
      <xdr:colOff>47625</xdr:colOff>
      <xdr:row>96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47625</xdr:colOff>
      <xdr:row>49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419100</xdr:colOff>
      <xdr:row>34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</xdr:row>
      <xdr:rowOff>19050</xdr:rowOff>
    </xdr:from>
    <xdr:to>
      <xdr:col>24</xdr:col>
      <xdr:colOff>419100</xdr:colOff>
      <xdr:row>40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</xdr:row>
      <xdr:rowOff>19050</xdr:rowOff>
    </xdr:from>
    <xdr:to>
      <xdr:col>24</xdr:col>
      <xdr:colOff>419100</xdr:colOff>
      <xdr:row>46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</xdr:row>
      <xdr:rowOff>19050</xdr:rowOff>
    </xdr:from>
    <xdr:to>
      <xdr:col>24</xdr:col>
      <xdr:colOff>409575</xdr:colOff>
      <xdr:row>29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</xdr:row>
      <xdr:rowOff>19050</xdr:rowOff>
    </xdr:from>
    <xdr:to>
      <xdr:col>24</xdr:col>
      <xdr:colOff>47625</xdr:colOff>
      <xdr:row>21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70</xdr:row>
      <xdr:rowOff>19049</xdr:rowOff>
    </xdr:from>
    <xdr:to>
      <xdr:col>24</xdr:col>
      <xdr:colOff>466725</xdr:colOff>
      <xdr:row>70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74</xdr:row>
      <xdr:rowOff>19050</xdr:rowOff>
    </xdr:from>
    <xdr:to>
      <xdr:col>5</xdr:col>
      <xdr:colOff>194</xdr:colOff>
      <xdr:row>74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73</xdr:row>
      <xdr:rowOff>95250</xdr:rowOff>
    </xdr:from>
    <xdr:to>
      <xdr:col>24</xdr:col>
      <xdr:colOff>123825</xdr:colOff>
      <xdr:row>74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73</xdr:row>
      <xdr:rowOff>95250</xdr:rowOff>
    </xdr:from>
    <xdr:to>
      <xdr:col>24</xdr:col>
      <xdr:colOff>466725</xdr:colOff>
      <xdr:row>74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73</xdr:row>
      <xdr:rowOff>95250</xdr:rowOff>
    </xdr:from>
    <xdr:to>
      <xdr:col>25</xdr:col>
      <xdr:colOff>333374</xdr:colOff>
      <xdr:row>74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</xdr:row>
      <xdr:rowOff>95250</xdr:rowOff>
    </xdr:from>
    <xdr:to>
      <xdr:col>23</xdr:col>
      <xdr:colOff>542925</xdr:colOff>
      <xdr:row>74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503</xdr:row>
      <xdr:rowOff>19050</xdr:rowOff>
    </xdr:from>
    <xdr:to>
      <xdr:col>24</xdr:col>
      <xdr:colOff>47625</xdr:colOff>
      <xdr:row>503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504</xdr:row>
      <xdr:rowOff>19050</xdr:rowOff>
    </xdr:from>
    <xdr:to>
      <xdr:col>24</xdr:col>
      <xdr:colOff>47625</xdr:colOff>
      <xdr:row>504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47625</xdr:colOff>
      <xdr:row>68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502</xdr:row>
      <xdr:rowOff>19050</xdr:rowOff>
    </xdr:from>
    <xdr:to>
      <xdr:col>24</xdr:col>
      <xdr:colOff>47625</xdr:colOff>
      <xdr:row>502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682</xdr:row>
      <xdr:rowOff>19050</xdr:rowOff>
    </xdr:from>
    <xdr:to>
      <xdr:col>24</xdr:col>
      <xdr:colOff>47625</xdr:colOff>
      <xdr:row>682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342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226</xdr:row>
      <xdr:rowOff>19050</xdr:rowOff>
    </xdr:from>
    <xdr:to>
      <xdr:col>24</xdr:col>
      <xdr:colOff>47625</xdr:colOff>
      <xdr:row>226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710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468</xdr:row>
      <xdr:rowOff>19050</xdr:rowOff>
    </xdr:from>
    <xdr:to>
      <xdr:col>24</xdr:col>
      <xdr:colOff>47625</xdr:colOff>
      <xdr:row>468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683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684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213</xdr:row>
      <xdr:rowOff>19050</xdr:rowOff>
    </xdr:from>
    <xdr:to>
      <xdr:col>24</xdr:col>
      <xdr:colOff>47625</xdr:colOff>
      <xdr:row>213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707</xdr:row>
      <xdr:rowOff>19050</xdr:rowOff>
    </xdr:from>
    <xdr:to>
      <xdr:col>24</xdr:col>
      <xdr:colOff>47625</xdr:colOff>
      <xdr:row>707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514</xdr:row>
      <xdr:rowOff>19050</xdr:rowOff>
    </xdr:from>
    <xdr:to>
      <xdr:col>24</xdr:col>
      <xdr:colOff>47625</xdr:colOff>
      <xdr:row>514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374</xdr:row>
      <xdr:rowOff>28575</xdr:rowOff>
    </xdr:from>
    <xdr:to>
      <xdr:col>1</xdr:col>
      <xdr:colOff>0</xdr:colOff>
      <xdr:row>374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516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675</xdr:row>
      <xdr:rowOff>19050</xdr:rowOff>
    </xdr:from>
    <xdr:to>
      <xdr:col>24</xdr:col>
      <xdr:colOff>47625</xdr:colOff>
      <xdr:row>675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678</xdr:row>
      <xdr:rowOff>19050</xdr:rowOff>
    </xdr:from>
    <xdr:to>
      <xdr:col>24</xdr:col>
      <xdr:colOff>47625</xdr:colOff>
      <xdr:row>678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56</xdr:row>
      <xdr:rowOff>28575</xdr:rowOff>
    </xdr:from>
    <xdr:to>
      <xdr:col>1</xdr:col>
      <xdr:colOff>0</xdr:colOff>
      <xdr:row>56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241</xdr:row>
      <xdr:rowOff>19050</xdr:rowOff>
    </xdr:from>
    <xdr:to>
      <xdr:col>24</xdr:col>
      <xdr:colOff>47625</xdr:colOff>
      <xdr:row>241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241</xdr:row>
      <xdr:rowOff>19050</xdr:rowOff>
    </xdr:from>
    <xdr:to>
      <xdr:col>26</xdr:col>
      <xdr:colOff>9524</xdr:colOff>
      <xdr:row>241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336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589</xdr:row>
      <xdr:rowOff>19050</xdr:rowOff>
    </xdr:from>
    <xdr:to>
      <xdr:col>24</xdr:col>
      <xdr:colOff>48389</xdr:colOff>
      <xdr:row>589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48389</xdr:colOff>
      <xdr:row>583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581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593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592</xdr:row>
      <xdr:rowOff>19050</xdr:rowOff>
    </xdr:from>
    <xdr:to>
      <xdr:col>24</xdr:col>
      <xdr:colOff>47625</xdr:colOff>
      <xdr:row>592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306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279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337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320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435</xdr:row>
      <xdr:rowOff>19050</xdr:rowOff>
    </xdr:from>
    <xdr:to>
      <xdr:col>24</xdr:col>
      <xdr:colOff>47625</xdr:colOff>
      <xdr:row>435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685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143</xdr:row>
      <xdr:rowOff>19050</xdr:rowOff>
    </xdr:from>
    <xdr:to>
      <xdr:col>10</xdr:col>
      <xdr:colOff>1</xdr:colOff>
      <xdr:row>143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144</xdr:row>
      <xdr:rowOff>19050</xdr:rowOff>
    </xdr:from>
    <xdr:to>
      <xdr:col>10</xdr:col>
      <xdr:colOff>1</xdr:colOff>
      <xdr:row>144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145</xdr:row>
      <xdr:rowOff>19050</xdr:rowOff>
    </xdr:from>
    <xdr:to>
      <xdr:col>10</xdr:col>
      <xdr:colOff>1</xdr:colOff>
      <xdr:row>145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700</xdr:row>
      <xdr:rowOff>19050</xdr:rowOff>
    </xdr:from>
    <xdr:to>
      <xdr:col>10</xdr:col>
      <xdr:colOff>1</xdr:colOff>
      <xdr:row>700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3393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701</xdr:row>
      <xdr:rowOff>19050</xdr:rowOff>
    </xdr:from>
    <xdr:to>
      <xdr:col>10</xdr:col>
      <xdr:colOff>1</xdr:colOff>
      <xdr:row>701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702</xdr:row>
      <xdr:rowOff>19050</xdr:rowOff>
    </xdr:from>
    <xdr:to>
      <xdr:col>10</xdr:col>
      <xdr:colOff>1</xdr:colOff>
      <xdr:row>702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696</xdr:row>
      <xdr:rowOff>19050</xdr:rowOff>
    </xdr:from>
    <xdr:to>
      <xdr:col>10</xdr:col>
      <xdr:colOff>1</xdr:colOff>
      <xdr:row>696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4211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679</xdr:row>
      <xdr:rowOff>19050</xdr:rowOff>
    </xdr:from>
    <xdr:to>
      <xdr:col>24</xdr:col>
      <xdr:colOff>47625</xdr:colOff>
      <xdr:row>679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575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37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94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687</xdr:row>
      <xdr:rowOff>19050</xdr:rowOff>
    </xdr:from>
    <xdr:to>
      <xdr:col>10</xdr:col>
      <xdr:colOff>1</xdr:colOff>
      <xdr:row>687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688</xdr:row>
      <xdr:rowOff>19050</xdr:rowOff>
    </xdr:from>
    <xdr:to>
      <xdr:col>10</xdr:col>
      <xdr:colOff>1</xdr:colOff>
      <xdr:row>688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689</xdr:row>
      <xdr:rowOff>19050</xdr:rowOff>
    </xdr:from>
    <xdr:to>
      <xdr:col>10</xdr:col>
      <xdr:colOff>1</xdr:colOff>
      <xdr:row>689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741</xdr:row>
      <xdr:rowOff>19050</xdr:rowOff>
    </xdr:from>
    <xdr:to>
      <xdr:col>10</xdr:col>
      <xdr:colOff>1</xdr:colOff>
      <xdr:row>741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303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70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70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70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70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72</xdr:row>
      <xdr:rowOff>19050</xdr:rowOff>
    </xdr:from>
    <xdr:to>
      <xdr:col>25</xdr:col>
      <xdr:colOff>323849</xdr:colOff>
      <xdr:row>72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72</xdr:row>
      <xdr:rowOff>19050</xdr:rowOff>
    </xdr:from>
    <xdr:to>
      <xdr:col>24</xdr:col>
      <xdr:colOff>114300</xdr:colOff>
      <xdr:row>72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72</xdr:row>
      <xdr:rowOff>19050</xdr:rowOff>
    </xdr:from>
    <xdr:to>
      <xdr:col>23</xdr:col>
      <xdr:colOff>552450</xdr:colOff>
      <xdr:row>72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72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221</xdr:row>
      <xdr:rowOff>19050</xdr:rowOff>
    </xdr:from>
    <xdr:to>
      <xdr:col>10</xdr:col>
      <xdr:colOff>1</xdr:colOff>
      <xdr:row>221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219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286</xdr:row>
      <xdr:rowOff>19050</xdr:rowOff>
    </xdr:from>
    <xdr:to>
      <xdr:col>24</xdr:col>
      <xdr:colOff>47625</xdr:colOff>
      <xdr:row>286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138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695</xdr:row>
      <xdr:rowOff>19050</xdr:rowOff>
    </xdr:from>
    <xdr:to>
      <xdr:col>10</xdr:col>
      <xdr:colOff>1</xdr:colOff>
      <xdr:row>695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591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63</xdr:row>
      <xdr:rowOff>19050</xdr:rowOff>
    </xdr:from>
    <xdr:to>
      <xdr:col>24</xdr:col>
      <xdr:colOff>47624</xdr:colOff>
      <xdr:row>63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</xdr:row>
      <xdr:rowOff>19050</xdr:rowOff>
    </xdr:from>
    <xdr:to>
      <xdr:col>24</xdr:col>
      <xdr:colOff>47624</xdr:colOff>
      <xdr:row>69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220</xdr:row>
      <xdr:rowOff>19050</xdr:rowOff>
    </xdr:from>
    <xdr:to>
      <xdr:col>24</xdr:col>
      <xdr:colOff>47625</xdr:colOff>
      <xdr:row>220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229</xdr:row>
      <xdr:rowOff>19050</xdr:rowOff>
    </xdr:from>
    <xdr:to>
      <xdr:col>24</xdr:col>
      <xdr:colOff>47624</xdr:colOff>
      <xdr:row>229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303</xdr:row>
      <xdr:rowOff>19050</xdr:rowOff>
    </xdr:from>
    <xdr:to>
      <xdr:col>25</xdr:col>
      <xdr:colOff>83819</xdr:colOff>
      <xdr:row>303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305</xdr:row>
      <xdr:rowOff>19050</xdr:rowOff>
    </xdr:from>
    <xdr:to>
      <xdr:col>25</xdr:col>
      <xdr:colOff>83819</xdr:colOff>
      <xdr:row>305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306</xdr:row>
      <xdr:rowOff>19050</xdr:rowOff>
    </xdr:from>
    <xdr:to>
      <xdr:col>25</xdr:col>
      <xdr:colOff>83819</xdr:colOff>
      <xdr:row>306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307</xdr:row>
      <xdr:rowOff>19050</xdr:rowOff>
    </xdr:from>
    <xdr:to>
      <xdr:col>25</xdr:col>
      <xdr:colOff>83819</xdr:colOff>
      <xdr:row>307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308</xdr:row>
      <xdr:rowOff>19050</xdr:rowOff>
    </xdr:from>
    <xdr:to>
      <xdr:col>25</xdr:col>
      <xdr:colOff>83819</xdr:colOff>
      <xdr:row>308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320</xdr:row>
      <xdr:rowOff>19050</xdr:rowOff>
    </xdr:from>
    <xdr:to>
      <xdr:col>25</xdr:col>
      <xdr:colOff>83819</xdr:colOff>
      <xdr:row>320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331</xdr:row>
      <xdr:rowOff>19050</xdr:rowOff>
    </xdr:from>
    <xdr:to>
      <xdr:col>25</xdr:col>
      <xdr:colOff>83819</xdr:colOff>
      <xdr:row>331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335</xdr:row>
      <xdr:rowOff>19050</xdr:rowOff>
    </xdr:from>
    <xdr:to>
      <xdr:col>25</xdr:col>
      <xdr:colOff>83819</xdr:colOff>
      <xdr:row>335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336</xdr:row>
      <xdr:rowOff>19050</xdr:rowOff>
    </xdr:from>
    <xdr:to>
      <xdr:col>25</xdr:col>
      <xdr:colOff>83819</xdr:colOff>
      <xdr:row>336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337</xdr:row>
      <xdr:rowOff>19050</xdr:rowOff>
    </xdr:from>
    <xdr:to>
      <xdr:col>25</xdr:col>
      <xdr:colOff>83819</xdr:colOff>
      <xdr:row>337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731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732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273</xdr:row>
      <xdr:rowOff>19050</xdr:rowOff>
    </xdr:from>
    <xdr:to>
      <xdr:col>24</xdr:col>
      <xdr:colOff>47624</xdr:colOff>
      <xdr:row>273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280</xdr:row>
      <xdr:rowOff>19050</xdr:rowOff>
    </xdr:from>
    <xdr:to>
      <xdr:col>24</xdr:col>
      <xdr:colOff>47625</xdr:colOff>
      <xdr:row>280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279</xdr:row>
      <xdr:rowOff>19050</xdr:rowOff>
    </xdr:from>
    <xdr:to>
      <xdr:col>26</xdr:col>
      <xdr:colOff>9524</xdr:colOff>
      <xdr:row>279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286</xdr:row>
      <xdr:rowOff>19050</xdr:rowOff>
    </xdr:from>
    <xdr:to>
      <xdr:col>26</xdr:col>
      <xdr:colOff>9524</xdr:colOff>
      <xdr:row>286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438</xdr:row>
      <xdr:rowOff>19050</xdr:rowOff>
    </xdr:from>
    <xdr:to>
      <xdr:col>24</xdr:col>
      <xdr:colOff>47625</xdr:colOff>
      <xdr:row>438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439</xdr:row>
      <xdr:rowOff>19050</xdr:rowOff>
    </xdr:from>
    <xdr:to>
      <xdr:col>24</xdr:col>
      <xdr:colOff>47625</xdr:colOff>
      <xdr:row>439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421</xdr:row>
      <xdr:rowOff>19050</xdr:rowOff>
    </xdr:from>
    <xdr:to>
      <xdr:col>24</xdr:col>
      <xdr:colOff>47625</xdr:colOff>
      <xdr:row>421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417</xdr:row>
      <xdr:rowOff>19050</xdr:rowOff>
    </xdr:from>
    <xdr:to>
      <xdr:col>24</xdr:col>
      <xdr:colOff>47625</xdr:colOff>
      <xdr:row>417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378</xdr:row>
      <xdr:rowOff>19050</xdr:rowOff>
    </xdr:from>
    <xdr:to>
      <xdr:col>26</xdr:col>
      <xdr:colOff>9524</xdr:colOff>
      <xdr:row>378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53</xdr:row>
      <xdr:rowOff>19050</xdr:rowOff>
    </xdr:from>
    <xdr:to>
      <xdr:col>26</xdr:col>
      <xdr:colOff>9524</xdr:colOff>
      <xdr:row>53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52</xdr:row>
      <xdr:rowOff>19050</xdr:rowOff>
    </xdr:from>
    <xdr:to>
      <xdr:col>26</xdr:col>
      <xdr:colOff>9524</xdr:colOff>
      <xdr:row>52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19</xdr:row>
      <xdr:rowOff>19050</xdr:rowOff>
    </xdr:from>
    <xdr:to>
      <xdr:col>9</xdr:col>
      <xdr:colOff>12838</xdr:colOff>
      <xdr:row>19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149</xdr:row>
      <xdr:rowOff>19050</xdr:rowOff>
    </xdr:from>
    <xdr:to>
      <xdr:col>26</xdr:col>
      <xdr:colOff>447675</xdr:colOff>
      <xdr:row>149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153</xdr:row>
      <xdr:rowOff>19050</xdr:rowOff>
    </xdr:from>
    <xdr:to>
      <xdr:col>26</xdr:col>
      <xdr:colOff>9524</xdr:colOff>
      <xdr:row>153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153</xdr:row>
      <xdr:rowOff>19050</xdr:rowOff>
    </xdr:from>
    <xdr:to>
      <xdr:col>26</xdr:col>
      <xdr:colOff>447675</xdr:colOff>
      <xdr:row>153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246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472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473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230</xdr:row>
      <xdr:rowOff>28575</xdr:rowOff>
    </xdr:from>
    <xdr:to>
      <xdr:col>1</xdr:col>
      <xdr:colOff>0</xdr:colOff>
      <xdr:row>230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</xdr:row>
      <xdr:rowOff>19050</xdr:rowOff>
    </xdr:from>
    <xdr:to>
      <xdr:col>10</xdr:col>
      <xdr:colOff>930</xdr:colOff>
      <xdr:row>68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418</xdr:row>
      <xdr:rowOff>19050</xdr:rowOff>
    </xdr:from>
    <xdr:to>
      <xdr:col>24</xdr:col>
      <xdr:colOff>47625</xdr:colOff>
      <xdr:row>418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711</xdr:row>
      <xdr:rowOff>19050</xdr:rowOff>
    </xdr:from>
    <xdr:to>
      <xdr:col>10</xdr:col>
      <xdr:colOff>1</xdr:colOff>
      <xdr:row>711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712</xdr:row>
      <xdr:rowOff>19050</xdr:rowOff>
    </xdr:from>
    <xdr:to>
      <xdr:col>10</xdr:col>
      <xdr:colOff>1</xdr:colOff>
      <xdr:row>712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713</xdr:row>
      <xdr:rowOff>19050</xdr:rowOff>
    </xdr:from>
    <xdr:to>
      <xdr:col>10</xdr:col>
      <xdr:colOff>1</xdr:colOff>
      <xdr:row>713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714</xdr:row>
      <xdr:rowOff>19050</xdr:rowOff>
    </xdr:from>
    <xdr:to>
      <xdr:col>10</xdr:col>
      <xdr:colOff>1</xdr:colOff>
      <xdr:row>714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715</xdr:row>
      <xdr:rowOff>19050</xdr:rowOff>
    </xdr:from>
    <xdr:to>
      <xdr:col>10</xdr:col>
      <xdr:colOff>1</xdr:colOff>
      <xdr:row>715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716</xdr:row>
      <xdr:rowOff>19050</xdr:rowOff>
    </xdr:from>
    <xdr:to>
      <xdr:col>10</xdr:col>
      <xdr:colOff>1</xdr:colOff>
      <xdr:row>716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1260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135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311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311</xdr:row>
      <xdr:rowOff>19050</xdr:rowOff>
    </xdr:from>
    <xdr:to>
      <xdr:col>25</xdr:col>
      <xdr:colOff>83819</xdr:colOff>
      <xdr:row>311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310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310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312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312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338</xdr:row>
      <xdr:rowOff>19050</xdr:rowOff>
    </xdr:from>
    <xdr:to>
      <xdr:col>25</xdr:col>
      <xdr:colOff>74294</xdr:colOff>
      <xdr:row>338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424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301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614</xdr:row>
      <xdr:rowOff>19050</xdr:rowOff>
    </xdr:from>
    <xdr:to>
      <xdr:col>24</xdr:col>
      <xdr:colOff>75821</xdr:colOff>
      <xdr:row>614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618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629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634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635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648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642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649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647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527</xdr:row>
      <xdr:rowOff>19050</xdr:rowOff>
    </xdr:from>
    <xdr:to>
      <xdr:col>24</xdr:col>
      <xdr:colOff>75821</xdr:colOff>
      <xdr:row>527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571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519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520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521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633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195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196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199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199</xdr:row>
      <xdr:rowOff>19050</xdr:rowOff>
    </xdr:from>
    <xdr:to>
      <xdr:col>26</xdr:col>
      <xdr:colOff>9524</xdr:colOff>
      <xdr:row>199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197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198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573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446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436</xdr:row>
      <xdr:rowOff>19050</xdr:rowOff>
    </xdr:from>
    <xdr:to>
      <xdr:col>24</xdr:col>
      <xdr:colOff>47625</xdr:colOff>
      <xdr:row>436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590</xdr:row>
      <xdr:rowOff>19050</xdr:rowOff>
    </xdr:from>
    <xdr:to>
      <xdr:col>24</xdr:col>
      <xdr:colOff>47625</xdr:colOff>
      <xdr:row>590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587</xdr:row>
      <xdr:rowOff>19050</xdr:rowOff>
    </xdr:from>
    <xdr:to>
      <xdr:col>24</xdr:col>
      <xdr:colOff>47625</xdr:colOff>
      <xdr:row>587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572</xdr:row>
      <xdr:rowOff>19050</xdr:rowOff>
    </xdr:from>
    <xdr:to>
      <xdr:col>24</xdr:col>
      <xdr:colOff>47625</xdr:colOff>
      <xdr:row>572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570</xdr:row>
      <xdr:rowOff>19050</xdr:rowOff>
    </xdr:from>
    <xdr:to>
      <xdr:col>24</xdr:col>
      <xdr:colOff>47625</xdr:colOff>
      <xdr:row>570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323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323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180</xdr:row>
      <xdr:rowOff>19050</xdr:rowOff>
    </xdr:from>
    <xdr:to>
      <xdr:col>24</xdr:col>
      <xdr:colOff>47625</xdr:colOff>
      <xdr:row>180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184</xdr:row>
      <xdr:rowOff>19050</xdr:rowOff>
    </xdr:from>
    <xdr:to>
      <xdr:col>24</xdr:col>
      <xdr:colOff>47625</xdr:colOff>
      <xdr:row>184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518</xdr:row>
      <xdr:rowOff>19050</xdr:rowOff>
    </xdr:from>
    <xdr:to>
      <xdr:col>11</xdr:col>
      <xdr:colOff>9525</xdr:colOff>
      <xdr:row>518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656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519</xdr:row>
      <xdr:rowOff>19050</xdr:rowOff>
    </xdr:from>
    <xdr:to>
      <xdr:col>11</xdr:col>
      <xdr:colOff>9525</xdr:colOff>
      <xdr:row>519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809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520</xdr:row>
      <xdr:rowOff>19050</xdr:rowOff>
    </xdr:from>
    <xdr:to>
      <xdr:col>11</xdr:col>
      <xdr:colOff>9525</xdr:colOff>
      <xdr:row>520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961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521</xdr:row>
      <xdr:rowOff>19050</xdr:rowOff>
    </xdr:from>
    <xdr:to>
      <xdr:col>11</xdr:col>
      <xdr:colOff>9525</xdr:colOff>
      <xdr:row>521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114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523</xdr:row>
      <xdr:rowOff>19050</xdr:rowOff>
    </xdr:from>
    <xdr:to>
      <xdr:col>11</xdr:col>
      <xdr:colOff>9525</xdr:colOff>
      <xdr:row>523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41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524</xdr:row>
      <xdr:rowOff>19050</xdr:rowOff>
    </xdr:from>
    <xdr:to>
      <xdr:col>11</xdr:col>
      <xdr:colOff>9525</xdr:colOff>
      <xdr:row>524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57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283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283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625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626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207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663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664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568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569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574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76200</xdr:rowOff>
    </xdr:from>
    <xdr:to>
      <xdr:col>14</xdr:col>
      <xdr:colOff>172693</xdr:colOff>
      <xdr:row>495</xdr:row>
      <xdr:rowOff>9525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585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586</xdr:row>
      <xdr:rowOff>19050</xdr:rowOff>
    </xdr:from>
    <xdr:to>
      <xdr:col>24</xdr:col>
      <xdr:colOff>48389</xdr:colOff>
      <xdr:row>586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369</xdr:row>
      <xdr:rowOff>19050</xdr:rowOff>
    </xdr:from>
    <xdr:to>
      <xdr:col>24</xdr:col>
      <xdr:colOff>47625</xdr:colOff>
      <xdr:row>369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391</xdr:row>
      <xdr:rowOff>19050</xdr:rowOff>
    </xdr:from>
    <xdr:to>
      <xdr:col>24</xdr:col>
      <xdr:colOff>47625</xdr:colOff>
      <xdr:row>391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394</xdr:row>
      <xdr:rowOff>19050</xdr:rowOff>
    </xdr:from>
    <xdr:to>
      <xdr:col>24</xdr:col>
      <xdr:colOff>47625</xdr:colOff>
      <xdr:row>394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419</xdr:row>
      <xdr:rowOff>16566</xdr:rowOff>
    </xdr:from>
    <xdr:to>
      <xdr:col>24</xdr:col>
      <xdr:colOff>46383</xdr:colOff>
      <xdr:row>419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19050</xdr:rowOff>
    </xdr:from>
    <xdr:to>
      <xdr:col>10</xdr:col>
      <xdr:colOff>2173</xdr:colOff>
      <xdr:row>91</xdr:row>
      <xdr:rowOff>142875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220825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3707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5358" y="146755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139</xdr:row>
      <xdr:rowOff>19050</xdr:rowOff>
    </xdr:from>
    <xdr:to>
      <xdr:col>10</xdr:col>
      <xdr:colOff>1</xdr:colOff>
      <xdr:row>139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9264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140</xdr:row>
      <xdr:rowOff>19050</xdr:rowOff>
    </xdr:from>
    <xdr:to>
      <xdr:col>10</xdr:col>
      <xdr:colOff>1</xdr:colOff>
      <xdr:row>140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141</xdr:row>
      <xdr:rowOff>19050</xdr:rowOff>
    </xdr:from>
    <xdr:to>
      <xdr:col>10</xdr:col>
      <xdr:colOff>1</xdr:colOff>
      <xdr:row>141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142</xdr:row>
      <xdr:rowOff>19050</xdr:rowOff>
    </xdr:from>
    <xdr:to>
      <xdr:col>10</xdr:col>
      <xdr:colOff>1</xdr:colOff>
      <xdr:row>142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385</xdr:row>
      <xdr:rowOff>16566</xdr:rowOff>
    </xdr:from>
    <xdr:to>
      <xdr:col>24</xdr:col>
      <xdr:colOff>46383</xdr:colOff>
      <xdr:row>385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298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298</xdr:row>
      <xdr:rowOff>16566</xdr:rowOff>
    </xdr:from>
    <xdr:to>
      <xdr:col>25</xdr:col>
      <xdr:colOff>82577</xdr:colOff>
      <xdr:row>298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365</xdr:row>
      <xdr:rowOff>19050</xdr:rowOff>
    </xdr:from>
    <xdr:to>
      <xdr:col>24</xdr:col>
      <xdr:colOff>47625</xdr:colOff>
      <xdr:row>365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363</xdr:row>
      <xdr:rowOff>19050</xdr:rowOff>
    </xdr:from>
    <xdr:to>
      <xdr:col>24</xdr:col>
      <xdr:colOff>47625</xdr:colOff>
      <xdr:row>363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771</xdr:row>
      <xdr:rowOff>19050</xdr:rowOff>
    </xdr:from>
    <xdr:to>
      <xdr:col>13</xdr:col>
      <xdr:colOff>1</xdr:colOff>
      <xdr:row>771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772</xdr:row>
      <xdr:rowOff>19050</xdr:rowOff>
    </xdr:from>
    <xdr:to>
      <xdr:col>13</xdr:col>
      <xdr:colOff>1</xdr:colOff>
      <xdr:row>772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773</xdr:row>
      <xdr:rowOff>19050</xdr:rowOff>
    </xdr:from>
    <xdr:to>
      <xdr:col>13</xdr:col>
      <xdr:colOff>1</xdr:colOff>
      <xdr:row>773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402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491</xdr:row>
      <xdr:rowOff>19050</xdr:rowOff>
    </xdr:from>
    <xdr:to>
      <xdr:col>24</xdr:col>
      <xdr:colOff>47625</xdr:colOff>
      <xdr:row>491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98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654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567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580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469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447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300</xdr:row>
      <xdr:rowOff>19050</xdr:rowOff>
    </xdr:from>
    <xdr:to>
      <xdr:col>24</xdr:col>
      <xdr:colOff>47624</xdr:colOff>
      <xdr:row>300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301</xdr:row>
      <xdr:rowOff>19050</xdr:rowOff>
    </xdr:from>
    <xdr:to>
      <xdr:col>24</xdr:col>
      <xdr:colOff>47624</xdr:colOff>
      <xdr:row>301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47624</xdr:colOff>
      <xdr:row>331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304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627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628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420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251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442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441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373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665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565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566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423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564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242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244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702</xdr:row>
      <xdr:rowOff>19050</xdr:rowOff>
    </xdr:from>
    <xdr:to>
      <xdr:col>24</xdr:col>
      <xdr:colOff>49180</xdr:colOff>
      <xdr:row>702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701</xdr:row>
      <xdr:rowOff>19050</xdr:rowOff>
    </xdr:from>
    <xdr:to>
      <xdr:col>24</xdr:col>
      <xdr:colOff>49180</xdr:colOff>
      <xdr:row>701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700</xdr:row>
      <xdr:rowOff>19050</xdr:rowOff>
    </xdr:from>
    <xdr:to>
      <xdr:col>24</xdr:col>
      <xdr:colOff>49180</xdr:colOff>
      <xdr:row>700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697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699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6689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735</xdr:row>
      <xdr:rowOff>19050</xdr:rowOff>
    </xdr:from>
    <xdr:to>
      <xdr:col>24</xdr:col>
      <xdr:colOff>47625</xdr:colOff>
      <xdr:row>735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741</xdr:row>
      <xdr:rowOff>19050</xdr:rowOff>
    </xdr:from>
    <xdr:to>
      <xdr:col>24</xdr:col>
      <xdr:colOff>49180</xdr:colOff>
      <xdr:row>741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744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734</xdr:row>
      <xdr:rowOff>19050</xdr:rowOff>
    </xdr:from>
    <xdr:to>
      <xdr:col>24</xdr:col>
      <xdr:colOff>49180</xdr:colOff>
      <xdr:row>734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724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748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749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750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752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751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655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650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651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652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652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563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562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694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694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3906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730</xdr:row>
      <xdr:rowOff>19050</xdr:rowOff>
    </xdr:from>
    <xdr:to>
      <xdr:col>18</xdr:col>
      <xdr:colOff>9526</xdr:colOff>
      <xdr:row>730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445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578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309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309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133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515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615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277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227</xdr:row>
      <xdr:rowOff>19050</xdr:rowOff>
    </xdr:from>
    <xdr:to>
      <xdr:col>24</xdr:col>
      <xdr:colOff>47624</xdr:colOff>
      <xdr:row>227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228</xdr:row>
      <xdr:rowOff>19050</xdr:rowOff>
    </xdr:from>
    <xdr:to>
      <xdr:col>24</xdr:col>
      <xdr:colOff>47624</xdr:colOff>
      <xdr:row>228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129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129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130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130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379</xdr:row>
      <xdr:rowOff>19050</xdr:rowOff>
    </xdr:from>
    <xdr:to>
      <xdr:col>24</xdr:col>
      <xdr:colOff>47625</xdr:colOff>
      <xdr:row>379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406</xdr:row>
      <xdr:rowOff>19050</xdr:rowOff>
    </xdr:from>
    <xdr:to>
      <xdr:col>24</xdr:col>
      <xdr:colOff>47625</xdr:colOff>
      <xdr:row>406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307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308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314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314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208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517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137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274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341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341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382</xdr:row>
      <xdr:rowOff>19050</xdr:rowOff>
    </xdr:from>
    <xdr:to>
      <xdr:col>24</xdr:col>
      <xdr:colOff>47625</xdr:colOff>
      <xdr:row>382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386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374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375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388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412</xdr:row>
      <xdr:rowOff>19050</xdr:rowOff>
    </xdr:from>
    <xdr:to>
      <xdr:col>24</xdr:col>
      <xdr:colOff>47625</xdr:colOff>
      <xdr:row>412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413</xdr:row>
      <xdr:rowOff>19050</xdr:rowOff>
    </xdr:from>
    <xdr:to>
      <xdr:col>24</xdr:col>
      <xdr:colOff>47625</xdr:colOff>
      <xdr:row>413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383</xdr:row>
      <xdr:rowOff>19050</xdr:rowOff>
    </xdr:from>
    <xdr:to>
      <xdr:col>24</xdr:col>
      <xdr:colOff>47625</xdr:colOff>
      <xdr:row>383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711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712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</xdr:row>
      <xdr:rowOff>19050</xdr:rowOff>
    </xdr:from>
    <xdr:to>
      <xdr:col>24</xdr:col>
      <xdr:colOff>47624</xdr:colOff>
      <xdr:row>51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202</xdr:row>
      <xdr:rowOff>19050</xdr:rowOff>
    </xdr:from>
    <xdr:to>
      <xdr:col>24</xdr:col>
      <xdr:colOff>47625</xdr:colOff>
      <xdr:row>202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506</xdr:row>
      <xdr:rowOff>19050</xdr:rowOff>
    </xdr:from>
    <xdr:to>
      <xdr:col>24</xdr:col>
      <xdr:colOff>47624</xdr:colOff>
      <xdr:row>506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505</xdr:row>
      <xdr:rowOff>19050</xdr:rowOff>
    </xdr:from>
    <xdr:to>
      <xdr:col>24</xdr:col>
      <xdr:colOff>47624</xdr:colOff>
      <xdr:row>505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431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256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255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695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696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632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404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403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653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201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299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394</xdr:row>
      <xdr:rowOff>28575</xdr:rowOff>
    </xdr:from>
    <xdr:to>
      <xdr:col>1</xdr:col>
      <xdr:colOff>0</xdr:colOff>
      <xdr:row>394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443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132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284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364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302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302</xdr:row>
      <xdr:rowOff>19050</xdr:rowOff>
    </xdr:from>
    <xdr:to>
      <xdr:col>25</xdr:col>
      <xdr:colOff>83819</xdr:colOff>
      <xdr:row>302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662</xdr:row>
      <xdr:rowOff>19050</xdr:rowOff>
    </xdr:from>
    <xdr:ext cx="847346" cy="121920"/>
    <xdr:pic>
      <xdr:nvPicPr>
        <xdr:cNvPr id="839" name="Imagen 83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76200</xdr:colOff>
      <xdr:row>297</xdr:row>
      <xdr:rowOff>19050</xdr:rowOff>
    </xdr:from>
    <xdr:ext cx="502919" cy="121920"/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129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19149" cy="123825"/>
    <xdr:pic>
      <xdr:nvPicPr>
        <xdr:cNvPr id="9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1290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275</xdr:row>
      <xdr:rowOff>19050</xdr:rowOff>
    </xdr:from>
    <xdr:ext cx="819149" cy="123825"/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8090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321</xdr:row>
      <xdr:rowOff>19050</xdr:rowOff>
    </xdr:from>
    <xdr:ext cx="828675" cy="123825"/>
    <xdr:pic>
      <xdr:nvPicPr>
        <xdr:cNvPr id="89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418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321</xdr:row>
      <xdr:rowOff>19050</xdr:rowOff>
    </xdr:from>
    <xdr:ext cx="502919" cy="121920"/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186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9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136</xdr:row>
      <xdr:rowOff>19050</xdr:rowOff>
    </xdr:from>
    <xdr:ext cx="819150" cy="123825"/>
    <xdr:pic>
      <xdr:nvPicPr>
        <xdr:cNvPr id="93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698</xdr:row>
      <xdr:rowOff>19050</xdr:rowOff>
    </xdr:from>
    <xdr:ext cx="847346" cy="121920"/>
    <xdr:pic>
      <xdr:nvPicPr>
        <xdr:cNvPr id="974" name="Imagen 9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945165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698</xdr:row>
      <xdr:rowOff>19050</xdr:rowOff>
    </xdr:from>
    <xdr:to>
      <xdr:col>24</xdr:col>
      <xdr:colOff>47625</xdr:colOff>
      <xdr:row>698</xdr:row>
      <xdr:rowOff>142875</xdr:rowOff>
    </xdr:to>
    <xdr:pic>
      <xdr:nvPicPr>
        <xdr:cNvPr id="975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516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257</xdr:row>
      <xdr:rowOff>19050</xdr:rowOff>
    </xdr:from>
    <xdr:ext cx="819149" cy="123825"/>
    <xdr:pic>
      <xdr:nvPicPr>
        <xdr:cNvPr id="9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4615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414</xdr:row>
      <xdr:rowOff>19050</xdr:rowOff>
    </xdr:from>
    <xdr:ext cx="819150" cy="123825"/>
    <xdr:pic>
      <xdr:nvPicPr>
        <xdr:cNvPr id="10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600</xdr:row>
      <xdr:rowOff>19050</xdr:rowOff>
    </xdr:from>
    <xdr:ext cx="847346" cy="121920"/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6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621</xdr:row>
      <xdr:rowOff>19050</xdr:rowOff>
    </xdr:from>
    <xdr:ext cx="847346" cy="121920"/>
    <xdr:pic>
      <xdr:nvPicPr>
        <xdr:cNvPr id="883" name="Imagen 88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602</xdr:row>
      <xdr:rowOff>19050</xdr:rowOff>
    </xdr:from>
    <xdr:ext cx="847346" cy="121920"/>
    <xdr:pic>
      <xdr:nvPicPr>
        <xdr:cNvPr id="954" name="Imagen 95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603</xdr:row>
      <xdr:rowOff>19050</xdr:rowOff>
    </xdr:from>
    <xdr:ext cx="847346" cy="121920"/>
    <xdr:pic>
      <xdr:nvPicPr>
        <xdr:cNvPr id="990" name="Imagen 98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604</xdr:row>
      <xdr:rowOff>19050</xdr:rowOff>
    </xdr:from>
    <xdr:ext cx="847346" cy="121920"/>
    <xdr:pic>
      <xdr:nvPicPr>
        <xdr:cNvPr id="1005" name="Imagen 10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144555</xdr:rowOff>
    </xdr:to>
    <xdr:pic>
      <xdr:nvPicPr>
        <xdr:cNvPr id="106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16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10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334</xdr:row>
      <xdr:rowOff>19050</xdr:rowOff>
    </xdr:from>
    <xdr:to>
      <xdr:col>25</xdr:col>
      <xdr:colOff>83819</xdr:colOff>
      <xdr:row>334</xdr:row>
      <xdr:rowOff>140970</xdr:rowOff>
    </xdr:to>
    <xdr:pic>
      <xdr:nvPicPr>
        <xdr:cNvPr id="1077" name="Imagen 107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0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326</xdr:row>
      <xdr:rowOff>19050</xdr:rowOff>
    </xdr:from>
    <xdr:to>
      <xdr:col>25</xdr:col>
      <xdr:colOff>83819</xdr:colOff>
      <xdr:row>326</xdr:row>
      <xdr:rowOff>140970</xdr:rowOff>
    </xdr:to>
    <xdr:pic>
      <xdr:nvPicPr>
        <xdr:cNvPr id="1080" name="Imagen 107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891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409</xdr:row>
      <xdr:rowOff>19050</xdr:rowOff>
    </xdr:from>
    <xdr:to>
      <xdr:col>24</xdr:col>
      <xdr:colOff>47625</xdr:colOff>
      <xdr:row>409</xdr:row>
      <xdr:rowOff>142875</xdr:rowOff>
    </xdr:to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410</xdr:row>
      <xdr:rowOff>19050</xdr:rowOff>
    </xdr:from>
    <xdr:to>
      <xdr:col>24</xdr:col>
      <xdr:colOff>47625</xdr:colOff>
      <xdr:row>410</xdr:row>
      <xdr:rowOff>142875</xdr:rowOff>
    </xdr:to>
    <xdr:pic>
      <xdr:nvPicPr>
        <xdr:cNvPr id="10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252</xdr:row>
      <xdr:rowOff>19050</xdr:rowOff>
    </xdr:from>
    <xdr:ext cx="819149" cy="123825"/>
    <xdr:pic>
      <xdr:nvPicPr>
        <xdr:cNvPr id="10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8242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19150" cy="123825"/>
    <xdr:pic>
      <xdr:nvPicPr>
        <xdr:cNvPr id="11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636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616</xdr:row>
      <xdr:rowOff>19050</xdr:rowOff>
    </xdr:from>
    <xdr:ext cx="847346" cy="121920"/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646</xdr:row>
      <xdr:rowOff>19050</xdr:rowOff>
    </xdr:from>
    <xdr:ext cx="847346" cy="121920"/>
    <xdr:pic>
      <xdr:nvPicPr>
        <xdr:cNvPr id="937" name="Imagen 93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5191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740</xdr:row>
      <xdr:rowOff>19050</xdr:rowOff>
    </xdr:from>
    <xdr:to>
      <xdr:col>24</xdr:col>
      <xdr:colOff>47624</xdr:colOff>
      <xdr:row>740</xdr:row>
      <xdr:rowOff>142875</xdr:rowOff>
    </xdr:to>
    <xdr:pic>
      <xdr:nvPicPr>
        <xdr:cNvPr id="11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9564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381</xdr:row>
      <xdr:rowOff>16566</xdr:rowOff>
    </xdr:from>
    <xdr:ext cx="819150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2058" y="530708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495</xdr:row>
      <xdr:rowOff>19050</xdr:rowOff>
    </xdr:from>
    <xdr:to>
      <xdr:col>24</xdr:col>
      <xdr:colOff>47624</xdr:colOff>
      <xdr:row>495</xdr:row>
      <xdr:rowOff>142875</xdr:rowOff>
    </xdr:to>
    <xdr:pic>
      <xdr:nvPicPr>
        <xdr:cNvPr id="11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6379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437</xdr:row>
      <xdr:rowOff>19050</xdr:rowOff>
    </xdr:from>
    <xdr:to>
      <xdr:col>24</xdr:col>
      <xdr:colOff>47625</xdr:colOff>
      <xdr:row>437</xdr:row>
      <xdr:rowOff>144555</xdr:rowOff>
    </xdr:to>
    <xdr:pic>
      <xdr:nvPicPr>
        <xdr:cNvPr id="121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144555</xdr:rowOff>
    </xdr:to>
    <xdr:pic>
      <xdr:nvPicPr>
        <xdr:cNvPr id="123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631</xdr:row>
      <xdr:rowOff>19050</xdr:rowOff>
    </xdr:from>
    <xdr:ext cx="847346" cy="121920"/>
    <xdr:pic>
      <xdr:nvPicPr>
        <xdr:cNvPr id="1241" name="Imagen 124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734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630</xdr:row>
      <xdr:rowOff>19050</xdr:rowOff>
    </xdr:from>
    <xdr:ext cx="847346" cy="121920"/>
    <xdr:pic>
      <xdr:nvPicPr>
        <xdr:cNvPr id="1244" name="Imagen 12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582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619</xdr:row>
      <xdr:rowOff>19050</xdr:rowOff>
    </xdr:from>
    <xdr:ext cx="847346" cy="121920"/>
    <xdr:pic>
      <xdr:nvPicPr>
        <xdr:cNvPr id="1247" name="Imagen 124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60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620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605</xdr:row>
      <xdr:rowOff>19050</xdr:rowOff>
    </xdr:from>
    <xdr:ext cx="847346" cy="121920"/>
    <xdr:pic>
      <xdr:nvPicPr>
        <xdr:cNvPr id="1264" name="Imagen 12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07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608</xdr:row>
      <xdr:rowOff>19050</xdr:rowOff>
    </xdr:from>
    <xdr:ext cx="847346" cy="121920"/>
    <xdr:pic>
      <xdr:nvPicPr>
        <xdr:cNvPr id="1268" name="Imagen 126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613</xdr:row>
      <xdr:rowOff>19050</xdr:rowOff>
    </xdr:from>
    <xdr:ext cx="847346" cy="121920"/>
    <xdr:pic>
      <xdr:nvPicPr>
        <xdr:cNvPr id="1269" name="Imagen 126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686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610</xdr:row>
      <xdr:rowOff>19050</xdr:rowOff>
    </xdr:from>
    <xdr:ext cx="847346" cy="121920"/>
    <xdr:pic>
      <xdr:nvPicPr>
        <xdr:cNvPr id="1272" name="Imagen 12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612</xdr:row>
      <xdr:rowOff>19050</xdr:rowOff>
    </xdr:from>
    <xdr:ext cx="847346" cy="121920"/>
    <xdr:pic>
      <xdr:nvPicPr>
        <xdr:cNvPr id="1282" name="Imagen 12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534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434</xdr:row>
      <xdr:rowOff>19050</xdr:rowOff>
    </xdr:from>
    <xdr:ext cx="819150" cy="123825"/>
    <xdr:pic>
      <xdr:nvPicPr>
        <xdr:cNvPr id="129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522</xdr:row>
      <xdr:rowOff>19050</xdr:rowOff>
    </xdr:from>
    <xdr:ext cx="847346" cy="121920"/>
    <xdr:pic>
      <xdr:nvPicPr>
        <xdr:cNvPr id="1313" name="Imagen 131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03421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254</xdr:row>
      <xdr:rowOff>19050</xdr:rowOff>
    </xdr:from>
    <xdr:ext cx="819149" cy="123825"/>
    <xdr:pic>
      <xdr:nvPicPr>
        <xdr:cNvPr id="13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004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609</xdr:row>
      <xdr:rowOff>19050</xdr:rowOff>
    </xdr:from>
    <xdr:ext cx="847346" cy="121920"/>
    <xdr:pic>
      <xdr:nvPicPr>
        <xdr:cNvPr id="1318" name="Imagen 13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314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433</xdr:row>
      <xdr:rowOff>19050</xdr:rowOff>
    </xdr:from>
    <xdr:ext cx="819150" cy="123825"/>
    <xdr:pic>
      <xdr:nvPicPr>
        <xdr:cNvPr id="9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23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448</xdr:row>
      <xdr:rowOff>19050</xdr:rowOff>
    </xdr:from>
    <xdr:ext cx="819150" cy="125505"/>
    <xdr:pic>
      <xdr:nvPicPr>
        <xdr:cNvPr id="10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276</xdr:row>
      <xdr:rowOff>19050</xdr:rowOff>
    </xdr:from>
    <xdr:ext cx="819150" cy="123825"/>
    <xdr:pic>
      <xdr:nvPicPr>
        <xdr:cNvPr id="10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296</xdr:row>
      <xdr:rowOff>19050</xdr:rowOff>
    </xdr:from>
    <xdr:ext cx="502919" cy="121920"/>
    <xdr:pic>
      <xdr:nvPicPr>
        <xdr:cNvPr id="1070" name="Imagen 106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235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296</xdr:row>
      <xdr:rowOff>19050</xdr:rowOff>
    </xdr:from>
    <xdr:ext cx="819149" cy="123825"/>
    <xdr:pic>
      <xdr:nvPicPr>
        <xdr:cNvPr id="11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235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584</xdr:row>
      <xdr:rowOff>19050</xdr:rowOff>
    </xdr:from>
    <xdr:ext cx="819150" cy="125505"/>
    <xdr:pic>
      <xdr:nvPicPr>
        <xdr:cNvPr id="123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75430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243</xdr:row>
      <xdr:rowOff>19050</xdr:rowOff>
    </xdr:from>
    <xdr:ext cx="819150" cy="123825"/>
    <xdr:pic>
      <xdr:nvPicPr>
        <xdr:cNvPr id="12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08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500</xdr:row>
      <xdr:rowOff>28575</xdr:rowOff>
    </xdr:from>
    <xdr:ext cx="342900" cy="104775"/>
    <xdr:pic>
      <xdr:nvPicPr>
        <xdr:cNvPr id="117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5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501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0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430</xdr:row>
      <xdr:rowOff>19050</xdr:rowOff>
    </xdr:from>
    <xdr:ext cx="819150" cy="125505"/>
    <xdr:pic>
      <xdr:nvPicPr>
        <xdr:cNvPr id="125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931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430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666</xdr:row>
      <xdr:rowOff>19050</xdr:rowOff>
    </xdr:from>
    <xdr:ext cx="847346" cy="121920"/>
    <xdr:pic>
      <xdr:nvPicPr>
        <xdr:cNvPr id="1036" name="Imagen 103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525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738</xdr:row>
      <xdr:rowOff>19050</xdr:rowOff>
    </xdr:from>
    <xdr:ext cx="819150" cy="123825"/>
    <xdr:pic>
      <xdr:nvPicPr>
        <xdr:cNvPr id="132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4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745</xdr:row>
      <xdr:rowOff>19050</xdr:rowOff>
    </xdr:from>
    <xdr:to>
      <xdr:col>24</xdr:col>
      <xdr:colOff>47625</xdr:colOff>
      <xdr:row>745</xdr:row>
      <xdr:rowOff>142875</xdr:rowOff>
    </xdr:to>
    <xdr:pic>
      <xdr:nvPicPr>
        <xdr:cNvPr id="1351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93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746</xdr:row>
      <xdr:rowOff>19050</xdr:rowOff>
    </xdr:from>
    <xdr:to>
      <xdr:col>24</xdr:col>
      <xdr:colOff>47625</xdr:colOff>
      <xdr:row>746</xdr:row>
      <xdr:rowOff>142875</xdr:rowOff>
    </xdr:to>
    <xdr:pic>
      <xdr:nvPicPr>
        <xdr:cNvPr id="135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08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747</xdr:row>
      <xdr:rowOff>19050</xdr:rowOff>
    </xdr:from>
    <xdr:to>
      <xdr:col>24</xdr:col>
      <xdr:colOff>47625</xdr:colOff>
      <xdr:row>747</xdr:row>
      <xdr:rowOff>142875</xdr:rowOff>
    </xdr:to>
    <xdr:pic>
      <xdr:nvPicPr>
        <xdr:cNvPr id="136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24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697</xdr:row>
      <xdr:rowOff>19050</xdr:rowOff>
    </xdr:from>
    <xdr:to>
      <xdr:col>26</xdr:col>
      <xdr:colOff>0</xdr:colOff>
      <xdr:row>697</xdr:row>
      <xdr:rowOff>142875</xdr:rowOff>
    </xdr:to>
    <xdr:pic>
      <xdr:nvPicPr>
        <xdr:cNvPr id="136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364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742</xdr:row>
      <xdr:rowOff>19050</xdr:rowOff>
    </xdr:from>
    <xdr:to>
      <xdr:col>24</xdr:col>
      <xdr:colOff>47625</xdr:colOff>
      <xdr:row>742</xdr:row>
      <xdr:rowOff>142875</xdr:rowOff>
    </xdr:to>
    <xdr:pic>
      <xdr:nvPicPr>
        <xdr:cNvPr id="1396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32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743</xdr:row>
      <xdr:rowOff>19050</xdr:rowOff>
    </xdr:from>
    <xdr:to>
      <xdr:col>24</xdr:col>
      <xdr:colOff>47625</xdr:colOff>
      <xdr:row>743</xdr:row>
      <xdr:rowOff>142875</xdr:rowOff>
    </xdr:to>
    <xdr:pic>
      <xdr:nvPicPr>
        <xdr:cNvPr id="13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47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699</xdr:row>
      <xdr:rowOff>19050</xdr:rowOff>
    </xdr:from>
    <xdr:to>
      <xdr:col>26</xdr:col>
      <xdr:colOff>0</xdr:colOff>
      <xdr:row>699</xdr:row>
      <xdr:rowOff>142875</xdr:rowOff>
    </xdr:to>
    <xdr:pic>
      <xdr:nvPicPr>
        <xdr:cNvPr id="140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66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723</xdr:row>
      <xdr:rowOff>19050</xdr:rowOff>
    </xdr:from>
    <xdr:ext cx="819150" cy="123825"/>
    <xdr:pic>
      <xdr:nvPicPr>
        <xdr:cNvPr id="14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2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723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878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412" name="Imagen 14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417" name="Imagen 141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780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418" name="Imagen 14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9329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440</xdr:row>
      <xdr:rowOff>19050</xdr:rowOff>
    </xdr:from>
    <xdr:to>
      <xdr:col>24</xdr:col>
      <xdr:colOff>47625</xdr:colOff>
      <xdr:row>440</xdr:row>
      <xdr:rowOff>144555</xdr:rowOff>
    </xdr:to>
    <xdr:pic>
      <xdr:nvPicPr>
        <xdr:cNvPr id="90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408</xdr:row>
      <xdr:rowOff>19050</xdr:rowOff>
    </xdr:from>
    <xdr:ext cx="819150" cy="123825"/>
    <xdr:pic>
      <xdr:nvPicPr>
        <xdr:cNvPr id="9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407</xdr:row>
      <xdr:rowOff>19050</xdr:rowOff>
    </xdr:from>
    <xdr:ext cx="819150" cy="123825"/>
    <xdr:pic>
      <xdr:nvPicPr>
        <xdr:cNvPr id="9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278</xdr:row>
      <xdr:rowOff>19050</xdr:rowOff>
    </xdr:from>
    <xdr:ext cx="819149" cy="123825"/>
    <xdr:pic>
      <xdr:nvPicPr>
        <xdr:cNvPr id="14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322</xdr:row>
      <xdr:rowOff>19050</xdr:rowOff>
    </xdr:from>
    <xdr:ext cx="828675" cy="123825"/>
    <xdr:pic>
      <xdr:nvPicPr>
        <xdr:cNvPr id="144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253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322</xdr:row>
      <xdr:rowOff>19050</xdr:rowOff>
    </xdr:from>
    <xdr:ext cx="502919" cy="121920"/>
    <xdr:pic>
      <xdr:nvPicPr>
        <xdr:cNvPr id="1444" name="Imagen 14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2532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19150" cy="123825"/>
    <xdr:pic>
      <xdr:nvPicPr>
        <xdr:cNvPr id="14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</xdr:row>
      <xdr:rowOff>19050</xdr:rowOff>
    </xdr:from>
    <xdr:ext cx="819150" cy="123825"/>
    <xdr:pic>
      <xdr:nvPicPr>
        <xdr:cNvPr id="106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179</xdr:row>
      <xdr:rowOff>19050</xdr:rowOff>
    </xdr:from>
    <xdr:ext cx="819150" cy="123825"/>
    <xdr:pic>
      <xdr:nvPicPr>
        <xdr:cNvPr id="1245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645</xdr:row>
      <xdr:rowOff>19050</xdr:rowOff>
    </xdr:from>
    <xdr:ext cx="847346" cy="121920"/>
    <xdr:pic>
      <xdr:nvPicPr>
        <xdr:cNvPr id="1229" name="Imagen 122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69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172</xdr:row>
      <xdr:rowOff>19050</xdr:rowOff>
    </xdr:from>
    <xdr:ext cx="819150" cy="123825"/>
    <xdr:pic>
      <xdr:nvPicPr>
        <xdr:cNvPr id="14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266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47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248</xdr:row>
      <xdr:rowOff>19050</xdr:rowOff>
    </xdr:from>
    <xdr:ext cx="819150" cy="123825"/>
    <xdr:pic>
      <xdr:nvPicPr>
        <xdr:cNvPr id="14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248</xdr:row>
      <xdr:rowOff>19050</xdr:rowOff>
    </xdr:from>
    <xdr:to>
      <xdr:col>26</xdr:col>
      <xdr:colOff>0</xdr:colOff>
      <xdr:row>248</xdr:row>
      <xdr:rowOff>142875</xdr:rowOff>
    </xdr:to>
    <xdr:pic>
      <xdr:nvPicPr>
        <xdr:cNvPr id="1489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485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250</xdr:row>
      <xdr:rowOff>28575</xdr:rowOff>
    </xdr:from>
    <xdr:to>
      <xdr:col>26</xdr:col>
      <xdr:colOff>0</xdr:colOff>
      <xdr:row>251</xdr:row>
      <xdr:rowOff>0</xdr:rowOff>
    </xdr:to>
    <xdr:pic>
      <xdr:nvPicPr>
        <xdr:cNvPr id="1496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51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737</xdr:row>
      <xdr:rowOff>19050</xdr:rowOff>
    </xdr:from>
    <xdr:ext cx="819150" cy="123825"/>
    <xdr:pic>
      <xdr:nvPicPr>
        <xdr:cNvPr id="149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936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717</xdr:row>
      <xdr:rowOff>19050</xdr:rowOff>
    </xdr:from>
    <xdr:ext cx="819150" cy="123825"/>
    <xdr:pic>
      <xdr:nvPicPr>
        <xdr:cNvPr id="150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717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717</xdr:row>
      <xdr:rowOff>28575</xdr:rowOff>
    </xdr:from>
    <xdr:ext cx="342900" cy="104775"/>
    <xdr:pic>
      <xdr:nvPicPr>
        <xdr:cNvPr id="15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733</xdr:row>
      <xdr:rowOff>19050</xdr:rowOff>
    </xdr:from>
    <xdr:ext cx="819150" cy="123825"/>
    <xdr:pic>
      <xdr:nvPicPr>
        <xdr:cNvPr id="150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412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733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2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174</xdr:row>
      <xdr:rowOff>19050</xdr:rowOff>
    </xdr:from>
    <xdr:ext cx="819150" cy="123825"/>
    <xdr:pic>
      <xdr:nvPicPr>
        <xdr:cNvPr id="10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204</xdr:row>
      <xdr:rowOff>19050</xdr:rowOff>
    </xdr:from>
    <xdr:to>
      <xdr:col>24</xdr:col>
      <xdr:colOff>47625</xdr:colOff>
      <xdr:row>204</xdr:row>
      <xdr:rowOff>142875</xdr:rowOff>
    </xdr:to>
    <xdr:pic>
      <xdr:nvPicPr>
        <xdr:cNvPr id="1541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1542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5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449</xdr:row>
      <xdr:rowOff>19050</xdr:rowOff>
    </xdr:from>
    <xdr:ext cx="819150" cy="125505"/>
    <xdr:pic>
      <xdr:nvPicPr>
        <xdr:cNvPr id="1543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617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19150" cy="125505"/>
    <xdr:pic>
      <xdr:nvPicPr>
        <xdr:cNvPr id="154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607</xdr:row>
      <xdr:rowOff>19050</xdr:rowOff>
    </xdr:from>
    <xdr:ext cx="847346" cy="121920"/>
    <xdr:pic>
      <xdr:nvPicPr>
        <xdr:cNvPr id="1547" name="Imagen 154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7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644</xdr:row>
      <xdr:rowOff>19050</xdr:rowOff>
    </xdr:from>
    <xdr:ext cx="847346" cy="121920"/>
    <xdr:pic>
      <xdr:nvPicPr>
        <xdr:cNvPr id="1549" name="Imagen 154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022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669</xdr:row>
      <xdr:rowOff>19050</xdr:rowOff>
    </xdr:from>
    <xdr:ext cx="847346" cy="121920"/>
    <xdr:pic>
      <xdr:nvPicPr>
        <xdr:cNvPr id="1551" name="Imagen 15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50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601</xdr:row>
      <xdr:rowOff>19050</xdr:rowOff>
    </xdr:from>
    <xdr:ext cx="847346" cy="121920"/>
    <xdr:pic>
      <xdr:nvPicPr>
        <xdr:cNvPr id="1015" name="Imagen 101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61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176</xdr:row>
      <xdr:rowOff>19050</xdr:rowOff>
    </xdr:from>
    <xdr:ext cx="819150" cy="123825"/>
    <xdr:pic>
      <xdr:nvPicPr>
        <xdr:cNvPr id="10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181</xdr:row>
      <xdr:rowOff>16566</xdr:rowOff>
    </xdr:from>
    <xdr:ext cx="819150" cy="123825"/>
    <xdr:pic>
      <xdr:nvPicPr>
        <xdr:cNvPr id="112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249434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101</xdr:row>
      <xdr:rowOff>19050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667</xdr:row>
      <xdr:rowOff>19050</xdr:rowOff>
    </xdr:from>
    <xdr:to>
      <xdr:col>24</xdr:col>
      <xdr:colOff>47624</xdr:colOff>
      <xdr:row>667</xdr:row>
      <xdr:rowOff>142875</xdr:rowOff>
    </xdr:to>
    <xdr:pic>
      <xdr:nvPicPr>
        <xdr:cNvPr id="15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935926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452</xdr:row>
      <xdr:rowOff>19050</xdr:rowOff>
    </xdr:from>
    <xdr:ext cx="819150" cy="123825"/>
    <xdr:pic>
      <xdr:nvPicPr>
        <xdr:cNvPr id="11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14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380</xdr:row>
      <xdr:rowOff>16566</xdr:rowOff>
    </xdr:from>
    <xdr:ext cx="819150" cy="123825"/>
    <xdr:pic>
      <xdr:nvPicPr>
        <xdr:cNvPr id="15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56423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19150" cy="123825"/>
    <xdr:pic>
      <xdr:nvPicPr>
        <xdr:cNvPr id="9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7294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098" name="Imagen 109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552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130" name="Imagen 11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704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178</xdr:row>
      <xdr:rowOff>19050</xdr:rowOff>
    </xdr:from>
    <xdr:ext cx="819150" cy="123825"/>
    <xdr:pic>
      <xdr:nvPicPr>
        <xdr:cNvPr id="10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616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142875</xdr:rowOff>
    </xdr:to>
    <xdr:pic>
      <xdr:nvPicPr>
        <xdr:cNvPr id="110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268</xdr:row>
      <xdr:rowOff>19050</xdr:rowOff>
    </xdr:from>
    <xdr:ext cx="819150" cy="123825"/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102</xdr:row>
      <xdr:rowOff>19050</xdr:rowOff>
    </xdr:from>
    <xdr:ext cx="819150" cy="123825"/>
    <xdr:pic>
      <xdr:nvPicPr>
        <xdr:cNvPr id="11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20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253</xdr:row>
      <xdr:rowOff>19050</xdr:rowOff>
    </xdr:from>
    <xdr:ext cx="819150" cy="123825"/>
    <xdr:pic>
      <xdr:nvPicPr>
        <xdr:cNvPr id="11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258</xdr:row>
      <xdr:rowOff>19050</xdr:rowOff>
    </xdr:from>
    <xdr:ext cx="819149" cy="123825"/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259</xdr:row>
      <xdr:rowOff>19050</xdr:rowOff>
    </xdr:from>
    <xdr:ext cx="819149" cy="123825"/>
    <xdr:pic>
      <xdr:nvPicPr>
        <xdr:cNvPr id="11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260</xdr:row>
      <xdr:rowOff>19050</xdr:rowOff>
    </xdr:from>
    <xdr:ext cx="819149" cy="123825"/>
    <xdr:pic>
      <xdr:nvPicPr>
        <xdr:cNvPr id="12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852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261</xdr:row>
      <xdr:rowOff>19050</xdr:rowOff>
    </xdr:from>
    <xdr:ext cx="819149" cy="123825"/>
    <xdr:pic>
      <xdr:nvPicPr>
        <xdr:cNvPr id="12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00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262</xdr:row>
      <xdr:rowOff>19050</xdr:rowOff>
    </xdr:from>
    <xdr:ext cx="819149" cy="123825"/>
    <xdr:pic>
      <xdr:nvPicPr>
        <xdr:cNvPr id="13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157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264</xdr:row>
      <xdr:rowOff>19050</xdr:rowOff>
    </xdr:from>
    <xdr:ext cx="819149" cy="123825"/>
    <xdr:pic>
      <xdr:nvPicPr>
        <xdr:cNvPr id="141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46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263</xdr:row>
      <xdr:rowOff>19050</xdr:rowOff>
    </xdr:from>
    <xdr:ext cx="819149" cy="123825"/>
    <xdr:pic>
      <xdr:nvPicPr>
        <xdr:cNvPr id="15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265</xdr:row>
      <xdr:rowOff>19050</xdr:rowOff>
    </xdr:from>
    <xdr:ext cx="819149" cy="123825"/>
    <xdr:pic>
      <xdr:nvPicPr>
        <xdr:cNvPr id="15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61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266</xdr:row>
      <xdr:rowOff>19050</xdr:rowOff>
    </xdr:from>
    <xdr:ext cx="819149" cy="123825"/>
    <xdr:pic>
      <xdr:nvPicPr>
        <xdr:cNvPr id="15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766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496</xdr:row>
      <xdr:rowOff>28575</xdr:rowOff>
    </xdr:from>
    <xdr:ext cx="342900" cy="104775"/>
    <xdr:pic>
      <xdr:nvPicPr>
        <xdr:cNvPr id="113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497</xdr:row>
      <xdr:rowOff>28575</xdr:rowOff>
    </xdr:from>
    <xdr:ext cx="342900" cy="104775"/>
    <xdr:pic>
      <xdr:nvPicPr>
        <xdr:cNvPr id="117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496</xdr:row>
      <xdr:rowOff>19050</xdr:rowOff>
    </xdr:from>
    <xdr:to>
      <xdr:col>24</xdr:col>
      <xdr:colOff>47625</xdr:colOff>
      <xdr:row>496</xdr:row>
      <xdr:rowOff>142875</xdr:rowOff>
    </xdr:to>
    <xdr:pic>
      <xdr:nvPicPr>
        <xdr:cNvPr id="124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40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497</xdr:row>
      <xdr:rowOff>19050</xdr:rowOff>
    </xdr:from>
    <xdr:to>
      <xdr:col>24</xdr:col>
      <xdr:colOff>47625</xdr:colOff>
      <xdr:row>497</xdr:row>
      <xdr:rowOff>142875</xdr:rowOff>
    </xdr:to>
    <xdr:pic>
      <xdr:nvPicPr>
        <xdr:cNvPr id="1265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498</xdr:row>
      <xdr:rowOff>28575</xdr:rowOff>
    </xdr:from>
    <xdr:ext cx="342900" cy="104775"/>
    <xdr:pic>
      <xdr:nvPicPr>
        <xdr:cNvPr id="136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498</xdr:row>
      <xdr:rowOff>19050</xdr:rowOff>
    </xdr:from>
    <xdr:ext cx="819150" cy="123825"/>
    <xdr:pic>
      <xdr:nvPicPr>
        <xdr:cNvPr id="136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499</xdr:row>
      <xdr:rowOff>28575</xdr:rowOff>
    </xdr:from>
    <xdr:ext cx="342900" cy="104775"/>
    <xdr:pic>
      <xdr:nvPicPr>
        <xdr:cNvPr id="14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499</xdr:row>
      <xdr:rowOff>19050</xdr:rowOff>
    </xdr:from>
    <xdr:ext cx="819150" cy="123825"/>
    <xdr:pic>
      <xdr:nvPicPr>
        <xdr:cNvPr id="143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713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250</xdr:row>
      <xdr:rowOff>19050</xdr:rowOff>
    </xdr:from>
    <xdr:ext cx="819150" cy="123825"/>
    <xdr:pic>
      <xdr:nvPicPr>
        <xdr:cNvPr id="14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249</xdr:row>
      <xdr:rowOff>28575</xdr:rowOff>
    </xdr:from>
    <xdr:to>
      <xdr:col>26</xdr:col>
      <xdr:colOff>0</xdr:colOff>
      <xdr:row>250</xdr:row>
      <xdr:rowOff>0</xdr:rowOff>
    </xdr:to>
    <xdr:pic>
      <xdr:nvPicPr>
        <xdr:cNvPr id="144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249</xdr:row>
      <xdr:rowOff>19050</xdr:rowOff>
    </xdr:from>
    <xdr:ext cx="819150" cy="123825"/>
    <xdr:pic>
      <xdr:nvPicPr>
        <xdr:cNvPr id="14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281</xdr:row>
      <xdr:rowOff>19050</xdr:rowOff>
    </xdr:from>
    <xdr:to>
      <xdr:col>24</xdr:col>
      <xdr:colOff>47625</xdr:colOff>
      <xdr:row>281</xdr:row>
      <xdr:rowOff>142875</xdr:rowOff>
    </xdr:to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20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282</xdr:row>
      <xdr:rowOff>19050</xdr:rowOff>
    </xdr:from>
    <xdr:to>
      <xdr:col>24</xdr:col>
      <xdr:colOff>47625</xdr:colOff>
      <xdr:row>282</xdr:row>
      <xdr:rowOff>142875</xdr:rowOff>
    </xdr:to>
    <xdr:pic>
      <xdr:nvPicPr>
        <xdr:cNvPr id="14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35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326</xdr:row>
      <xdr:rowOff>19050</xdr:rowOff>
    </xdr:from>
    <xdr:ext cx="828675" cy="123825"/>
    <xdr:pic>
      <xdr:nvPicPr>
        <xdr:cNvPr id="149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30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15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360</xdr:row>
      <xdr:rowOff>19050</xdr:rowOff>
    </xdr:from>
    <xdr:to>
      <xdr:col>24</xdr:col>
      <xdr:colOff>47625</xdr:colOff>
      <xdr:row>360</xdr:row>
      <xdr:rowOff>142875</xdr:rowOff>
    </xdr:to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5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362</xdr:row>
      <xdr:rowOff>19050</xdr:rowOff>
    </xdr:from>
    <xdr:to>
      <xdr:col>24</xdr:col>
      <xdr:colOff>47625</xdr:colOff>
      <xdr:row>362</xdr:row>
      <xdr:rowOff>142875</xdr:rowOff>
    </xdr:to>
    <xdr:pic>
      <xdr:nvPicPr>
        <xdr:cNvPr id="15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5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415</xdr:row>
      <xdr:rowOff>19050</xdr:rowOff>
    </xdr:from>
    <xdr:to>
      <xdr:col>24</xdr:col>
      <xdr:colOff>47625</xdr:colOff>
      <xdr:row>415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196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416</xdr:row>
      <xdr:rowOff>19050</xdr:rowOff>
    </xdr:from>
    <xdr:to>
      <xdr:col>24</xdr:col>
      <xdr:colOff>47625</xdr:colOff>
      <xdr:row>416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108</xdr:row>
      <xdr:rowOff>19050</xdr:rowOff>
    </xdr:from>
    <xdr:ext cx="819150" cy="123825"/>
    <xdr:pic>
      <xdr:nvPicPr>
        <xdr:cNvPr id="1037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108</xdr:row>
      <xdr:rowOff>19050</xdr:rowOff>
    </xdr:from>
    <xdr:ext cx="819149" cy="123825"/>
    <xdr:pic>
      <xdr:nvPicPr>
        <xdr:cNvPr id="1084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6811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108</xdr:row>
      <xdr:rowOff>28575</xdr:rowOff>
    </xdr:from>
    <xdr:ext cx="342900" cy="104775"/>
    <xdr:pic>
      <xdr:nvPicPr>
        <xdr:cNvPr id="109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109</xdr:row>
      <xdr:rowOff>19050</xdr:rowOff>
    </xdr:from>
    <xdr:ext cx="819150" cy="123825"/>
    <xdr:pic>
      <xdr:nvPicPr>
        <xdr:cNvPr id="1091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109</xdr:row>
      <xdr:rowOff>28575</xdr:rowOff>
    </xdr:from>
    <xdr:ext cx="342900" cy="104775"/>
    <xdr:pic>
      <xdr:nvPicPr>
        <xdr:cNvPr id="117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110</xdr:row>
      <xdr:rowOff>19050</xdr:rowOff>
    </xdr:from>
    <xdr:ext cx="819150" cy="123825"/>
    <xdr:pic>
      <xdr:nvPicPr>
        <xdr:cNvPr id="118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110</xdr:row>
      <xdr:rowOff>19050</xdr:rowOff>
    </xdr:from>
    <xdr:ext cx="819149" cy="123825"/>
    <xdr:pic>
      <xdr:nvPicPr>
        <xdr:cNvPr id="1198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1164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110</xdr:row>
      <xdr:rowOff>28575</xdr:rowOff>
    </xdr:from>
    <xdr:ext cx="342900" cy="104775"/>
    <xdr:pic>
      <xdr:nvPicPr>
        <xdr:cNvPr id="121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111</xdr:row>
      <xdr:rowOff>19050</xdr:rowOff>
    </xdr:from>
    <xdr:ext cx="819150" cy="123825"/>
    <xdr:pic>
      <xdr:nvPicPr>
        <xdr:cNvPr id="135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111</xdr:row>
      <xdr:rowOff>28575</xdr:rowOff>
    </xdr:from>
    <xdr:ext cx="342900" cy="104775"/>
    <xdr:pic>
      <xdr:nvPicPr>
        <xdr:cNvPr id="145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78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49</xdr:row>
      <xdr:rowOff>19050</xdr:rowOff>
    </xdr:from>
    <xdr:to>
      <xdr:col>10</xdr:col>
      <xdr:colOff>400049</xdr:colOff>
      <xdr:row>49</xdr:row>
      <xdr:rowOff>142875</xdr:rowOff>
    </xdr:to>
    <xdr:pic>
      <xdr:nvPicPr>
        <xdr:cNvPr id="15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924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50</xdr:row>
      <xdr:rowOff>19050</xdr:rowOff>
    </xdr:from>
    <xdr:to>
      <xdr:col>10</xdr:col>
      <xdr:colOff>400049</xdr:colOff>
      <xdr:row>50</xdr:row>
      <xdr:rowOff>142875</xdr:rowOff>
    </xdr:to>
    <xdr:pic>
      <xdr:nvPicPr>
        <xdr:cNvPr id="15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324</xdr:row>
      <xdr:rowOff>19050</xdr:rowOff>
    </xdr:from>
    <xdr:ext cx="828675" cy="123825"/>
    <xdr:pic>
      <xdr:nvPicPr>
        <xdr:cNvPr id="13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691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324</xdr:row>
      <xdr:rowOff>19050</xdr:rowOff>
    </xdr:from>
    <xdr:ext cx="502919" cy="121920"/>
    <xdr:pic>
      <xdr:nvPicPr>
        <xdr:cNvPr id="1521" name="Imagen 152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691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324</xdr:row>
      <xdr:rowOff>28575</xdr:rowOff>
    </xdr:from>
    <xdr:ext cx="342900" cy="104775"/>
    <xdr:pic>
      <xdr:nvPicPr>
        <xdr:cNvPr id="1553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01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258</xdr:row>
      <xdr:rowOff>28575</xdr:rowOff>
    </xdr:from>
    <xdr:to>
      <xdr:col>1</xdr:col>
      <xdr:colOff>0</xdr:colOff>
      <xdr:row>258</xdr:row>
      <xdr:rowOff>133350</xdr:rowOff>
    </xdr:to>
    <xdr:pic>
      <xdr:nvPicPr>
        <xdr:cNvPr id="1555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66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650</xdr:row>
      <xdr:rowOff>28575</xdr:rowOff>
    </xdr:from>
    <xdr:to>
      <xdr:col>1</xdr:col>
      <xdr:colOff>0</xdr:colOff>
      <xdr:row>650</xdr:row>
      <xdr:rowOff>133350</xdr:rowOff>
    </xdr:to>
    <xdr:pic>
      <xdr:nvPicPr>
        <xdr:cNvPr id="1556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11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134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43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28575</xdr:rowOff>
    </xdr:from>
    <xdr:ext cx="342900" cy="104775"/>
    <xdr:pic>
      <xdr:nvPicPr>
        <xdr:cNvPr id="122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7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19150" cy="123825"/>
    <xdr:pic>
      <xdr:nvPicPr>
        <xdr:cNvPr id="156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295</xdr:row>
      <xdr:rowOff>19050</xdr:rowOff>
    </xdr:from>
    <xdr:ext cx="502919" cy="121920"/>
    <xdr:pic>
      <xdr:nvPicPr>
        <xdr:cNvPr id="1569" name="Imagen 156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295</xdr:row>
      <xdr:rowOff>28575</xdr:rowOff>
    </xdr:from>
    <xdr:ext cx="342900" cy="104775"/>
    <xdr:pic>
      <xdr:nvPicPr>
        <xdr:cNvPr id="157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0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405</xdr:row>
      <xdr:rowOff>19050</xdr:rowOff>
    </xdr:from>
    <xdr:ext cx="819150" cy="123825"/>
    <xdr:pic>
      <xdr:nvPicPr>
        <xdr:cNvPr id="15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01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406</xdr:row>
      <xdr:rowOff>28575</xdr:rowOff>
    </xdr:from>
    <xdr:to>
      <xdr:col>1</xdr:col>
      <xdr:colOff>0</xdr:colOff>
      <xdr:row>406</xdr:row>
      <xdr:rowOff>133350</xdr:rowOff>
    </xdr:to>
    <xdr:pic>
      <xdr:nvPicPr>
        <xdr:cNvPr id="157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507</xdr:row>
      <xdr:rowOff>19050</xdr:rowOff>
    </xdr:from>
    <xdr:ext cx="819149" cy="123825"/>
    <xdr:pic>
      <xdr:nvPicPr>
        <xdr:cNvPr id="15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0853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643</xdr:row>
      <xdr:rowOff>19050</xdr:rowOff>
    </xdr:from>
    <xdr:ext cx="847346" cy="121920"/>
    <xdr:pic>
      <xdr:nvPicPr>
        <xdr:cNvPr id="1578" name="Imagen 157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9449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643</xdr:row>
      <xdr:rowOff>28575</xdr:rowOff>
    </xdr:from>
    <xdr:ext cx="342900" cy="104775"/>
    <xdr:pic>
      <xdr:nvPicPr>
        <xdr:cNvPr id="1579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54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617</xdr:row>
      <xdr:rowOff>19050</xdr:rowOff>
    </xdr:from>
    <xdr:ext cx="847346" cy="121920"/>
    <xdr:pic>
      <xdr:nvPicPr>
        <xdr:cNvPr id="944" name="Imagen 9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6401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617</xdr:row>
      <xdr:rowOff>28575</xdr:rowOff>
    </xdr:from>
    <xdr:ext cx="342900" cy="104775"/>
    <xdr:pic>
      <xdr:nvPicPr>
        <xdr:cNvPr id="98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49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576</xdr:row>
      <xdr:rowOff>19050</xdr:rowOff>
    </xdr:from>
    <xdr:ext cx="819914" cy="121920"/>
    <xdr:pic>
      <xdr:nvPicPr>
        <xdr:cNvPr id="991" name="Imagen 990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0390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313</xdr:row>
      <xdr:rowOff>19050</xdr:rowOff>
    </xdr:from>
    <xdr:ext cx="847346" cy="121920"/>
    <xdr:pic>
      <xdr:nvPicPr>
        <xdr:cNvPr id="1020" name="Imagen 10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34851975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95250</xdr:colOff>
      <xdr:row>313</xdr:row>
      <xdr:rowOff>19050</xdr:rowOff>
    </xdr:from>
    <xdr:ext cx="502919" cy="121920"/>
    <xdr:pic>
      <xdr:nvPicPr>
        <xdr:cNvPr id="1142" name="Imagen 114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7082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294</xdr:row>
      <xdr:rowOff>19050</xdr:rowOff>
    </xdr:from>
    <xdr:ext cx="847346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72344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294</xdr:row>
      <xdr:rowOff>28575</xdr:rowOff>
    </xdr:from>
    <xdr:ext cx="342900" cy="104775"/>
    <xdr:pic>
      <xdr:nvPicPr>
        <xdr:cNvPr id="128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294</xdr:row>
      <xdr:rowOff>19050</xdr:rowOff>
    </xdr:from>
    <xdr:ext cx="502919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72344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676</xdr:row>
      <xdr:rowOff>19050</xdr:rowOff>
    </xdr:from>
    <xdr:ext cx="819150" cy="123825"/>
    <xdr:pic>
      <xdr:nvPicPr>
        <xdr:cNvPr id="1051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0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676</xdr:row>
      <xdr:rowOff>28575</xdr:rowOff>
    </xdr:from>
    <xdr:ext cx="342900" cy="104775"/>
    <xdr:pic>
      <xdr:nvPicPr>
        <xdr:cNvPr id="136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16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370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472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411</xdr:row>
      <xdr:rowOff>19050</xdr:rowOff>
    </xdr:from>
    <xdr:ext cx="819150" cy="123825"/>
    <xdr:pic>
      <xdr:nvPicPr>
        <xdr:cNvPr id="15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84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411</xdr:row>
      <xdr:rowOff>28575</xdr:rowOff>
    </xdr:from>
    <xdr:ext cx="342900" cy="104775"/>
    <xdr:pic>
      <xdr:nvPicPr>
        <xdr:cNvPr id="1581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1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605</xdr:row>
      <xdr:rowOff>28575</xdr:rowOff>
    </xdr:from>
    <xdr:to>
      <xdr:col>1</xdr:col>
      <xdr:colOff>0</xdr:colOff>
      <xdr:row>605</xdr:row>
      <xdr:rowOff>133350</xdr:rowOff>
    </xdr:to>
    <xdr:pic>
      <xdr:nvPicPr>
        <xdr:cNvPr id="979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182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112</xdr:row>
      <xdr:rowOff>19050</xdr:rowOff>
    </xdr:from>
    <xdr:ext cx="819150" cy="123825"/>
    <xdr:pic>
      <xdr:nvPicPr>
        <xdr:cNvPr id="1585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112</xdr:row>
      <xdr:rowOff>19050</xdr:rowOff>
    </xdr:from>
    <xdr:ext cx="819149" cy="123825"/>
    <xdr:pic>
      <xdr:nvPicPr>
        <xdr:cNvPr id="1586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4212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112</xdr:row>
      <xdr:rowOff>28575</xdr:rowOff>
    </xdr:from>
    <xdr:ext cx="342900" cy="104775"/>
    <xdr:pic>
      <xdr:nvPicPr>
        <xdr:cNvPr id="158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113</xdr:row>
      <xdr:rowOff>19050</xdr:rowOff>
    </xdr:from>
    <xdr:ext cx="819150" cy="123825"/>
    <xdr:pic>
      <xdr:nvPicPr>
        <xdr:cNvPr id="1588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113</xdr:row>
      <xdr:rowOff>28575</xdr:rowOff>
    </xdr:from>
    <xdr:ext cx="342900" cy="104775"/>
    <xdr:pic>
      <xdr:nvPicPr>
        <xdr:cNvPr id="158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83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114</xdr:row>
      <xdr:rowOff>19050</xdr:rowOff>
    </xdr:from>
    <xdr:ext cx="819150" cy="123825"/>
    <xdr:pic>
      <xdr:nvPicPr>
        <xdr:cNvPr id="1590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72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114</xdr:row>
      <xdr:rowOff>19050</xdr:rowOff>
    </xdr:from>
    <xdr:ext cx="819149" cy="123825"/>
    <xdr:pic>
      <xdr:nvPicPr>
        <xdr:cNvPr id="1591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7260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114</xdr:row>
      <xdr:rowOff>28575</xdr:rowOff>
    </xdr:from>
    <xdr:ext cx="342900" cy="104775"/>
    <xdr:pic>
      <xdr:nvPicPr>
        <xdr:cNvPr id="15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35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115</xdr:row>
      <xdr:rowOff>19050</xdr:rowOff>
    </xdr:from>
    <xdr:ext cx="819150" cy="123825"/>
    <xdr:pic>
      <xdr:nvPicPr>
        <xdr:cNvPr id="159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115</xdr:row>
      <xdr:rowOff>28575</xdr:rowOff>
    </xdr:from>
    <xdr:ext cx="342900" cy="104775"/>
    <xdr:pic>
      <xdr:nvPicPr>
        <xdr:cNvPr id="159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87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116</xdr:row>
      <xdr:rowOff>19050</xdr:rowOff>
    </xdr:from>
    <xdr:ext cx="819150" cy="123825"/>
    <xdr:pic>
      <xdr:nvPicPr>
        <xdr:cNvPr id="1595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80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116</xdr:row>
      <xdr:rowOff>19050</xdr:rowOff>
    </xdr:from>
    <xdr:ext cx="819149" cy="123825"/>
    <xdr:pic>
      <xdr:nvPicPr>
        <xdr:cNvPr id="1596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8030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116</xdr:row>
      <xdr:rowOff>28575</xdr:rowOff>
    </xdr:from>
    <xdr:ext cx="342900" cy="104775"/>
    <xdr:pic>
      <xdr:nvPicPr>
        <xdr:cNvPr id="159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117</xdr:row>
      <xdr:rowOff>19050</xdr:rowOff>
    </xdr:from>
    <xdr:ext cx="819150" cy="123825"/>
    <xdr:pic>
      <xdr:nvPicPr>
        <xdr:cNvPr id="1598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117</xdr:row>
      <xdr:rowOff>28575</xdr:rowOff>
    </xdr:from>
    <xdr:ext cx="342900" cy="104775"/>
    <xdr:pic>
      <xdr:nvPicPr>
        <xdr:cNvPr id="159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92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247</xdr:row>
      <xdr:rowOff>19050</xdr:rowOff>
    </xdr:from>
    <xdr:ext cx="819149" cy="123825"/>
    <xdr:pic>
      <xdr:nvPicPr>
        <xdr:cNvPr id="10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247</xdr:row>
      <xdr:rowOff>19050</xdr:rowOff>
    </xdr:from>
    <xdr:ext cx="342900" cy="104775"/>
    <xdr:pic>
      <xdr:nvPicPr>
        <xdr:cNvPr id="115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395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622</xdr:row>
      <xdr:rowOff>19050</xdr:rowOff>
    </xdr:from>
    <xdr:ext cx="847346" cy="121920"/>
    <xdr:pic>
      <xdr:nvPicPr>
        <xdr:cNvPr id="1476" name="Imagen 14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4302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623</xdr:row>
      <xdr:rowOff>19050</xdr:rowOff>
    </xdr:from>
    <xdr:ext cx="847346" cy="121920"/>
    <xdr:pic>
      <xdr:nvPicPr>
        <xdr:cNvPr id="1600" name="Imagen 159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5826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659</xdr:row>
      <xdr:rowOff>19050</xdr:rowOff>
    </xdr:from>
    <xdr:ext cx="847346" cy="121920"/>
    <xdr:pic>
      <xdr:nvPicPr>
        <xdr:cNvPr id="1601" name="Imagen 160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0690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659</xdr:row>
      <xdr:rowOff>28575</xdr:rowOff>
    </xdr:from>
    <xdr:ext cx="342900" cy="104775"/>
    <xdr:pic>
      <xdr:nvPicPr>
        <xdr:cNvPr id="160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78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686</xdr:row>
      <xdr:rowOff>20292</xdr:rowOff>
    </xdr:from>
    <xdr:ext cx="819150" cy="123825"/>
    <xdr:pic>
      <xdr:nvPicPr>
        <xdr:cNvPr id="1335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7803942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686</xdr:row>
      <xdr:rowOff>28575</xdr:rowOff>
    </xdr:from>
    <xdr:ext cx="342900" cy="104775"/>
    <xdr:pic>
      <xdr:nvPicPr>
        <xdr:cNvPr id="153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83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215</xdr:row>
      <xdr:rowOff>19050</xdr:rowOff>
    </xdr:from>
    <xdr:ext cx="819150" cy="123825"/>
    <xdr:pic>
      <xdr:nvPicPr>
        <xdr:cNvPr id="9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78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215</xdr:row>
      <xdr:rowOff>28575</xdr:rowOff>
    </xdr:from>
    <xdr:ext cx="342900" cy="104775"/>
    <xdr:pic>
      <xdr:nvPicPr>
        <xdr:cNvPr id="9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32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150" cy="123825"/>
    <xdr:pic>
      <xdr:nvPicPr>
        <xdr:cNvPr id="1068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64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487</xdr:row>
      <xdr:rowOff>28575</xdr:rowOff>
    </xdr:from>
    <xdr:ext cx="342900" cy="104775"/>
    <xdr:pic>
      <xdr:nvPicPr>
        <xdr:cNvPr id="107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489</xdr:row>
      <xdr:rowOff>28575</xdr:rowOff>
    </xdr:from>
    <xdr:ext cx="342900" cy="104775"/>
    <xdr:pic>
      <xdr:nvPicPr>
        <xdr:cNvPr id="153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489</xdr:row>
      <xdr:rowOff>28575</xdr:rowOff>
    </xdr:from>
    <xdr:ext cx="819150" cy="125505"/>
    <xdr:pic>
      <xdr:nvPicPr>
        <xdr:cNvPr id="1548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09612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150" cy="123825"/>
    <xdr:pic>
      <xdr:nvPicPr>
        <xdr:cNvPr id="155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79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492</xdr:row>
      <xdr:rowOff>28575</xdr:rowOff>
    </xdr:from>
    <xdr:ext cx="342900" cy="104775"/>
    <xdr:pic>
      <xdr:nvPicPr>
        <xdr:cNvPr id="156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333</xdr:row>
      <xdr:rowOff>19050</xdr:rowOff>
    </xdr:from>
    <xdr:ext cx="819150" cy="123825"/>
    <xdr:pic>
      <xdr:nvPicPr>
        <xdr:cNvPr id="16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333</xdr:row>
      <xdr:rowOff>19050</xdr:rowOff>
    </xdr:from>
    <xdr:ext cx="502919" cy="121920"/>
    <xdr:pic>
      <xdr:nvPicPr>
        <xdr:cNvPr id="1606" name="Imagen 160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0253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333</xdr:row>
      <xdr:rowOff>28575</xdr:rowOff>
    </xdr:from>
    <xdr:ext cx="342900" cy="104775"/>
    <xdr:pic>
      <xdr:nvPicPr>
        <xdr:cNvPr id="160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293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49484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293</xdr:row>
      <xdr:rowOff>28575</xdr:rowOff>
    </xdr:from>
    <xdr:ext cx="342900" cy="104775"/>
    <xdr:pic>
      <xdr:nvPicPr>
        <xdr:cNvPr id="121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293</xdr:row>
      <xdr:rowOff>19050</xdr:rowOff>
    </xdr:from>
    <xdr:ext cx="502919" cy="121920"/>
    <xdr:pic>
      <xdr:nvPicPr>
        <xdr:cNvPr id="1322" name="Imagen 132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49484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327</xdr:row>
      <xdr:rowOff>19050</xdr:rowOff>
    </xdr:from>
    <xdr:ext cx="828675" cy="123825"/>
    <xdr:pic>
      <xdr:nvPicPr>
        <xdr:cNvPr id="13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453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327</xdr:row>
      <xdr:rowOff>19050</xdr:rowOff>
    </xdr:from>
    <xdr:ext cx="502919" cy="121920"/>
    <xdr:pic>
      <xdr:nvPicPr>
        <xdr:cNvPr id="1426" name="Imagen 14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8453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328</xdr:row>
      <xdr:rowOff>19050</xdr:rowOff>
    </xdr:from>
    <xdr:ext cx="819150" cy="123825"/>
    <xdr:pic>
      <xdr:nvPicPr>
        <xdr:cNvPr id="161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21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328</xdr:row>
      <xdr:rowOff>19050</xdr:rowOff>
    </xdr:from>
    <xdr:ext cx="502919" cy="121920"/>
    <xdr:pic>
      <xdr:nvPicPr>
        <xdr:cNvPr id="1612" name="Imagen 161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215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611</xdr:row>
      <xdr:rowOff>19050</xdr:rowOff>
    </xdr:from>
    <xdr:ext cx="847346" cy="121920"/>
    <xdr:pic>
      <xdr:nvPicPr>
        <xdr:cNvPr id="1613" name="Imagen 161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8058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611</xdr:row>
      <xdr:rowOff>28575</xdr:rowOff>
    </xdr:from>
    <xdr:ext cx="342900" cy="104775"/>
    <xdr:pic>
      <xdr:nvPicPr>
        <xdr:cNvPr id="161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982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490</xdr:row>
      <xdr:rowOff>19050</xdr:rowOff>
    </xdr:from>
    <xdr:ext cx="819150" cy="125505"/>
    <xdr:pic>
      <xdr:nvPicPr>
        <xdr:cNvPr id="1615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19150" cy="123825"/>
    <xdr:pic>
      <xdr:nvPicPr>
        <xdr:cNvPr id="1616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488</xdr:row>
      <xdr:rowOff>28575</xdr:rowOff>
    </xdr:from>
    <xdr:ext cx="342900" cy="104775"/>
    <xdr:pic>
      <xdr:nvPicPr>
        <xdr:cNvPr id="161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488</xdr:row>
      <xdr:rowOff>28575</xdr:rowOff>
    </xdr:from>
    <xdr:ext cx="819150" cy="125505"/>
    <xdr:pic>
      <xdr:nvPicPr>
        <xdr:cNvPr id="1619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15708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485</xdr:row>
      <xdr:rowOff>28575</xdr:rowOff>
    </xdr:from>
    <xdr:ext cx="342900" cy="104775"/>
    <xdr:pic>
      <xdr:nvPicPr>
        <xdr:cNvPr id="162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150" cy="125505"/>
    <xdr:pic>
      <xdr:nvPicPr>
        <xdr:cNvPr id="1621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8949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17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493</xdr:row>
      <xdr:rowOff>28575</xdr:rowOff>
    </xdr:from>
    <xdr:ext cx="342900" cy="104775"/>
    <xdr:pic>
      <xdr:nvPicPr>
        <xdr:cNvPr id="121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8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739</xdr:row>
      <xdr:rowOff>19050</xdr:rowOff>
    </xdr:from>
    <xdr:ext cx="819150" cy="123825"/>
    <xdr:pic>
      <xdr:nvPicPr>
        <xdr:cNvPr id="121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8270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739</xdr:row>
      <xdr:rowOff>28575</xdr:rowOff>
    </xdr:from>
    <xdr:ext cx="342900" cy="104775"/>
    <xdr:pic>
      <xdr:nvPicPr>
        <xdr:cNvPr id="122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80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736</xdr:row>
      <xdr:rowOff>19050</xdr:rowOff>
    </xdr:from>
    <xdr:ext cx="819150" cy="123825"/>
    <xdr:pic>
      <xdr:nvPicPr>
        <xdr:cNvPr id="145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8423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736</xdr:row>
      <xdr:rowOff>28575</xdr:rowOff>
    </xdr:from>
    <xdr:ext cx="342900" cy="104775"/>
    <xdr:pic>
      <xdr:nvPicPr>
        <xdr:cNvPr id="145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27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332</xdr:row>
      <xdr:rowOff>19050</xdr:rowOff>
    </xdr:from>
    <xdr:ext cx="819150" cy="123825"/>
    <xdr:pic>
      <xdr:nvPicPr>
        <xdr:cNvPr id="105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332</xdr:row>
      <xdr:rowOff>19050</xdr:rowOff>
    </xdr:from>
    <xdr:ext cx="502919" cy="121920"/>
    <xdr:pic>
      <xdr:nvPicPr>
        <xdr:cNvPr id="1331" name="Imagen 133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482500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339</xdr:row>
      <xdr:rowOff>19050</xdr:rowOff>
    </xdr:from>
    <xdr:ext cx="819150" cy="123825"/>
    <xdr:pic>
      <xdr:nvPicPr>
        <xdr:cNvPr id="146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17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339</xdr:row>
      <xdr:rowOff>19050</xdr:rowOff>
    </xdr:from>
    <xdr:ext cx="502919" cy="121920"/>
    <xdr:pic>
      <xdr:nvPicPr>
        <xdr:cNvPr id="1495" name="Imagen 149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1777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339</xdr:row>
      <xdr:rowOff>28575</xdr:rowOff>
    </xdr:from>
    <xdr:ext cx="342900" cy="104775"/>
    <xdr:pic>
      <xdr:nvPicPr>
        <xdr:cNvPr id="150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87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340</xdr:row>
      <xdr:rowOff>19050</xdr:rowOff>
    </xdr:from>
    <xdr:ext cx="502919" cy="121920"/>
    <xdr:pic>
      <xdr:nvPicPr>
        <xdr:cNvPr id="1577" name="Imagen 157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12445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340</xdr:row>
      <xdr:rowOff>28575</xdr:rowOff>
    </xdr:from>
    <xdr:ext cx="342900" cy="104775"/>
    <xdr:pic>
      <xdr:nvPicPr>
        <xdr:cNvPr id="161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5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62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162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291</xdr:row>
      <xdr:rowOff>19050</xdr:rowOff>
    </xdr:from>
    <xdr:ext cx="502919" cy="121920"/>
    <xdr:pic>
      <xdr:nvPicPr>
        <xdr:cNvPr id="1626" name="Imagen 16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291</xdr:row>
      <xdr:rowOff>28575</xdr:rowOff>
    </xdr:from>
    <xdr:ext cx="342900" cy="104775"/>
    <xdr:pic>
      <xdr:nvPicPr>
        <xdr:cNvPr id="157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65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329</xdr:row>
      <xdr:rowOff>19050</xdr:rowOff>
    </xdr:from>
    <xdr:ext cx="828675" cy="123825"/>
    <xdr:pic>
      <xdr:nvPicPr>
        <xdr:cNvPr id="16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8729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329</xdr:row>
      <xdr:rowOff>19050</xdr:rowOff>
    </xdr:from>
    <xdr:ext cx="502919" cy="121920"/>
    <xdr:pic>
      <xdr:nvPicPr>
        <xdr:cNvPr id="1628" name="Imagen 162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8729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329</xdr:row>
      <xdr:rowOff>28575</xdr:rowOff>
    </xdr:from>
    <xdr:ext cx="342900" cy="104775"/>
    <xdr:pic>
      <xdr:nvPicPr>
        <xdr:cNvPr id="162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330</xdr:row>
      <xdr:rowOff>19050</xdr:rowOff>
    </xdr:from>
    <xdr:ext cx="828675" cy="123825"/>
    <xdr:pic>
      <xdr:nvPicPr>
        <xdr:cNvPr id="163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8729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330</xdr:row>
      <xdr:rowOff>19050</xdr:rowOff>
    </xdr:from>
    <xdr:ext cx="502919" cy="121920"/>
    <xdr:pic>
      <xdr:nvPicPr>
        <xdr:cNvPr id="1631" name="Imagen 163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8729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330</xdr:row>
      <xdr:rowOff>28575</xdr:rowOff>
    </xdr:from>
    <xdr:ext cx="342900" cy="104775"/>
    <xdr:pic>
      <xdr:nvPicPr>
        <xdr:cNvPr id="163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668</xdr:row>
      <xdr:rowOff>19050</xdr:rowOff>
    </xdr:from>
    <xdr:ext cx="847346" cy="121920"/>
    <xdr:pic>
      <xdr:nvPicPr>
        <xdr:cNvPr id="1633" name="Imagen 163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050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668</xdr:row>
      <xdr:rowOff>28575</xdr:rowOff>
    </xdr:from>
    <xdr:ext cx="342900" cy="104775"/>
    <xdr:pic>
      <xdr:nvPicPr>
        <xdr:cNvPr id="163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328</xdr:row>
      <xdr:rowOff>28575</xdr:rowOff>
    </xdr:from>
    <xdr:to>
      <xdr:col>1</xdr:col>
      <xdr:colOff>0</xdr:colOff>
      <xdr:row>328</xdr:row>
      <xdr:rowOff>133350</xdr:rowOff>
    </xdr:to>
    <xdr:pic>
      <xdr:nvPicPr>
        <xdr:cNvPr id="1635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34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325</xdr:row>
      <xdr:rowOff>19050</xdr:rowOff>
    </xdr:from>
    <xdr:ext cx="828675" cy="123825"/>
    <xdr:pic>
      <xdr:nvPicPr>
        <xdr:cNvPr id="1636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99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325</xdr:row>
      <xdr:rowOff>19050</xdr:rowOff>
    </xdr:from>
    <xdr:ext cx="502919" cy="121920"/>
    <xdr:pic>
      <xdr:nvPicPr>
        <xdr:cNvPr id="1637" name="Imagen 163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9964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325</xdr:row>
      <xdr:rowOff>28575</xdr:rowOff>
    </xdr:from>
    <xdr:ext cx="342900" cy="104775"/>
    <xdr:pic>
      <xdr:nvPicPr>
        <xdr:cNvPr id="16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3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440</xdr:row>
      <xdr:rowOff>28575</xdr:rowOff>
    </xdr:from>
    <xdr:to>
      <xdr:col>1</xdr:col>
      <xdr:colOff>0</xdr:colOff>
      <xdr:row>440</xdr:row>
      <xdr:rowOff>133350</xdr:rowOff>
    </xdr:to>
    <xdr:pic>
      <xdr:nvPicPr>
        <xdr:cNvPr id="163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1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393</xdr:row>
      <xdr:rowOff>19050</xdr:rowOff>
    </xdr:from>
    <xdr:ext cx="819150" cy="123825"/>
    <xdr:pic>
      <xdr:nvPicPr>
        <xdr:cNvPr id="11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54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171</xdr:row>
      <xdr:rowOff>16566</xdr:rowOff>
    </xdr:from>
    <xdr:ext cx="819150" cy="123825"/>
    <xdr:pic>
      <xdr:nvPicPr>
        <xdr:cNvPr id="164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250958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223</xdr:row>
      <xdr:rowOff>19050</xdr:rowOff>
    </xdr:from>
    <xdr:ext cx="819150" cy="123825"/>
    <xdr:pic>
      <xdr:nvPicPr>
        <xdr:cNvPr id="1642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292</xdr:row>
      <xdr:rowOff>19050</xdr:rowOff>
    </xdr:from>
    <xdr:ext cx="502919" cy="121920"/>
    <xdr:pic>
      <xdr:nvPicPr>
        <xdr:cNvPr id="1644" name="Imagen 16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49484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292</xdr:row>
      <xdr:rowOff>28575</xdr:rowOff>
    </xdr:from>
    <xdr:ext cx="342900" cy="104775"/>
    <xdr:pic>
      <xdr:nvPicPr>
        <xdr:cNvPr id="164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292</xdr:row>
      <xdr:rowOff>19050</xdr:rowOff>
    </xdr:from>
    <xdr:ext cx="819150" cy="123825"/>
    <xdr:pic>
      <xdr:nvPicPr>
        <xdr:cNvPr id="164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290</xdr:row>
      <xdr:rowOff>19050</xdr:rowOff>
    </xdr:from>
    <xdr:ext cx="828675" cy="123825"/>
    <xdr:pic>
      <xdr:nvPicPr>
        <xdr:cNvPr id="16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777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290</xdr:row>
      <xdr:rowOff>19050</xdr:rowOff>
    </xdr:from>
    <xdr:ext cx="502919" cy="121920"/>
    <xdr:pic>
      <xdr:nvPicPr>
        <xdr:cNvPr id="1648" name="Imagen 164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7772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290</xdr:row>
      <xdr:rowOff>28575</xdr:rowOff>
    </xdr:from>
    <xdr:ext cx="342900" cy="104775"/>
    <xdr:pic>
      <xdr:nvPicPr>
        <xdr:cNvPr id="164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360</xdr:row>
      <xdr:rowOff>28575</xdr:rowOff>
    </xdr:from>
    <xdr:to>
      <xdr:col>1</xdr:col>
      <xdr:colOff>0</xdr:colOff>
      <xdr:row>360</xdr:row>
      <xdr:rowOff>133350</xdr:rowOff>
    </xdr:to>
    <xdr:pic>
      <xdr:nvPicPr>
        <xdr:cNvPr id="165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26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656</xdr:row>
      <xdr:rowOff>19050</xdr:rowOff>
    </xdr:from>
    <xdr:ext cx="847346" cy="121920"/>
    <xdr:pic>
      <xdr:nvPicPr>
        <xdr:cNvPr id="1103" name="Imagen 110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17162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657</xdr:row>
      <xdr:rowOff>19050</xdr:rowOff>
    </xdr:from>
    <xdr:ext cx="847346" cy="121920"/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978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658</xdr:row>
      <xdr:rowOff>19050</xdr:rowOff>
    </xdr:from>
    <xdr:ext cx="847346" cy="121920"/>
    <xdr:pic>
      <xdr:nvPicPr>
        <xdr:cNvPr id="1395" name="Imagen 139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050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658</xdr:row>
      <xdr:rowOff>28575</xdr:rowOff>
    </xdr:from>
    <xdr:ext cx="342900" cy="104775"/>
    <xdr:pic>
      <xdr:nvPicPr>
        <xdr:cNvPr id="15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660</xdr:row>
      <xdr:rowOff>19050</xdr:rowOff>
    </xdr:from>
    <xdr:ext cx="847346" cy="121920"/>
    <xdr:pic>
      <xdr:nvPicPr>
        <xdr:cNvPr id="1566" name="Imagen 156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202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660</xdr:row>
      <xdr:rowOff>28575</xdr:rowOff>
    </xdr:from>
    <xdr:ext cx="342900" cy="104775"/>
    <xdr:pic>
      <xdr:nvPicPr>
        <xdr:cNvPr id="164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212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661</xdr:row>
      <xdr:rowOff>19050</xdr:rowOff>
    </xdr:from>
    <xdr:ext cx="847346" cy="121920"/>
    <xdr:pic>
      <xdr:nvPicPr>
        <xdr:cNvPr id="1651" name="Imagen 16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5074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661</xdr:row>
      <xdr:rowOff>28575</xdr:rowOff>
    </xdr:from>
    <xdr:ext cx="342900" cy="104775"/>
    <xdr:pic>
      <xdr:nvPicPr>
        <xdr:cNvPr id="165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516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606</xdr:row>
      <xdr:rowOff>19050</xdr:rowOff>
    </xdr:from>
    <xdr:ext cx="847346" cy="121920"/>
    <xdr:pic>
      <xdr:nvPicPr>
        <xdr:cNvPr id="1108" name="Imagen 110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7350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606</xdr:row>
      <xdr:rowOff>28575</xdr:rowOff>
    </xdr:from>
    <xdr:ext cx="342900" cy="104775"/>
    <xdr:pic>
      <xdr:nvPicPr>
        <xdr:cNvPr id="1653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744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19150" cy="123825"/>
    <xdr:pic>
      <xdr:nvPicPr>
        <xdr:cNvPr id="1654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18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456</xdr:row>
      <xdr:rowOff>28575</xdr:rowOff>
    </xdr:from>
    <xdr:ext cx="342900" cy="104775"/>
    <xdr:pic>
      <xdr:nvPicPr>
        <xdr:cNvPr id="165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35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19150" cy="123825"/>
    <xdr:pic>
      <xdr:nvPicPr>
        <xdr:cNvPr id="1656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34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457</xdr:row>
      <xdr:rowOff>28575</xdr:rowOff>
    </xdr:from>
    <xdr:ext cx="342900" cy="104775"/>
    <xdr:pic>
      <xdr:nvPicPr>
        <xdr:cNvPr id="165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35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19150" cy="123825"/>
    <xdr:pic>
      <xdr:nvPicPr>
        <xdr:cNvPr id="1658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49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458</xdr:row>
      <xdr:rowOff>28575</xdr:rowOff>
    </xdr:from>
    <xdr:ext cx="342900" cy="104775"/>
    <xdr:pic>
      <xdr:nvPicPr>
        <xdr:cNvPr id="165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504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19150" cy="123825"/>
    <xdr:pic>
      <xdr:nvPicPr>
        <xdr:cNvPr id="1660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64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459</xdr:row>
      <xdr:rowOff>28575</xdr:rowOff>
    </xdr:from>
    <xdr:ext cx="342900" cy="104775"/>
    <xdr:pic>
      <xdr:nvPicPr>
        <xdr:cNvPr id="166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56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19150" cy="123825"/>
    <xdr:pic>
      <xdr:nvPicPr>
        <xdr:cNvPr id="1662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79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460</xdr:row>
      <xdr:rowOff>28575</xdr:rowOff>
    </xdr:from>
    <xdr:ext cx="342900" cy="104775"/>
    <xdr:pic>
      <xdr:nvPicPr>
        <xdr:cNvPr id="166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19150" cy="123825"/>
    <xdr:pic>
      <xdr:nvPicPr>
        <xdr:cNvPr id="1664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95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461</xdr:row>
      <xdr:rowOff>28575</xdr:rowOff>
    </xdr:from>
    <xdr:ext cx="342900" cy="104775"/>
    <xdr:pic>
      <xdr:nvPicPr>
        <xdr:cNvPr id="166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677</xdr:row>
      <xdr:rowOff>19050</xdr:rowOff>
    </xdr:from>
    <xdr:ext cx="819150" cy="123825"/>
    <xdr:pic>
      <xdr:nvPicPr>
        <xdr:cNvPr id="1666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14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677</xdr:row>
      <xdr:rowOff>28575</xdr:rowOff>
    </xdr:from>
    <xdr:ext cx="342900" cy="104775"/>
    <xdr:pic>
      <xdr:nvPicPr>
        <xdr:cNvPr id="166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15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687</xdr:row>
      <xdr:rowOff>19050</xdr:rowOff>
    </xdr:from>
    <xdr:to>
      <xdr:col>24</xdr:col>
      <xdr:colOff>47625</xdr:colOff>
      <xdr:row>687</xdr:row>
      <xdr:rowOff>142875</xdr:rowOff>
    </xdr:to>
    <xdr:pic>
      <xdr:nvPicPr>
        <xdr:cNvPr id="1668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397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214</xdr:row>
      <xdr:rowOff>19050</xdr:rowOff>
    </xdr:from>
    <xdr:ext cx="819150" cy="123825"/>
    <xdr:pic>
      <xdr:nvPicPr>
        <xdr:cNvPr id="16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19150" cy="123825"/>
    <xdr:pic>
      <xdr:nvPicPr>
        <xdr:cNvPr id="1670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462</xdr:row>
      <xdr:rowOff>28575</xdr:rowOff>
    </xdr:from>
    <xdr:ext cx="342900" cy="104775"/>
    <xdr:pic>
      <xdr:nvPicPr>
        <xdr:cNvPr id="167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6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</xdr:row>
      <xdr:rowOff>19050</xdr:rowOff>
    </xdr:from>
    <xdr:ext cx="819149" cy="123825"/>
    <xdr:pic>
      <xdr:nvPicPr>
        <xdr:cNvPr id="16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363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64</xdr:row>
      <xdr:rowOff>28575</xdr:rowOff>
    </xdr:from>
    <xdr:ext cx="342900" cy="104775"/>
    <xdr:pic>
      <xdr:nvPicPr>
        <xdr:cNvPr id="167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2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271</xdr:row>
      <xdr:rowOff>28575</xdr:rowOff>
    </xdr:from>
    <xdr:to>
      <xdr:col>1</xdr:col>
      <xdr:colOff>0</xdr:colOff>
      <xdr:row>271</xdr:row>
      <xdr:rowOff>133350</xdr:rowOff>
    </xdr:to>
    <xdr:pic>
      <xdr:nvPicPr>
        <xdr:cNvPr id="1536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0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24</xdr:row>
      <xdr:rowOff>28575</xdr:rowOff>
    </xdr:from>
    <xdr:ext cx="342900" cy="104775"/>
    <xdr:pic>
      <xdr:nvPicPr>
        <xdr:cNvPr id="167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</xdr:row>
      <xdr:rowOff>19050</xdr:rowOff>
    </xdr:from>
    <xdr:to>
      <xdr:col>24</xdr:col>
      <xdr:colOff>47625</xdr:colOff>
      <xdr:row>24</xdr:row>
      <xdr:rowOff>142875</xdr:rowOff>
    </xdr:to>
    <xdr:pic>
      <xdr:nvPicPr>
        <xdr:cNvPr id="1003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1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175</xdr:row>
      <xdr:rowOff>19050</xdr:rowOff>
    </xdr:from>
    <xdr:ext cx="819150" cy="123825"/>
    <xdr:pic>
      <xdr:nvPicPr>
        <xdr:cNvPr id="11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463</xdr:row>
      <xdr:rowOff>28575</xdr:rowOff>
    </xdr:from>
    <xdr:ext cx="342900" cy="104775"/>
    <xdr:pic>
      <xdr:nvPicPr>
        <xdr:cNvPr id="127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113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464</xdr:row>
      <xdr:rowOff>28575</xdr:rowOff>
    </xdr:from>
    <xdr:ext cx="342900" cy="104775"/>
    <xdr:pic>
      <xdr:nvPicPr>
        <xdr:cNvPr id="128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6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465</xdr:row>
      <xdr:rowOff>28575</xdr:rowOff>
    </xdr:from>
    <xdr:ext cx="342900" cy="104775"/>
    <xdr:pic>
      <xdr:nvPicPr>
        <xdr:cNvPr id="128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467</xdr:row>
      <xdr:rowOff>28575</xdr:rowOff>
    </xdr:from>
    <xdr:ext cx="342900" cy="104775"/>
    <xdr:pic>
      <xdr:nvPicPr>
        <xdr:cNvPr id="13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467</xdr:row>
      <xdr:rowOff>19050</xdr:rowOff>
    </xdr:from>
    <xdr:to>
      <xdr:col>24</xdr:col>
      <xdr:colOff>47625</xdr:colOff>
      <xdr:row>467</xdr:row>
      <xdr:rowOff>142875</xdr:rowOff>
    </xdr:to>
    <xdr:pic>
      <xdr:nvPicPr>
        <xdr:cNvPr id="1317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713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561</xdr:row>
      <xdr:rowOff>19050</xdr:rowOff>
    </xdr:from>
    <xdr:ext cx="819914" cy="121920"/>
    <xdr:pic>
      <xdr:nvPicPr>
        <xdr:cNvPr id="1126" name="Imagen 112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762975"/>
          <a:ext cx="819914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561</xdr:row>
      <xdr:rowOff>28575</xdr:rowOff>
    </xdr:from>
    <xdr:ext cx="342900" cy="104775"/>
    <xdr:pic>
      <xdr:nvPicPr>
        <xdr:cNvPr id="142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010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211</xdr:row>
      <xdr:rowOff>28575</xdr:rowOff>
    </xdr:from>
    <xdr:ext cx="342900" cy="104775"/>
    <xdr:pic>
      <xdr:nvPicPr>
        <xdr:cNvPr id="155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27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19150" cy="125505"/>
    <xdr:pic>
      <xdr:nvPicPr>
        <xdr:cNvPr id="155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9275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451</xdr:row>
      <xdr:rowOff>28575</xdr:rowOff>
    </xdr:from>
    <xdr:ext cx="342900" cy="104775"/>
    <xdr:pic>
      <xdr:nvPicPr>
        <xdr:cNvPr id="158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284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210</xdr:row>
      <xdr:rowOff>28575</xdr:rowOff>
    </xdr:from>
    <xdr:ext cx="342900" cy="104775"/>
    <xdr:pic>
      <xdr:nvPicPr>
        <xdr:cNvPr id="160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88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209</xdr:row>
      <xdr:rowOff>28575</xdr:rowOff>
    </xdr:from>
    <xdr:ext cx="342900" cy="104775"/>
    <xdr:pic>
      <xdr:nvPicPr>
        <xdr:cNvPr id="160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88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474</xdr:row>
      <xdr:rowOff>28575</xdr:rowOff>
    </xdr:from>
    <xdr:ext cx="342900" cy="104775"/>
    <xdr:pic>
      <xdr:nvPicPr>
        <xdr:cNvPr id="167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635</xdr:row>
      <xdr:rowOff>28575</xdr:rowOff>
    </xdr:from>
    <xdr:to>
      <xdr:col>1</xdr:col>
      <xdr:colOff>0</xdr:colOff>
      <xdr:row>635</xdr:row>
      <xdr:rowOff>133350</xdr:rowOff>
    </xdr:to>
    <xdr:pic>
      <xdr:nvPicPr>
        <xdr:cNvPr id="1557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726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466</xdr:row>
      <xdr:rowOff>28575</xdr:rowOff>
    </xdr:from>
    <xdr:ext cx="342900" cy="104775"/>
    <xdr:pic>
      <xdr:nvPicPr>
        <xdr:cNvPr id="167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32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466</xdr:row>
      <xdr:rowOff>19050</xdr:rowOff>
    </xdr:from>
    <xdr:ext cx="819150" cy="123825"/>
    <xdr:pic>
      <xdr:nvPicPr>
        <xdr:cNvPr id="1679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32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1136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271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47625</xdr:colOff>
      <xdr:row>210</xdr:row>
      <xdr:rowOff>142875</xdr:rowOff>
    </xdr:to>
    <xdr:pic>
      <xdr:nvPicPr>
        <xdr:cNvPr id="1154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287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47625</xdr:colOff>
      <xdr:row>211</xdr:row>
      <xdr:rowOff>142875</xdr:rowOff>
    </xdr:to>
    <xdr:pic>
      <xdr:nvPicPr>
        <xdr:cNvPr id="1407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02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221</xdr:row>
      <xdr:rowOff>19050</xdr:rowOff>
    </xdr:from>
    <xdr:to>
      <xdr:col>24</xdr:col>
      <xdr:colOff>47625</xdr:colOff>
      <xdr:row>221</xdr:row>
      <xdr:rowOff>142875</xdr:rowOff>
    </xdr:to>
    <xdr:pic>
      <xdr:nvPicPr>
        <xdr:cNvPr id="14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464</xdr:row>
      <xdr:rowOff>19050</xdr:rowOff>
    </xdr:from>
    <xdr:to>
      <xdr:col>24</xdr:col>
      <xdr:colOff>47625</xdr:colOff>
      <xdr:row>464</xdr:row>
      <xdr:rowOff>142875</xdr:rowOff>
    </xdr:to>
    <xdr:pic>
      <xdr:nvPicPr>
        <xdr:cNvPr id="1680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465</xdr:row>
      <xdr:rowOff>19050</xdr:rowOff>
    </xdr:from>
    <xdr:to>
      <xdr:col>24</xdr:col>
      <xdr:colOff>47625</xdr:colOff>
      <xdr:row>465</xdr:row>
      <xdr:rowOff>142875</xdr:rowOff>
    </xdr:to>
    <xdr:pic>
      <xdr:nvPicPr>
        <xdr:cNvPr id="1681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01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463</xdr:row>
      <xdr:rowOff>19050</xdr:rowOff>
    </xdr:from>
    <xdr:ext cx="819150" cy="125505"/>
    <xdr:pic>
      <xdr:nvPicPr>
        <xdr:cNvPr id="1682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1713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474</xdr:row>
      <xdr:rowOff>19050</xdr:rowOff>
    </xdr:from>
    <xdr:to>
      <xdr:col>24</xdr:col>
      <xdr:colOff>47625</xdr:colOff>
      <xdr:row>474</xdr:row>
      <xdr:rowOff>142875</xdr:rowOff>
    </xdr:to>
    <xdr:pic>
      <xdr:nvPicPr>
        <xdr:cNvPr id="1450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199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588</xdr:row>
      <xdr:rowOff>19050</xdr:rowOff>
    </xdr:from>
    <xdr:ext cx="819150" cy="125505"/>
    <xdr:pic>
      <xdr:nvPicPr>
        <xdr:cNvPr id="15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9487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683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232</xdr:row>
      <xdr:rowOff>28575</xdr:rowOff>
    </xdr:from>
    <xdr:ext cx="342900" cy="104775"/>
    <xdr:pic>
      <xdr:nvPicPr>
        <xdr:cNvPr id="168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233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444</xdr:row>
      <xdr:rowOff>19050</xdr:rowOff>
    </xdr:from>
    <xdr:ext cx="819150" cy="125505"/>
    <xdr:pic>
      <xdr:nvPicPr>
        <xdr:cNvPr id="106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166</xdr:row>
      <xdr:rowOff>19050</xdr:rowOff>
    </xdr:from>
    <xdr:ext cx="819150" cy="123825"/>
    <xdr:pic>
      <xdr:nvPicPr>
        <xdr:cNvPr id="998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166</xdr:row>
      <xdr:rowOff>19050</xdr:rowOff>
    </xdr:from>
    <xdr:ext cx="828674" cy="123825"/>
    <xdr:pic>
      <xdr:nvPicPr>
        <xdr:cNvPr id="1234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25860375"/>
          <a:ext cx="82867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166</xdr:row>
      <xdr:rowOff>28575</xdr:rowOff>
    </xdr:from>
    <xdr:ext cx="342900" cy="104775"/>
    <xdr:pic>
      <xdr:nvPicPr>
        <xdr:cNvPr id="126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22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570</xdr:row>
      <xdr:rowOff>28575</xdr:rowOff>
    </xdr:from>
    <xdr:to>
      <xdr:col>1</xdr:col>
      <xdr:colOff>0</xdr:colOff>
      <xdr:row>570</xdr:row>
      <xdr:rowOff>133350</xdr:rowOff>
    </xdr:to>
    <xdr:pic>
      <xdr:nvPicPr>
        <xdr:cNvPr id="1060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68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571</xdr:row>
      <xdr:rowOff>28575</xdr:rowOff>
    </xdr:from>
    <xdr:to>
      <xdr:col>1</xdr:col>
      <xdr:colOff>0</xdr:colOff>
      <xdr:row>571</xdr:row>
      <xdr:rowOff>133350</xdr:rowOff>
    </xdr:to>
    <xdr:pic>
      <xdr:nvPicPr>
        <xdr:cNvPr id="1271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820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263</xdr:row>
      <xdr:rowOff>28575</xdr:rowOff>
    </xdr:from>
    <xdr:to>
      <xdr:col>1</xdr:col>
      <xdr:colOff>0</xdr:colOff>
      <xdr:row>263</xdr:row>
      <xdr:rowOff>133350</xdr:rowOff>
    </xdr:to>
    <xdr:pic>
      <xdr:nvPicPr>
        <xdr:cNvPr id="1392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9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354</xdr:row>
      <xdr:rowOff>28575</xdr:rowOff>
    </xdr:from>
    <xdr:to>
      <xdr:col>1</xdr:col>
      <xdr:colOff>0</xdr:colOff>
      <xdr:row>354</xdr:row>
      <xdr:rowOff>133350</xdr:rowOff>
    </xdr:to>
    <xdr:pic>
      <xdr:nvPicPr>
        <xdr:cNvPr id="102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59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424</xdr:row>
      <xdr:rowOff>28575</xdr:rowOff>
    </xdr:from>
    <xdr:to>
      <xdr:col>1</xdr:col>
      <xdr:colOff>0</xdr:colOff>
      <xdr:row>424</xdr:row>
      <xdr:rowOff>133350</xdr:rowOff>
    </xdr:to>
    <xdr:pic>
      <xdr:nvPicPr>
        <xdr:cNvPr id="105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22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11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115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371</xdr:row>
      <xdr:rowOff>19050</xdr:rowOff>
    </xdr:from>
    <xdr:ext cx="819150" cy="123825"/>
    <xdr:pic>
      <xdr:nvPicPr>
        <xdr:cNvPr id="11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718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372</xdr:row>
      <xdr:rowOff>19050</xdr:rowOff>
    </xdr:from>
    <xdr:ext cx="819150" cy="123825"/>
    <xdr:pic>
      <xdr:nvPicPr>
        <xdr:cNvPr id="12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376</xdr:row>
      <xdr:rowOff>19050</xdr:rowOff>
    </xdr:from>
    <xdr:ext cx="819150" cy="123825"/>
    <xdr:pic>
      <xdr:nvPicPr>
        <xdr:cNvPr id="14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795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377</xdr:row>
      <xdr:rowOff>19050</xdr:rowOff>
    </xdr:from>
    <xdr:ext cx="819150" cy="123825"/>
    <xdr:pic>
      <xdr:nvPicPr>
        <xdr:cNvPr id="14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527</xdr:row>
      <xdr:rowOff>28575</xdr:rowOff>
    </xdr:from>
    <xdr:to>
      <xdr:col>1</xdr:col>
      <xdr:colOff>0</xdr:colOff>
      <xdr:row>527</xdr:row>
      <xdr:rowOff>133350</xdr:rowOff>
    </xdr:to>
    <xdr:pic>
      <xdr:nvPicPr>
        <xdr:cNvPr id="1437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67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628</xdr:row>
      <xdr:rowOff>28575</xdr:rowOff>
    </xdr:from>
    <xdr:to>
      <xdr:col>1</xdr:col>
      <xdr:colOff>0</xdr:colOff>
      <xdr:row>628</xdr:row>
      <xdr:rowOff>133350</xdr:rowOff>
    </xdr:to>
    <xdr:pic>
      <xdr:nvPicPr>
        <xdr:cNvPr id="1033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421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629</xdr:row>
      <xdr:rowOff>28575</xdr:rowOff>
    </xdr:from>
    <xdr:to>
      <xdr:col>1</xdr:col>
      <xdr:colOff>0</xdr:colOff>
      <xdr:row>629</xdr:row>
      <xdr:rowOff>133350</xdr:rowOff>
    </xdr:to>
    <xdr:pic>
      <xdr:nvPicPr>
        <xdr:cNvPr id="1052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726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632</xdr:row>
      <xdr:rowOff>28575</xdr:rowOff>
    </xdr:from>
    <xdr:to>
      <xdr:col>1</xdr:col>
      <xdr:colOff>0</xdr:colOff>
      <xdr:row>632</xdr:row>
      <xdr:rowOff>133350</xdr:rowOff>
    </xdr:to>
    <xdr:pic>
      <xdr:nvPicPr>
        <xdr:cNvPr id="1075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83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633</xdr:row>
      <xdr:rowOff>28575</xdr:rowOff>
    </xdr:from>
    <xdr:to>
      <xdr:col>1</xdr:col>
      <xdr:colOff>0</xdr:colOff>
      <xdr:row>633</xdr:row>
      <xdr:rowOff>133350</xdr:rowOff>
    </xdr:to>
    <xdr:pic>
      <xdr:nvPicPr>
        <xdr:cNvPr id="1121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3359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96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968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624</xdr:row>
      <xdr:rowOff>19050</xdr:rowOff>
    </xdr:from>
    <xdr:ext cx="847346" cy="121920"/>
    <xdr:pic>
      <xdr:nvPicPr>
        <xdr:cNvPr id="1007" name="Imagen 100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93211650"/>
          <a:ext cx="847346" cy="121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848" TargetMode="External"/><Relationship Id="rId671" Type="http://schemas.openxmlformats.org/officeDocument/2006/relationships/hyperlink" Target="https://www.jivi.com.ar/ficha.php?id=1466" TargetMode="External"/><Relationship Id="rId21" Type="http://schemas.openxmlformats.org/officeDocument/2006/relationships/hyperlink" Target="https://www.jivi.com.ar/ficha.php?id=102" TargetMode="External"/><Relationship Id="rId324" Type="http://schemas.openxmlformats.org/officeDocument/2006/relationships/hyperlink" Target="https://www.jivi.com.ar/ficha.php?id=1551" TargetMode="External"/><Relationship Id="rId531" Type="http://schemas.openxmlformats.org/officeDocument/2006/relationships/hyperlink" Target="https://www.jivi.com.ar/ficha.php?id=2026" TargetMode="External"/><Relationship Id="rId629" Type="http://schemas.openxmlformats.org/officeDocument/2006/relationships/hyperlink" Target="https://www.jivi.com.ar/ficha.php?id=2281" TargetMode="External"/><Relationship Id="rId170" Type="http://schemas.openxmlformats.org/officeDocument/2006/relationships/hyperlink" Target="https://www.jivi.com.ar/ficha.php?id=1209" TargetMode="External"/><Relationship Id="rId268" Type="http://schemas.openxmlformats.org/officeDocument/2006/relationships/hyperlink" Target="https://www.jivi.com.ar/ficha.php?id=1450" TargetMode="External"/><Relationship Id="rId475" Type="http://schemas.openxmlformats.org/officeDocument/2006/relationships/hyperlink" Target="https://www.jivi.com.ar/ficha.php?id=1804" TargetMode="External"/><Relationship Id="rId32" Type="http://schemas.openxmlformats.org/officeDocument/2006/relationships/hyperlink" Target="https://www.jivi.com.ar/ficha.php?id=112" TargetMode="External"/><Relationship Id="rId128" Type="http://schemas.openxmlformats.org/officeDocument/2006/relationships/hyperlink" Target="https://www.jivi.com.ar/ficha.php?id=948" TargetMode="External"/><Relationship Id="rId335" Type="http://schemas.openxmlformats.org/officeDocument/2006/relationships/hyperlink" Target="https://www.jivi.com.ar/ficha.php?id=1066" TargetMode="External"/><Relationship Id="rId542" Type="http://schemas.openxmlformats.org/officeDocument/2006/relationships/hyperlink" Target="https://www.jivi.com.ar/ficha.php?id=1280" TargetMode="External"/><Relationship Id="rId181" Type="http://schemas.openxmlformats.org/officeDocument/2006/relationships/hyperlink" Target="https://www.jivi.com.ar/ficha.php?id=1232" TargetMode="External"/><Relationship Id="rId402" Type="http://schemas.openxmlformats.org/officeDocument/2006/relationships/hyperlink" Target="https://www.jivi.com.ar/ficha.php?id=1640" TargetMode="External"/><Relationship Id="rId279" Type="http://schemas.openxmlformats.org/officeDocument/2006/relationships/hyperlink" Target="https://www.jivi.com.ar/ficha.php?id=996" TargetMode="External"/><Relationship Id="rId486" Type="http://schemas.openxmlformats.org/officeDocument/2006/relationships/hyperlink" Target="https://www.jivi.com.ar/ficha.php?id=1556" TargetMode="External"/><Relationship Id="rId43" Type="http://schemas.openxmlformats.org/officeDocument/2006/relationships/hyperlink" Target="https://www.jivi.com.ar/ficha.php?id=713" TargetMode="External"/><Relationship Id="rId139" Type="http://schemas.openxmlformats.org/officeDocument/2006/relationships/hyperlink" Target="https://www.jivi.com.ar/ficha.php?id=1025" TargetMode="External"/><Relationship Id="rId346" Type="http://schemas.openxmlformats.org/officeDocument/2006/relationships/hyperlink" Target="https://www.jivi.com.ar/ficha.php?id=1568" TargetMode="External"/><Relationship Id="rId553" Type="http://schemas.openxmlformats.org/officeDocument/2006/relationships/hyperlink" Target="https://www.jivi.com.ar/ficha.php?id=971" TargetMode="External"/><Relationship Id="rId192" Type="http://schemas.openxmlformats.org/officeDocument/2006/relationships/hyperlink" Target="https://www.jivi.com.ar/ficha.php?id=378" TargetMode="External"/><Relationship Id="rId206" Type="http://schemas.openxmlformats.org/officeDocument/2006/relationships/hyperlink" Target="https://www.jivi.com.ar/ficha.php?id=1348" TargetMode="External"/><Relationship Id="rId413" Type="http://schemas.openxmlformats.org/officeDocument/2006/relationships/hyperlink" Target="https://www.jivi.com.ar/ficha.php?id=1691" TargetMode="External"/><Relationship Id="rId497" Type="http://schemas.openxmlformats.org/officeDocument/2006/relationships/hyperlink" Target="https://www.jivi.com.ar/ficha.php?id=1616" TargetMode="External"/><Relationship Id="rId620" Type="http://schemas.openxmlformats.org/officeDocument/2006/relationships/hyperlink" Target="https://www.jivi.com.ar/ficha.php?id=2274" TargetMode="External"/><Relationship Id="rId357" Type="http://schemas.openxmlformats.org/officeDocument/2006/relationships/hyperlink" Target="https://www.jivi.com.ar/ficha.php?id=1249" TargetMode="External"/><Relationship Id="rId54" Type="http://schemas.openxmlformats.org/officeDocument/2006/relationships/hyperlink" Target="https://www.jivi.com.ar/ficha.php?id=121" TargetMode="External"/><Relationship Id="rId217" Type="http://schemas.openxmlformats.org/officeDocument/2006/relationships/hyperlink" Target="https://www.jivi.com.ar/ficha.php?id=1428" TargetMode="External"/><Relationship Id="rId564" Type="http://schemas.openxmlformats.org/officeDocument/2006/relationships/hyperlink" Target="https://www.jivi.com.ar/ficha.php?id=2069" TargetMode="External"/><Relationship Id="rId424" Type="http://schemas.openxmlformats.org/officeDocument/2006/relationships/hyperlink" Target="https://www.jivi.com.ar/ficha.php?id=977" TargetMode="External"/><Relationship Id="rId631" Type="http://schemas.openxmlformats.org/officeDocument/2006/relationships/hyperlink" Target="https://www.jivi.com.ar/ficha.php?id=2286" TargetMode="External"/><Relationship Id="rId270" Type="http://schemas.openxmlformats.org/officeDocument/2006/relationships/hyperlink" Target="https://www.jivi.com.ar/ficha.php?id=1323" TargetMode="External"/><Relationship Id="rId65" Type="http://schemas.openxmlformats.org/officeDocument/2006/relationships/hyperlink" Target="https://www.jivi.com.ar/ficha.php?id=548" TargetMode="External"/><Relationship Id="rId130" Type="http://schemas.openxmlformats.org/officeDocument/2006/relationships/hyperlink" Target="https://www.jivi.com.ar/ficha.php?id=955" TargetMode="External"/><Relationship Id="rId368" Type="http://schemas.openxmlformats.org/officeDocument/2006/relationships/hyperlink" Target="https://www.jivi.com.ar/ficha.php?id=1591" TargetMode="External"/><Relationship Id="rId575" Type="http://schemas.openxmlformats.org/officeDocument/2006/relationships/hyperlink" Target="https://www.jivi.com.ar/ficha.php?id=1513" TargetMode="External"/><Relationship Id="rId228" Type="http://schemas.openxmlformats.org/officeDocument/2006/relationships/hyperlink" Target="https://www.jivi.com.ar/ficha.php?id=1400" TargetMode="External"/><Relationship Id="rId435" Type="http://schemas.openxmlformats.org/officeDocument/2006/relationships/hyperlink" Target="https://www.jivi.com.ar/ficha.php?id=1730" TargetMode="External"/><Relationship Id="rId642" Type="http://schemas.openxmlformats.org/officeDocument/2006/relationships/hyperlink" Target="https://www.jivi.com.ar/ficha.php?id=2297" TargetMode="External"/><Relationship Id="rId281" Type="http://schemas.openxmlformats.org/officeDocument/2006/relationships/hyperlink" Target="https://www.jivi.com.ar/ficha.php?id=1478" TargetMode="External"/><Relationship Id="rId502" Type="http://schemas.openxmlformats.org/officeDocument/2006/relationships/hyperlink" Target="https://www.jivi.com.ar/ficha.php?id=1733" TargetMode="External"/><Relationship Id="rId76" Type="http://schemas.openxmlformats.org/officeDocument/2006/relationships/hyperlink" Target="https://www.jivi.com.ar/ficha.php?id=393" TargetMode="External"/><Relationship Id="rId141" Type="http://schemas.openxmlformats.org/officeDocument/2006/relationships/hyperlink" Target="https://www.jivi.com.ar/ficha.php?id=1049" TargetMode="External"/><Relationship Id="rId379" Type="http://schemas.openxmlformats.org/officeDocument/2006/relationships/hyperlink" Target="https://www.jivi.com.ar/ficha.php?id=1424" TargetMode="External"/><Relationship Id="rId586" Type="http://schemas.openxmlformats.org/officeDocument/2006/relationships/hyperlink" Target="https://www.jivi.com.ar/ficha.php?id=2224" TargetMode="External"/><Relationship Id="rId7" Type="http://schemas.openxmlformats.org/officeDocument/2006/relationships/hyperlink" Target="https://www.jivi.com.ar/ficha.php?id=724" TargetMode="External"/><Relationship Id="rId239" Type="http://schemas.openxmlformats.org/officeDocument/2006/relationships/hyperlink" Target="https://www.jivi.com.ar/ficha.php?id=1413" TargetMode="External"/><Relationship Id="rId446" Type="http://schemas.openxmlformats.org/officeDocument/2006/relationships/hyperlink" Target="https://www.jivi.com.ar/ficha.php?id=1748" TargetMode="External"/><Relationship Id="rId653" Type="http://schemas.openxmlformats.org/officeDocument/2006/relationships/hyperlink" Target="https://www.jivi.com.ar/ficha.php?id=2312" TargetMode="External"/><Relationship Id="rId292" Type="http://schemas.openxmlformats.org/officeDocument/2006/relationships/hyperlink" Target="https://www.jivi.com.ar/ficha.php?id=1496" TargetMode="External"/><Relationship Id="rId306" Type="http://schemas.openxmlformats.org/officeDocument/2006/relationships/hyperlink" Target="https://www.jivi.com.ar/ficha.php?id=1516" TargetMode="External"/><Relationship Id="rId87" Type="http://schemas.openxmlformats.org/officeDocument/2006/relationships/hyperlink" Target="https://www.jivi.com.ar/ficha.php?id=158" TargetMode="External"/><Relationship Id="rId513" Type="http://schemas.openxmlformats.org/officeDocument/2006/relationships/hyperlink" Target="https://www.jivi.com.ar/ficha.php?id=1386" TargetMode="External"/><Relationship Id="rId597" Type="http://schemas.openxmlformats.org/officeDocument/2006/relationships/hyperlink" Target="https://www.jivi.com.ar/ficha.php?id=2226" TargetMode="External"/><Relationship Id="rId152" Type="http://schemas.openxmlformats.org/officeDocument/2006/relationships/hyperlink" Target="https://www.jivi.com.ar/ficha.php?id=1120" TargetMode="External"/><Relationship Id="rId457" Type="http://schemas.openxmlformats.org/officeDocument/2006/relationships/hyperlink" Target="https://www.jivi.com.ar/ficha.php?id=2202" TargetMode="External"/><Relationship Id="rId664" Type="http://schemas.openxmlformats.org/officeDocument/2006/relationships/hyperlink" Target="https://www.jivi.com.ar/ficha.php?id=2343" TargetMode="External"/><Relationship Id="rId14" Type="http://schemas.openxmlformats.org/officeDocument/2006/relationships/hyperlink" Target="https://www.jivi.com.ar/ficha.php?id=92" TargetMode="External"/><Relationship Id="rId317" Type="http://schemas.openxmlformats.org/officeDocument/2006/relationships/hyperlink" Target="https://www.jivi.com.ar/ficha.php?id=1541" TargetMode="External"/><Relationship Id="rId524" Type="http://schemas.openxmlformats.org/officeDocument/2006/relationships/hyperlink" Target="https://www.jivi.com.ar/ficha.php?id=2010" TargetMode="External"/><Relationship Id="rId98" Type="http://schemas.openxmlformats.org/officeDocument/2006/relationships/hyperlink" Target="http://whttps/www.jivi.com.ar/ficha.php?id=253" TargetMode="External"/><Relationship Id="rId163" Type="http://schemas.openxmlformats.org/officeDocument/2006/relationships/hyperlink" Target="https://www.jivi.com.ar/ficha.php?id=915" TargetMode="External"/><Relationship Id="rId370" Type="http://schemas.openxmlformats.org/officeDocument/2006/relationships/hyperlink" Target="https://www.jivi.com.ar/ficha.php?id=1593" TargetMode="External"/><Relationship Id="rId230" Type="http://schemas.openxmlformats.org/officeDocument/2006/relationships/hyperlink" Target="https://www.jivi.com.ar/ficha.php?id=1392" TargetMode="External"/><Relationship Id="rId468" Type="http://schemas.openxmlformats.org/officeDocument/2006/relationships/hyperlink" Target="https://www.jivi.com.ar/ficha.php?id=1186" TargetMode="External"/><Relationship Id="rId675" Type="http://schemas.openxmlformats.org/officeDocument/2006/relationships/printerSettings" Target="../printerSettings/printerSettings1.bin"/><Relationship Id="rId25" Type="http://schemas.openxmlformats.org/officeDocument/2006/relationships/hyperlink" Target="https://www.jivi.com.ar/ficha.php?id=106" TargetMode="External"/><Relationship Id="rId328" Type="http://schemas.openxmlformats.org/officeDocument/2006/relationships/hyperlink" Target="https://www.jivi.com.ar/ficha.php?id=1554" TargetMode="External"/><Relationship Id="rId535" Type="http://schemas.openxmlformats.org/officeDocument/2006/relationships/hyperlink" Target="https://www.jivi.com.ar/ficha.php?id=2040" TargetMode="External"/><Relationship Id="rId174" Type="http://schemas.openxmlformats.org/officeDocument/2006/relationships/hyperlink" Target="https://www.jivi.com.ar/ficha.php?id=1222" TargetMode="External"/><Relationship Id="rId381" Type="http://schemas.openxmlformats.org/officeDocument/2006/relationships/hyperlink" Target="https://www.jivi.com.ar/ficha.php?id=1459" TargetMode="External"/><Relationship Id="rId602" Type="http://schemas.openxmlformats.org/officeDocument/2006/relationships/hyperlink" Target="https://www.jivi.com.ar/ficha.php?id=2208" TargetMode="External"/><Relationship Id="rId241" Type="http://schemas.openxmlformats.org/officeDocument/2006/relationships/hyperlink" Target="https://www.jivi.com.ar/ficha.php?id=1356" TargetMode="External"/><Relationship Id="rId479" Type="http://schemas.openxmlformats.org/officeDocument/2006/relationships/hyperlink" Target="https://www.jivi.com.ar/ficha.php?id=1377" TargetMode="External"/><Relationship Id="rId36" Type="http://schemas.openxmlformats.org/officeDocument/2006/relationships/hyperlink" Target="https://www.jivi.com.ar/ficha.php?id=117" TargetMode="External"/><Relationship Id="rId339" Type="http://schemas.openxmlformats.org/officeDocument/2006/relationships/hyperlink" Target="https://www.jivi.com.ar/ficha.php?id=790" TargetMode="External"/><Relationship Id="rId546" Type="http://schemas.openxmlformats.org/officeDocument/2006/relationships/hyperlink" Target="https://www.jivi.com.ar/articulos.php?search=1066" TargetMode="External"/><Relationship Id="rId101" Type="http://schemas.openxmlformats.org/officeDocument/2006/relationships/hyperlink" Target="https://www.jivi.com.ar/ficha.php?id=220" TargetMode="External"/><Relationship Id="rId185" Type="http://schemas.openxmlformats.org/officeDocument/2006/relationships/hyperlink" Target="https://www.jivi.com.ar/ficha.php?id=1248" TargetMode="External"/><Relationship Id="rId406" Type="http://schemas.openxmlformats.org/officeDocument/2006/relationships/hyperlink" Target="https://www.jivi.com.ar/ficha.php?id=1666" TargetMode="External"/><Relationship Id="rId392" Type="http://schemas.openxmlformats.org/officeDocument/2006/relationships/hyperlink" Target="https://www.jivi.com.ar/ficha.php?id=1620" TargetMode="External"/><Relationship Id="rId613" Type="http://schemas.openxmlformats.org/officeDocument/2006/relationships/hyperlink" Target="https://www.jivi.com.ar/ficha.php?id=1251" TargetMode="External"/><Relationship Id="rId252" Type="http://schemas.openxmlformats.org/officeDocument/2006/relationships/hyperlink" Target="https://www.jivi.com.ar/ficha.php?id=1426" TargetMode="External"/><Relationship Id="rId47" Type="http://schemas.openxmlformats.org/officeDocument/2006/relationships/hyperlink" Target="https://www.jivi.com.ar/ficha.php?id=406" TargetMode="External"/><Relationship Id="rId112" Type="http://schemas.openxmlformats.org/officeDocument/2006/relationships/hyperlink" Target="https://www.jivi.com.ar/ficha.php?id=707" TargetMode="External"/><Relationship Id="rId557" Type="http://schemas.openxmlformats.org/officeDocument/2006/relationships/hyperlink" Target="https://www.jivi.com.ar/ficha.php?id=2062" TargetMode="External"/><Relationship Id="rId196" Type="http://schemas.openxmlformats.org/officeDocument/2006/relationships/hyperlink" Target="https://www.jivi.com.ar/ficha.php?id=1305" TargetMode="External"/><Relationship Id="rId417" Type="http://schemas.openxmlformats.org/officeDocument/2006/relationships/hyperlink" Target="https://www.jivi.com.ar/ficha.php?id=1698" TargetMode="External"/><Relationship Id="rId624" Type="http://schemas.openxmlformats.org/officeDocument/2006/relationships/hyperlink" Target="https://www.jivi.com.ar/ficha.php?id=2276" TargetMode="External"/><Relationship Id="rId263" Type="http://schemas.openxmlformats.org/officeDocument/2006/relationships/hyperlink" Target="https://www.jivi.com.ar/ficha.php?id=1334" TargetMode="External"/><Relationship Id="rId470" Type="http://schemas.openxmlformats.org/officeDocument/2006/relationships/hyperlink" Target="https://www.jivi.com.ar/ficha.php?id=1791" TargetMode="External"/><Relationship Id="rId58" Type="http://schemas.openxmlformats.org/officeDocument/2006/relationships/hyperlink" Target="https://www.jivi.com.ar/ficha.php?id=125" TargetMode="External"/><Relationship Id="rId123" Type="http://schemas.openxmlformats.org/officeDocument/2006/relationships/hyperlink" Target="https://www.jivi.com.ar/ficha.php?id=886" TargetMode="External"/><Relationship Id="rId330" Type="http://schemas.openxmlformats.org/officeDocument/2006/relationships/hyperlink" Target="https://www.jivi.com.ar/ficha.php?id=1557" TargetMode="External"/><Relationship Id="rId568" Type="http://schemas.openxmlformats.org/officeDocument/2006/relationships/hyperlink" Target="https://www.jivi.com.ar/ficha.php?id=2084" TargetMode="External"/><Relationship Id="rId428" Type="http://schemas.openxmlformats.org/officeDocument/2006/relationships/hyperlink" Target="https://www.jivi.com.ar/ficha.php?id=1708" TargetMode="External"/><Relationship Id="rId635" Type="http://schemas.openxmlformats.org/officeDocument/2006/relationships/hyperlink" Target="https://www.jivi.com.ar/ficha.php?id=2290" TargetMode="External"/><Relationship Id="rId274" Type="http://schemas.openxmlformats.org/officeDocument/2006/relationships/hyperlink" Target="https://www.jivi.com.ar/ficha.php?id=1467" TargetMode="External"/><Relationship Id="rId481" Type="http://schemas.openxmlformats.org/officeDocument/2006/relationships/hyperlink" Target="https://www.jivi.com.ar/ficha.php?id=1131" TargetMode="External"/><Relationship Id="rId69" Type="http://schemas.openxmlformats.org/officeDocument/2006/relationships/hyperlink" Target="https://www.jivi.com.ar/ficha.php?id=134" TargetMode="External"/><Relationship Id="rId134" Type="http://schemas.openxmlformats.org/officeDocument/2006/relationships/hyperlink" Target="https://www.jivi.com.ar/ficha.php?id=850" TargetMode="External"/><Relationship Id="rId579" Type="http://schemas.openxmlformats.org/officeDocument/2006/relationships/hyperlink" Target="https://www.jivi.com.ar/ficha.php?id=2146" TargetMode="External"/><Relationship Id="rId341" Type="http://schemas.openxmlformats.org/officeDocument/2006/relationships/hyperlink" Target="https://www.jivi.com.ar/ficha.php?id=1409" TargetMode="External"/><Relationship Id="rId439" Type="http://schemas.openxmlformats.org/officeDocument/2006/relationships/hyperlink" Target="https://www.jivi.com.ar/ficha.php?id=1740" TargetMode="External"/><Relationship Id="rId646" Type="http://schemas.openxmlformats.org/officeDocument/2006/relationships/hyperlink" Target="https://www.jivi.com.ar/ficha.php?id=2301" TargetMode="External"/><Relationship Id="rId201" Type="http://schemas.openxmlformats.org/officeDocument/2006/relationships/hyperlink" Target="https://www.jivi.com.ar/ficha.php?id=1336" TargetMode="External"/><Relationship Id="rId285" Type="http://schemas.openxmlformats.org/officeDocument/2006/relationships/hyperlink" Target="https://www.jivi.com.ar/ficha.php?id=1483" TargetMode="External"/><Relationship Id="rId506" Type="http://schemas.openxmlformats.org/officeDocument/2006/relationships/hyperlink" Target="https://www.jivi.com.ar/ficha.php?id=1840" TargetMode="External"/><Relationship Id="rId38" Type="http://schemas.openxmlformats.org/officeDocument/2006/relationships/hyperlink" Target="https://www.jivi.com.ar/ficha.php?id=400" TargetMode="External"/><Relationship Id="rId103" Type="http://schemas.openxmlformats.org/officeDocument/2006/relationships/hyperlink" Target="https://www.jivi.com.ar/ficha.php?id=398" TargetMode="External"/><Relationship Id="rId310" Type="http://schemas.openxmlformats.org/officeDocument/2006/relationships/hyperlink" Target="https://www.jivi.com.ar/ficha.php?id=1527" TargetMode="External"/><Relationship Id="rId492" Type="http://schemas.openxmlformats.org/officeDocument/2006/relationships/hyperlink" Target="https://www.jivi.com.ar/ficha.php?id=1799" TargetMode="External"/><Relationship Id="rId548" Type="http://schemas.openxmlformats.org/officeDocument/2006/relationships/hyperlink" Target="https://www.jivi.com.ar/ficha.php?id=1416" TargetMode="External"/><Relationship Id="rId91" Type="http://schemas.openxmlformats.org/officeDocument/2006/relationships/hyperlink" Target="https://www.jivi.com.ar/ficha.php?id=246" TargetMode="External"/><Relationship Id="rId145" Type="http://schemas.openxmlformats.org/officeDocument/2006/relationships/hyperlink" Target="https://www.jivi.com.ar/ficha.php?id=297" TargetMode="External"/><Relationship Id="rId187" Type="http://schemas.openxmlformats.org/officeDocument/2006/relationships/hyperlink" Target="https://www.jivi.com.ar/ficha.php?id=1124" TargetMode="External"/><Relationship Id="rId352" Type="http://schemas.openxmlformats.org/officeDocument/2006/relationships/hyperlink" Target="https://www.jivi.com.ar/ficha.php?id=1573" TargetMode="External"/><Relationship Id="rId394" Type="http://schemas.openxmlformats.org/officeDocument/2006/relationships/hyperlink" Target="https://www.jivi.com.ar/ficha.php?id=1621" TargetMode="External"/><Relationship Id="rId408" Type="http://schemas.openxmlformats.org/officeDocument/2006/relationships/hyperlink" Target="https://www.jivi.com.ar/ficha.php?id=1684" TargetMode="External"/><Relationship Id="rId615" Type="http://schemas.openxmlformats.org/officeDocument/2006/relationships/hyperlink" Target="https://www.jivi.com.ar/ficha.php?id=2268" TargetMode="External"/><Relationship Id="rId212" Type="http://schemas.openxmlformats.org/officeDocument/2006/relationships/hyperlink" Target="https://www.jivi.com.ar/ficha.php?id=1372" TargetMode="External"/><Relationship Id="rId254" Type="http://schemas.openxmlformats.org/officeDocument/2006/relationships/hyperlink" Target="https://www.jivi.com.ar/ficha.php?id=1432" TargetMode="External"/><Relationship Id="rId657" Type="http://schemas.openxmlformats.org/officeDocument/2006/relationships/hyperlink" Target="https://jivi.com.ar/ficha.php?id=648" TargetMode="External"/><Relationship Id="rId49" Type="http://schemas.openxmlformats.org/officeDocument/2006/relationships/hyperlink" Target="https://www.jivi.com.ar/ficha.php?id=408" TargetMode="External"/><Relationship Id="rId114" Type="http://schemas.openxmlformats.org/officeDocument/2006/relationships/hyperlink" Target="https://www.jivi.com.ar/ficha.php?id=709" TargetMode="External"/><Relationship Id="rId296" Type="http://schemas.openxmlformats.org/officeDocument/2006/relationships/hyperlink" Target="https://www.jivi.com.ar/ficha.php?id=1500" TargetMode="External"/><Relationship Id="rId461" Type="http://schemas.openxmlformats.org/officeDocument/2006/relationships/hyperlink" Target="https://www.jivi.com.ar/ficha.php?id=1737" TargetMode="External"/><Relationship Id="rId517" Type="http://schemas.openxmlformats.org/officeDocument/2006/relationships/hyperlink" Target="https://www.jivi.com.ar/ficha.php?id=1601" TargetMode="External"/><Relationship Id="rId559" Type="http://schemas.openxmlformats.org/officeDocument/2006/relationships/hyperlink" Target="https://www.jivi.com.ar/ficha.php?id=1391" TargetMode="External"/><Relationship Id="rId60" Type="http://schemas.openxmlformats.org/officeDocument/2006/relationships/hyperlink" Target="https://www.jivi.com.ar/ficha.php?id=4" TargetMode="External"/><Relationship Id="rId156" Type="http://schemas.openxmlformats.org/officeDocument/2006/relationships/hyperlink" Target="hhttps://www.jivi.com.ar/ficha.php?id=1155" TargetMode="External"/><Relationship Id="rId198" Type="http://schemas.openxmlformats.org/officeDocument/2006/relationships/hyperlink" Target="https://www.jivi.com.ar/ficha.php?id=1287" TargetMode="External"/><Relationship Id="rId321" Type="http://schemas.openxmlformats.org/officeDocument/2006/relationships/hyperlink" Target="https://www.jivi.com.ar/ficha.php?id=981" TargetMode="External"/><Relationship Id="rId363" Type="http://schemas.openxmlformats.org/officeDocument/2006/relationships/hyperlink" Target="https://www.jivi.com.ar/ficha.php?id=1584" TargetMode="External"/><Relationship Id="rId419" Type="http://schemas.openxmlformats.org/officeDocument/2006/relationships/hyperlink" Target="https://www.jivi.com.ar/ficha.php?id=1510" TargetMode="External"/><Relationship Id="rId570" Type="http://schemas.openxmlformats.org/officeDocument/2006/relationships/hyperlink" Target="https://www.jivi.com.ar/ficha.php?id=333" TargetMode="External"/><Relationship Id="rId626" Type="http://schemas.openxmlformats.org/officeDocument/2006/relationships/hyperlink" Target="https://www.jivi.com.ar/ficha.php?id=2277" TargetMode="External"/><Relationship Id="rId223" Type="http://schemas.openxmlformats.org/officeDocument/2006/relationships/hyperlink" Target="https://www.jivi.com.ar/ficha.php?id=1343" TargetMode="External"/><Relationship Id="rId430" Type="http://schemas.openxmlformats.org/officeDocument/2006/relationships/hyperlink" Target="https://www.jivi.com.ar/ficha.php?id=1723" TargetMode="External"/><Relationship Id="rId668" Type="http://schemas.openxmlformats.org/officeDocument/2006/relationships/hyperlink" Target="https://www.jivi.com.ar/ficha.php?id=2350" TargetMode="External"/><Relationship Id="rId18" Type="http://schemas.openxmlformats.org/officeDocument/2006/relationships/hyperlink" Target="https://www.jivi.com.ar/ficha.php?id=99" TargetMode="External"/><Relationship Id="rId265" Type="http://schemas.openxmlformats.org/officeDocument/2006/relationships/hyperlink" Target="https://www.jivi.com.ar/ficha.php?id=1446" TargetMode="External"/><Relationship Id="rId472" Type="http://schemas.openxmlformats.org/officeDocument/2006/relationships/hyperlink" Target="https://www.jivi.com.ar/ficha.php?id=1087" TargetMode="External"/><Relationship Id="rId528" Type="http://schemas.openxmlformats.org/officeDocument/2006/relationships/hyperlink" Target="https://www.jivi.com.ar/ficha.php?id=2017" TargetMode="External"/><Relationship Id="rId125" Type="http://schemas.openxmlformats.org/officeDocument/2006/relationships/hyperlink" Target="https://www.jivi.com.ar/ficha.php?id=926" TargetMode="External"/><Relationship Id="rId167" Type="http://schemas.openxmlformats.org/officeDocument/2006/relationships/hyperlink" Target="https://www.jivi.com.ar/ficha.php?id=349" TargetMode="External"/><Relationship Id="rId332" Type="http://schemas.openxmlformats.org/officeDocument/2006/relationships/hyperlink" Target="https://www.jivi.com.ar/ficha.php?id=518" TargetMode="External"/><Relationship Id="rId374" Type="http://schemas.openxmlformats.org/officeDocument/2006/relationships/hyperlink" Target="https://www.jivi.com.ar/ficha.php?id=1602" TargetMode="External"/><Relationship Id="rId581" Type="http://schemas.openxmlformats.org/officeDocument/2006/relationships/hyperlink" Target="https://www.jivi.com.ar/ficha.php?id=2169" TargetMode="External"/><Relationship Id="rId71" Type="http://schemas.openxmlformats.org/officeDocument/2006/relationships/hyperlink" Target="https://www.jivi.com.ar/ficha.php?id=145" TargetMode="External"/><Relationship Id="rId234" Type="http://schemas.openxmlformats.org/officeDocument/2006/relationships/hyperlink" Target="https://www.jivi.com.ar/ficha.php?id=477" TargetMode="External"/><Relationship Id="rId637" Type="http://schemas.openxmlformats.org/officeDocument/2006/relationships/hyperlink" Target="https://www.jivi.com.ar/ficha.php?id=2055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10" TargetMode="External"/><Relationship Id="rId276" Type="http://schemas.openxmlformats.org/officeDocument/2006/relationships/hyperlink" Target="https://www.jivi.com.ar/ficha.php?id=1472" TargetMode="External"/><Relationship Id="rId441" Type="http://schemas.openxmlformats.org/officeDocument/2006/relationships/hyperlink" Target="https://www.jivi.com.ar/ficha.php?id=1743" TargetMode="External"/><Relationship Id="rId483" Type="http://schemas.openxmlformats.org/officeDocument/2006/relationships/hyperlink" Target="https://www.jivi.com.ar/ficha.php?id=1820" TargetMode="External"/><Relationship Id="rId539" Type="http://schemas.openxmlformats.org/officeDocument/2006/relationships/hyperlink" Target="https://www.jivi.com.ar/ficha.php?id=249" TargetMode="External"/><Relationship Id="rId40" Type="http://schemas.openxmlformats.org/officeDocument/2006/relationships/hyperlink" Target="https://www.jivi.com.ar/ficha.php?id=402" TargetMode="External"/><Relationship Id="rId136" Type="http://schemas.openxmlformats.org/officeDocument/2006/relationships/hyperlink" Target="https://www.jivi.com.ar/ficha.php?id=250" TargetMode="External"/><Relationship Id="rId178" Type="http://schemas.openxmlformats.org/officeDocument/2006/relationships/hyperlink" Target="https://www.jivi.com.ar/ficha.php?id=1225" TargetMode="External"/><Relationship Id="rId301" Type="http://schemas.openxmlformats.org/officeDocument/2006/relationships/hyperlink" Target="https://www.jivi.com.ar/ficha.php?id=1507" TargetMode="External"/><Relationship Id="rId343" Type="http://schemas.openxmlformats.org/officeDocument/2006/relationships/hyperlink" Target="https://www.jivi.com.ar/ficha.php?id=1564" TargetMode="External"/><Relationship Id="rId550" Type="http://schemas.openxmlformats.org/officeDocument/2006/relationships/hyperlink" Target="https://www.jivi.com.ar/ficha.php?id=2052" TargetMode="External"/><Relationship Id="rId82" Type="http://schemas.openxmlformats.org/officeDocument/2006/relationships/hyperlink" Target="https://www.jivi.com.ar/ficha.php?id=166" TargetMode="External"/><Relationship Id="rId203" Type="http://schemas.openxmlformats.org/officeDocument/2006/relationships/hyperlink" Target="https://www.jivi.com.ar/ficha.php?id=1333" TargetMode="External"/><Relationship Id="rId385" Type="http://schemas.openxmlformats.org/officeDocument/2006/relationships/hyperlink" Target="https://www.jivi.com.ar/ficha.php?id=1611" TargetMode="External"/><Relationship Id="rId592" Type="http://schemas.openxmlformats.org/officeDocument/2006/relationships/hyperlink" Target="https://www.jivi.com.ar/ficha.php?id=2227" TargetMode="External"/><Relationship Id="rId606" Type="http://schemas.openxmlformats.org/officeDocument/2006/relationships/hyperlink" Target="https://www.jivi.com.ar/ficha.php?id=2212" TargetMode="External"/><Relationship Id="rId648" Type="http://schemas.openxmlformats.org/officeDocument/2006/relationships/hyperlink" Target="https://www.jivi.com.ar/ficha.php?id=1319" TargetMode="External"/><Relationship Id="rId245" Type="http://schemas.openxmlformats.org/officeDocument/2006/relationships/hyperlink" Target="https://www.jivi.com.ar/ficha.php?id=1418" TargetMode="External"/><Relationship Id="rId287" Type="http://schemas.openxmlformats.org/officeDocument/2006/relationships/hyperlink" Target="https://www.jivi.com.ar/ficha.php?id=1488" TargetMode="External"/><Relationship Id="rId410" Type="http://schemas.openxmlformats.org/officeDocument/2006/relationships/hyperlink" Target="https://www.jivi.com.ar/ficha.php?id=1687" TargetMode="External"/><Relationship Id="rId452" Type="http://schemas.openxmlformats.org/officeDocument/2006/relationships/hyperlink" Target="https://www.jivi.com.ar/ficha.php?id=1776" TargetMode="External"/><Relationship Id="rId494" Type="http://schemas.openxmlformats.org/officeDocument/2006/relationships/hyperlink" Target="https://www.jivi.com.ar/ficha.php?id=666" TargetMode="External"/><Relationship Id="rId508" Type="http://schemas.openxmlformats.org/officeDocument/2006/relationships/hyperlink" Target="https://www.jivi.com.ar/ficha.php?id=1886" TargetMode="External"/><Relationship Id="rId105" Type="http://schemas.openxmlformats.org/officeDocument/2006/relationships/hyperlink" Target="https://www.jivi.com.ar/ficha.php?id=566" TargetMode="External"/><Relationship Id="rId147" Type="http://schemas.openxmlformats.org/officeDocument/2006/relationships/hyperlink" Target="https://www.jivi.com.ar/ficha.php?id=1098" TargetMode="External"/><Relationship Id="rId312" Type="http://schemas.openxmlformats.org/officeDocument/2006/relationships/hyperlink" Target="https://www.jivi.com.ar/ficha.php?id=1534" TargetMode="External"/><Relationship Id="rId354" Type="http://schemas.openxmlformats.org/officeDocument/2006/relationships/hyperlink" Target="https://www.jivi.com.ar/ficha.php?id=1271" TargetMode="External"/><Relationship Id="rId51" Type="http://schemas.openxmlformats.org/officeDocument/2006/relationships/hyperlink" Target="https://www.jivi.com.ar/ficha.php?id=118" TargetMode="External"/><Relationship Id="rId93" Type="http://schemas.openxmlformats.org/officeDocument/2006/relationships/hyperlink" Target="https://www.jivi.com.ar/ficha.php?id=728" TargetMode="External"/><Relationship Id="rId189" Type="http://schemas.openxmlformats.org/officeDocument/2006/relationships/hyperlink" Target="https://www.jivi.com.ar/ficha.php?id=1268" TargetMode="External"/><Relationship Id="rId396" Type="http://schemas.openxmlformats.org/officeDocument/2006/relationships/hyperlink" Target="https://www.jivi.com.ar/ficha.php?id=1635" TargetMode="External"/><Relationship Id="rId561" Type="http://schemas.openxmlformats.org/officeDocument/2006/relationships/hyperlink" Target="https://www.jivi.com.ar/ficha.php?id=2067" TargetMode="External"/><Relationship Id="rId617" Type="http://schemas.openxmlformats.org/officeDocument/2006/relationships/hyperlink" Target="https://www.jivi.com.ar/ficha.php?id=2270" TargetMode="External"/><Relationship Id="rId659" Type="http://schemas.openxmlformats.org/officeDocument/2006/relationships/hyperlink" Target="https://www.jivi.com.ar/ficha.php?id=2328" TargetMode="External"/><Relationship Id="rId214" Type="http://schemas.openxmlformats.org/officeDocument/2006/relationships/hyperlink" Target="https://www.jivi.com.ar/ficha.php?id=1382" TargetMode="External"/><Relationship Id="rId256" Type="http://schemas.openxmlformats.org/officeDocument/2006/relationships/hyperlink" Target="https://www.jivi.com.ar/ficha.php?id=1437" TargetMode="External"/><Relationship Id="rId298" Type="http://schemas.openxmlformats.org/officeDocument/2006/relationships/hyperlink" Target="https://www.jivi.com.ar/ficha.php?id=1504" TargetMode="External"/><Relationship Id="rId421" Type="http://schemas.openxmlformats.org/officeDocument/2006/relationships/hyperlink" Target="https://www.jivi.com.ar/ficha.php?id=1531" TargetMode="External"/><Relationship Id="rId463" Type="http://schemas.openxmlformats.org/officeDocument/2006/relationships/hyperlink" Target="https://www.jivi.com.ar/ficha.php?id=1293" TargetMode="External"/><Relationship Id="rId519" Type="http://schemas.openxmlformats.org/officeDocument/2006/relationships/hyperlink" Target="https://www.jivi.com.ar/ficha.php?id=1245" TargetMode="External"/><Relationship Id="rId670" Type="http://schemas.openxmlformats.org/officeDocument/2006/relationships/hyperlink" Target="https://www.jivi.com.ar/ficha.php?id=150" TargetMode="External"/><Relationship Id="rId116" Type="http://schemas.openxmlformats.org/officeDocument/2006/relationships/hyperlink" Target="https://www.jivi.com.ar/ficha.php?id=846" TargetMode="External"/><Relationship Id="rId158" Type="http://schemas.openxmlformats.org/officeDocument/2006/relationships/hyperlink" Target="https://www.jivi.com.ar/ficha.php?id=1168" TargetMode="External"/><Relationship Id="rId323" Type="http://schemas.openxmlformats.org/officeDocument/2006/relationships/hyperlink" Target="https://www.jivi.com.ar/ficha.php?id=1549" TargetMode="External"/><Relationship Id="rId530" Type="http://schemas.openxmlformats.org/officeDocument/2006/relationships/hyperlink" Target="https://www.jivi.com.ar/ficha.php?id=1339" TargetMode="External"/><Relationship Id="rId20" Type="http://schemas.openxmlformats.org/officeDocument/2006/relationships/hyperlink" Target="https://www.jivi.com.ar/ficha.php?id=101" TargetMode="External"/><Relationship Id="rId62" Type="http://schemas.openxmlformats.org/officeDocument/2006/relationships/hyperlink" Target="https://www.jivi.com.ar/ficha.php?id=209" TargetMode="External"/><Relationship Id="rId365" Type="http://schemas.openxmlformats.org/officeDocument/2006/relationships/hyperlink" Target="https://www.jivi.com.ar/ficha.php?id=1221" TargetMode="External"/><Relationship Id="rId572" Type="http://schemas.openxmlformats.org/officeDocument/2006/relationships/hyperlink" Target="https://www.jivi.com.ar/ficha.php?id=1299" TargetMode="External"/><Relationship Id="rId628" Type="http://schemas.openxmlformats.org/officeDocument/2006/relationships/hyperlink" Target="https://www.jivi.com.ar/ficha.php?id=2279" TargetMode="External"/><Relationship Id="rId225" Type="http://schemas.openxmlformats.org/officeDocument/2006/relationships/hyperlink" Target="https://www.jivi.com.ar/ficha.php?id=872" TargetMode="External"/><Relationship Id="rId267" Type="http://schemas.openxmlformats.org/officeDocument/2006/relationships/hyperlink" Target="https://www.jivi.com.ar/ficha.php?id=1448" TargetMode="External"/><Relationship Id="rId432" Type="http://schemas.openxmlformats.org/officeDocument/2006/relationships/hyperlink" Target="https://www.jivi.com.ar/ficha.php?id=1727" TargetMode="External"/><Relationship Id="rId474" Type="http://schemas.openxmlformats.org/officeDocument/2006/relationships/hyperlink" Target="https://www.jivi.com.ar/ficha.php?id=1451" TargetMode="External"/><Relationship Id="rId127" Type="http://schemas.openxmlformats.org/officeDocument/2006/relationships/hyperlink" Target="https://www.jivi.com.ar/ficha.php?id=247" TargetMode="External"/><Relationship Id="rId31" Type="http://schemas.openxmlformats.org/officeDocument/2006/relationships/hyperlink" Target="https://www.jivi.com.ar/ficha.php?id=113" TargetMode="External"/><Relationship Id="rId73" Type="http://schemas.openxmlformats.org/officeDocument/2006/relationships/hyperlink" Target="https://www.jivi.com.ar/ficha.php?id=19" TargetMode="External"/><Relationship Id="rId169" Type="http://schemas.openxmlformats.org/officeDocument/2006/relationships/hyperlink" Target="https://www.jivi.com.ar/ficha.php?id=1181" TargetMode="External"/><Relationship Id="rId334" Type="http://schemas.openxmlformats.org/officeDocument/2006/relationships/hyperlink" Target="https://www.jivi.com.ar/ficha.php?id=26" TargetMode="External"/><Relationship Id="rId376" Type="http://schemas.openxmlformats.org/officeDocument/2006/relationships/hyperlink" Target="https://www.jivi.com.ar/ficha.php?id=1701" TargetMode="External"/><Relationship Id="rId541" Type="http://schemas.openxmlformats.org/officeDocument/2006/relationships/hyperlink" Target="https://www.jivi.com.ar/ficha.php?id=1390" TargetMode="External"/><Relationship Id="rId583" Type="http://schemas.openxmlformats.org/officeDocument/2006/relationships/hyperlink" Target="https://www.jivi.com.ar/ficha.php?id=2171" TargetMode="External"/><Relationship Id="rId639" Type="http://schemas.openxmlformats.org/officeDocument/2006/relationships/hyperlink" Target="https://www.jivi.com.ar/ficha.php?id=2294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919" TargetMode="External"/><Relationship Id="rId236" Type="http://schemas.openxmlformats.org/officeDocument/2006/relationships/hyperlink" Target="https://www.jivi.com.ar/ficha.php?id=1402" TargetMode="External"/><Relationship Id="rId278" Type="http://schemas.openxmlformats.org/officeDocument/2006/relationships/hyperlink" Target="https://www.jivi.com.ar/ficha.php?id=995" TargetMode="External"/><Relationship Id="rId401" Type="http://schemas.openxmlformats.org/officeDocument/2006/relationships/hyperlink" Target="https://www.jivi.com.ar/ficha.php?id=1641" TargetMode="External"/><Relationship Id="rId443" Type="http://schemas.openxmlformats.org/officeDocument/2006/relationships/hyperlink" Target="https://www.jivi.com.ar/ficha.php?id=1745" TargetMode="External"/><Relationship Id="rId650" Type="http://schemas.openxmlformats.org/officeDocument/2006/relationships/hyperlink" Target="https://www.jivi.com.ar/ficha.php?id=2307" TargetMode="External"/><Relationship Id="rId303" Type="http://schemas.openxmlformats.org/officeDocument/2006/relationships/hyperlink" Target="https://www.jivi.com.ar/ficha.php?id=1509" TargetMode="External"/><Relationship Id="rId485" Type="http://schemas.openxmlformats.org/officeDocument/2006/relationships/hyperlink" Target="https://www.jivi.com.ar/ficha.php?id=1533" TargetMode="External"/><Relationship Id="rId42" Type="http://schemas.openxmlformats.org/officeDocument/2006/relationships/hyperlink" Target="https://www.jivi.com.ar/ficha.php?id=638" TargetMode="External"/><Relationship Id="rId84" Type="http://schemas.openxmlformats.org/officeDocument/2006/relationships/hyperlink" Target="https://www.jivi.com.ar/ficha.php?id=168" TargetMode="External"/><Relationship Id="rId138" Type="http://schemas.openxmlformats.org/officeDocument/2006/relationships/hyperlink" Target="https://www.jivi.com.ar/ficha.php?id=1023" TargetMode="External"/><Relationship Id="rId345" Type="http://schemas.openxmlformats.org/officeDocument/2006/relationships/hyperlink" Target="https://www.jivi.com.ar/ficha.php?id=1567" TargetMode="External"/><Relationship Id="rId387" Type="http://schemas.openxmlformats.org/officeDocument/2006/relationships/hyperlink" Target="https://www.jivi.com.ar/ficha.php?id=1614" TargetMode="External"/><Relationship Id="rId510" Type="http://schemas.openxmlformats.org/officeDocument/2006/relationships/hyperlink" Target="https://www.jivi.com.ar/ficha.php?id=1911" TargetMode="External"/><Relationship Id="rId552" Type="http://schemas.openxmlformats.org/officeDocument/2006/relationships/hyperlink" Target="https://www.jivi.com.ar/ficha.php?id=2058" TargetMode="External"/><Relationship Id="rId594" Type="http://schemas.openxmlformats.org/officeDocument/2006/relationships/hyperlink" Target="https://www.jivi.com.ar/ficha.php?id=1778" TargetMode="External"/><Relationship Id="rId608" Type="http://schemas.openxmlformats.org/officeDocument/2006/relationships/hyperlink" Target="https://www.jivi.com.ar/ficha.php?id=2214" TargetMode="External"/><Relationship Id="rId191" Type="http://schemas.openxmlformats.org/officeDocument/2006/relationships/hyperlink" Target="https://www.jivi.com.ar/ficha.php?id=991" TargetMode="External"/><Relationship Id="rId205" Type="http://schemas.openxmlformats.org/officeDocument/2006/relationships/hyperlink" Target="https://www.jivi.com.ar/ficha.php?id=1347" TargetMode="External"/><Relationship Id="rId247" Type="http://schemas.openxmlformats.org/officeDocument/2006/relationships/hyperlink" Target="https://www.jivi.com.ar/ficha.php?id=1420" TargetMode="External"/><Relationship Id="rId412" Type="http://schemas.openxmlformats.org/officeDocument/2006/relationships/hyperlink" Target="https://www.jivi.com.ar/ficha.php?id=1690" TargetMode="External"/><Relationship Id="rId107" Type="http://schemas.openxmlformats.org/officeDocument/2006/relationships/hyperlink" Target="https://www.jivi.com.ar/ficha.php?id=214" TargetMode="External"/><Relationship Id="rId289" Type="http://schemas.openxmlformats.org/officeDocument/2006/relationships/hyperlink" Target="https://www.jivi.com.ar/ficha.php?id=1493" TargetMode="External"/><Relationship Id="rId454" Type="http://schemas.openxmlformats.org/officeDocument/2006/relationships/hyperlink" Target="https://www.jivi.com.ar/ficha.php?id=1304" TargetMode="External"/><Relationship Id="rId496" Type="http://schemas.openxmlformats.org/officeDocument/2006/relationships/hyperlink" Target="https://www.jivi.com.ar/ficha.php?id=1847" TargetMode="External"/><Relationship Id="rId661" Type="http://schemas.openxmlformats.org/officeDocument/2006/relationships/hyperlink" Target="https://www.jivi.com.ar/ficha.php?id=2338" TargetMode="External"/><Relationship Id="rId11" Type="http://schemas.openxmlformats.org/officeDocument/2006/relationships/hyperlink" Target="https://www.jivi.com.ar/ficha.php?id=650" TargetMode="External"/><Relationship Id="rId53" Type="http://schemas.openxmlformats.org/officeDocument/2006/relationships/hyperlink" Target="https://www.jivi.com.ar/ficha.php?id=120" TargetMode="External"/><Relationship Id="rId149" Type="http://schemas.openxmlformats.org/officeDocument/2006/relationships/hyperlink" Target="https://www.jivi.com.ar/ficha.php?id=1104" TargetMode="External"/><Relationship Id="rId314" Type="http://schemas.openxmlformats.org/officeDocument/2006/relationships/hyperlink" Target="https://www.jivi.com.ar/ficha.php?id=1536" TargetMode="External"/><Relationship Id="rId356" Type="http://schemas.openxmlformats.org/officeDocument/2006/relationships/hyperlink" Target="https://www.jivi.com.ar/ficha.php?id=1139" TargetMode="External"/><Relationship Id="rId398" Type="http://schemas.openxmlformats.org/officeDocument/2006/relationships/hyperlink" Target="https://www.jivi.com.ar/ficha.php?id=1643" TargetMode="External"/><Relationship Id="rId521" Type="http://schemas.openxmlformats.org/officeDocument/2006/relationships/hyperlink" Target="https://www.jivi.com.ar/ficha.php?id=2007" TargetMode="External"/><Relationship Id="rId563" Type="http://schemas.openxmlformats.org/officeDocument/2006/relationships/hyperlink" Target="https://www.jivi.com.ar/ficha.php?id=1295" TargetMode="External"/><Relationship Id="rId619" Type="http://schemas.openxmlformats.org/officeDocument/2006/relationships/hyperlink" Target="https://www.jivi.com.ar/ficha.php?id=2273" TargetMode="External"/><Relationship Id="rId95" Type="http://schemas.openxmlformats.org/officeDocument/2006/relationships/hyperlink" Target="https://www.jivi.com.ar/ficha.php?id=181" TargetMode="External"/><Relationship Id="rId160" Type="http://schemas.openxmlformats.org/officeDocument/2006/relationships/hyperlink" Target="https://www.jivi.com.ar/ficha.php?id=975" TargetMode="External"/><Relationship Id="rId216" Type="http://schemas.openxmlformats.org/officeDocument/2006/relationships/hyperlink" Target="https://www.jivi.com.ar/ficha.php?id=1384" TargetMode="External"/><Relationship Id="rId423" Type="http://schemas.openxmlformats.org/officeDocument/2006/relationships/hyperlink" Target="https://www.jivi.com.ar/ficha.php?id=1704" TargetMode="External"/><Relationship Id="rId258" Type="http://schemas.openxmlformats.org/officeDocument/2006/relationships/hyperlink" Target="https://www.jivi.com.ar/ficha.php?id=1439" TargetMode="External"/><Relationship Id="rId465" Type="http://schemas.openxmlformats.org/officeDocument/2006/relationships/hyperlink" Target="https://www.jivi.com.ar/ficha.php?id=1265" TargetMode="External"/><Relationship Id="rId630" Type="http://schemas.openxmlformats.org/officeDocument/2006/relationships/hyperlink" Target="https://www.jivi.com.ar/ficha.php?id=1445" TargetMode="External"/><Relationship Id="rId672" Type="http://schemas.openxmlformats.org/officeDocument/2006/relationships/hyperlink" Target="https://www.jivi.com.ar/ficha.php?id=1261" TargetMode="External"/><Relationship Id="rId22" Type="http://schemas.openxmlformats.org/officeDocument/2006/relationships/hyperlink" Target="https://www.jivi.com.ar/ficha.php?id=103" TargetMode="External"/><Relationship Id="rId64" Type="http://schemas.openxmlformats.org/officeDocument/2006/relationships/hyperlink" Target="https://www.jivi.com.ar/ficha.php?id=380" TargetMode="External"/><Relationship Id="rId118" Type="http://schemas.openxmlformats.org/officeDocument/2006/relationships/hyperlink" Target="https://www.jivi.com.ar/ficha.php?id=854" TargetMode="External"/><Relationship Id="rId325" Type="http://schemas.openxmlformats.org/officeDocument/2006/relationships/hyperlink" Target="https://www.jivi.com.ar/ficha.php?id=1552" TargetMode="External"/><Relationship Id="rId367" Type="http://schemas.openxmlformats.org/officeDocument/2006/relationships/hyperlink" Target="https://www.jivi.com.ar/ficha.php?id=1590" TargetMode="External"/><Relationship Id="rId532" Type="http://schemas.openxmlformats.org/officeDocument/2006/relationships/hyperlink" Target="https://www.jivi.com.ar/ficha.php?id=335" TargetMode="External"/><Relationship Id="rId574" Type="http://schemas.openxmlformats.org/officeDocument/2006/relationships/hyperlink" Target="https://www.jivi.com.ar/ficha.php?id=2101" TargetMode="External"/><Relationship Id="rId171" Type="http://schemas.openxmlformats.org/officeDocument/2006/relationships/hyperlink" Target="https://www.jivi.com.ar/ficha.php?id=1218" TargetMode="External"/><Relationship Id="rId227" Type="http://schemas.openxmlformats.org/officeDocument/2006/relationships/hyperlink" Target="https://www.jivi.com.ar/ficha.php?id=1262" TargetMode="External"/><Relationship Id="rId269" Type="http://schemas.openxmlformats.org/officeDocument/2006/relationships/hyperlink" Target="https://www.jivi.com.ar/ficha.php?id=1560" TargetMode="External"/><Relationship Id="rId434" Type="http://schemas.openxmlformats.org/officeDocument/2006/relationships/hyperlink" Target="https://www.jivi.com.ar/ficha.php?id=1729" TargetMode="External"/><Relationship Id="rId476" Type="http://schemas.openxmlformats.org/officeDocument/2006/relationships/hyperlink" Target="https://www.jivi.com.ar/ficha.php?id=1805" TargetMode="External"/><Relationship Id="rId641" Type="http://schemas.openxmlformats.org/officeDocument/2006/relationships/hyperlink" Target="https://www.jivi.com.ar/ficha.php?id=2296" TargetMode="External"/><Relationship Id="rId33" Type="http://schemas.openxmlformats.org/officeDocument/2006/relationships/hyperlink" Target="https://www.jivi.com.ar/ficha.php?id=114" TargetMode="External"/><Relationship Id="rId129" Type="http://schemas.openxmlformats.org/officeDocument/2006/relationships/hyperlink" Target="https://www.jivi.com.ar/ficha.php?id=954" TargetMode="External"/><Relationship Id="rId280" Type="http://schemas.openxmlformats.org/officeDocument/2006/relationships/hyperlink" Target="https://www.jivi.com.ar/ficha.php?id=835" TargetMode="External"/><Relationship Id="rId336" Type="http://schemas.openxmlformats.org/officeDocument/2006/relationships/hyperlink" Target="https://www.jivi.com.ar/ficha.php?id=1562" TargetMode="External"/><Relationship Id="rId501" Type="http://schemas.openxmlformats.org/officeDocument/2006/relationships/hyperlink" Target="https://www.jivi.com.ar/ficha.php?id=1055" TargetMode="External"/><Relationship Id="rId543" Type="http://schemas.openxmlformats.org/officeDocument/2006/relationships/hyperlink" Target="https://www.jivi.com.ar/ficha.php?id=1278" TargetMode="External"/><Relationship Id="rId75" Type="http://schemas.openxmlformats.org/officeDocument/2006/relationships/hyperlink" Target="https://www.jivi.com.ar/ficha.php?id=392" TargetMode="External"/><Relationship Id="rId140" Type="http://schemas.openxmlformats.org/officeDocument/2006/relationships/hyperlink" Target="https://www.jivi.com.ar/ficha.php?id=647" TargetMode="External"/><Relationship Id="rId182" Type="http://schemas.openxmlformats.org/officeDocument/2006/relationships/hyperlink" Target="https://www.jivi.com.ar/ficha.php?id=883" TargetMode="External"/><Relationship Id="rId378" Type="http://schemas.openxmlformats.org/officeDocument/2006/relationships/hyperlink" Target="https://www.jivi.com.ar/ficha.php?id=1606" TargetMode="External"/><Relationship Id="rId403" Type="http://schemas.openxmlformats.org/officeDocument/2006/relationships/hyperlink" Target="https://www.jivi.com.ar/ficha.php?id=1657" TargetMode="External"/><Relationship Id="rId585" Type="http://schemas.openxmlformats.org/officeDocument/2006/relationships/hyperlink" Target="https://www.jivi.com.ar/ficha.php?id=2105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405" TargetMode="External"/><Relationship Id="rId445" Type="http://schemas.openxmlformats.org/officeDocument/2006/relationships/hyperlink" Target="https://www.jivi.com.ar/ficha.php?id=1747" TargetMode="External"/><Relationship Id="rId487" Type="http://schemas.openxmlformats.org/officeDocument/2006/relationships/hyperlink" Target="https://www.jivi.com.ar/ficha.php?id=1825" TargetMode="External"/><Relationship Id="rId610" Type="http://schemas.openxmlformats.org/officeDocument/2006/relationships/hyperlink" Target="https://www.jivi.com.ar/ficha.php?id=2216" TargetMode="External"/><Relationship Id="rId652" Type="http://schemas.openxmlformats.org/officeDocument/2006/relationships/hyperlink" Target="https://www.jivi.com.ar/ficha.php?id=2309" TargetMode="External"/><Relationship Id="rId291" Type="http://schemas.openxmlformats.org/officeDocument/2006/relationships/hyperlink" Target="https://www.jivi.com.ar/ficha.php?id=1495" TargetMode="External"/><Relationship Id="rId305" Type="http://schemas.openxmlformats.org/officeDocument/2006/relationships/hyperlink" Target="https://www.jivi.com.ar/ficha.php?id=1515" TargetMode="External"/><Relationship Id="rId347" Type="http://schemas.openxmlformats.org/officeDocument/2006/relationships/hyperlink" Target="https://www.jivi.com.ar/ficha.php?id=1569" TargetMode="External"/><Relationship Id="rId512" Type="http://schemas.openxmlformats.org/officeDocument/2006/relationships/hyperlink" Target="https://www.jivi.com.ar/ficha.php?id=1912" TargetMode="External"/><Relationship Id="rId44" Type="http://schemas.openxmlformats.org/officeDocument/2006/relationships/hyperlink" Target="https://www.jivi.com.ar/ficha.php?id=714" TargetMode="External"/><Relationship Id="rId86" Type="http://schemas.openxmlformats.org/officeDocument/2006/relationships/hyperlink" Target="https://www.jivi.com.ar/ficha.php?id=148" TargetMode="External"/><Relationship Id="rId151" Type="http://schemas.openxmlformats.org/officeDocument/2006/relationships/hyperlink" Target="https://www.jivi.com.ar/ficha.php?id=1119" TargetMode="External"/><Relationship Id="rId389" Type="http://schemas.openxmlformats.org/officeDocument/2006/relationships/hyperlink" Target="https://www.jivi.com.ar/ficha.php?id=1617" TargetMode="External"/><Relationship Id="rId554" Type="http://schemas.openxmlformats.org/officeDocument/2006/relationships/hyperlink" Target="https://www.jivi.com.ar/ficha.php?id=2059" TargetMode="External"/><Relationship Id="rId596" Type="http://schemas.openxmlformats.org/officeDocument/2006/relationships/hyperlink" Target="https://www.jivi.com.ar/ficha.php?id=2222" TargetMode="External"/><Relationship Id="rId193" Type="http://schemas.openxmlformats.org/officeDocument/2006/relationships/hyperlink" Target="https://www.jivi.com.ar/ficha.php?id=1607" TargetMode="External"/><Relationship Id="rId207" Type="http://schemas.openxmlformats.org/officeDocument/2006/relationships/hyperlink" Target="https://www.jivi.com.ar/ficha.php?id=1359" TargetMode="External"/><Relationship Id="rId249" Type="http://schemas.openxmlformats.org/officeDocument/2006/relationships/hyperlink" Target="https://www.jivi.com.ar/ficha.php?id=1422" TargetMode="External"/><Relationship Id="rId414" Type="http://schemas.openxmlformats.org/officeDocument/2006/relationships/hyperlink" Target="https://www.jivi.com.ar/ficha.php?id=1438" TargetMode="External"/><Relationship Id="rId456" Type="http://schemas.openxmlformats.org/officeDocument/2006/relationships/hyperlink" Target="https://www.jivi.com.ar/ficha.php?id=1777" TargetMode="External"/><Relationship Id="rId498" Type="http://schemas.openxmlformats.org/officeDocument/2006/relationships/hyperlink" Target="https://www.jivi.com.ar/ficha.php?id=1520" TargetMode="External"/><Relationship Id="rId621" Type="http://schemas.openxmlformats.org/officeDocument/2006/relationships/hyperlink" Target="https://www.jivi.com.ar/ficha.php?id=1140" TargetMode="External"/><Relationship Id="rId663" Type="http://schemas.openxmlformats.org/officeDocument/2006/relationships/hyperlink" Target="https://www.jivi.com.ar/ficha.php?id=2341" TargetMode="External"/><Relationship Id="rId13" Type="http://schemas.openxmlformats.org/officeDocument/2006/relationships/hyperlink" Target="https://www.jivi.com.ar/ficha.php?id=77" TargetMode="External"/><Relationship Id="rId109" Type="http://schemas.openxmlformats.org/officeDocument/2006/relationships/hyperlink" Target="https://www.jivi.com.ar/ficha.php?id=51" TargetMode="External"/><Relationship Id="rId260" Type="http://schemas.openxmlformats.org/officeDocument/2006/relationships/hyperlink" Target="https://www.jivi.com.ar/ficha.php?id=1427" TargetMode="External"/><Relationship Id="rId316" Type="http://schemas.openxmlformats.org/officeDocument/2006/relationships/hyperlink" Target="https://www.jivi.com.ar/ficha.php?id=1540" TargetMode="External"/><Relationship Id="rId523" Type="http://schemas.openxmlformats.org/officeDocument/2006/relationships/hyperlink" Target="https://www.jivi.com.ar/ficha.php?id=1720" TargetMode="External"/><Relationship Id="rId55" Type="http://schemas.openxmlformats.org/officeDocument/2006/relationships/hyperlink" Target="https://www.jivi.com.ar/ficha.php?id=122" TargetMode="External"/><Relationship Id="rId97" Type="http://schemas.openxmlformats.org/officeDocument/2006/relationships/hyperlink" Target="https://www.jivi.com.ar/ficha.php?id=473" TargetMode="External"/><Relationship Id="rId120" Type="http://schemas.openxmlformats.org/officeDocument/2006/relationships/hyperlink" Target="https://www.jivi.com.ar/ficha.php?id=888" TargetMode="External"/><Relationship Id="rId358" Type="http://schemas.openxmlformats.org/officeDocument/2006/relationships/hyperlink" Target="https://www.jivi.com.ar/ficha.php?id=1574" TargetMode="External"/><Relationship Id="rId565" Type="http://schemas.openxmlformats.org/officeDocument/2006/relationships/hyperlink" Target="https://www.jivi.com.ar/ficha.php?id=2070" TargetMode="External"/><Relationship Id="rId162" Type="http://schemas.openxmlformats.org/officeDocument/2006/relationships/hyperlink" Target="https://www.jivi.com.ar/ficha.php?id=1175" TargetMode="External"/><Relationship Id="rId218" Type="http://schemas.openxmlformats.org/officeDocument/2006/relationships/hyperlink" Target="https://www.jivi.com.ar/ficha.php?id=1385" TargetMode="External"/><Relationship Id="rId425" Type="http://schemas.openxmlformats.org/officeDocument/2006/relationships/hyperlink" Target="https://www.jivi.com.ar/ficha.php?id=1457" TargetMode="External"/><Relationship Id="rId467" Type="http://schemas.openxmlformats.org/officeDocument/2006/relationships/hyperlink" Target="https://www.jivi.com.ar/ficha.php?id=1308" TargetMode="External"/><Relationship Id="rId632" Type="http://schemas.openxmlformats.org/officeDocument/2006/relationships/hyperlink" Target="https://www.jivi.com.ar/ficha.php?id=2287" TargetMode="External"/><Relationship Id="rId271" Type="http://schemas.openxmlformats.org/officeDocument/2006/relationships/hyperlink" Target="https://www.jivi.com.ar/ficha.php?id=969" TargetMode="External"/><Relationship Id="rId674" Type="http://schemas.openxmlformats.org/officeDocument/2006/relationships/hyperlink" Target="https://www.jivi.com.ar/ficha.php?id=1613" TargetMode="External"/><Relationship Id="rId24" Type="http://schemas.openxmlformats.org/officeDocument/2006/relationships/hyperlink" Target="https://www.jivi.com.ar/ficha.php?id=105" TargetMode="External"/><Relationship Id="rId66" Type="http://schemas.openxmlformats.org/officeDocument/2006/relationships/hyperlink" Target="https://www.jivi.com.ar/ficha.php?id=501" TargetMode="External"/><Relationship Id="rId131" Type="http://schemas.openxmlformats.org/officeDocument/2006/relationships/hyperlink" Target="https://www.jivi.com.ar/ficha.php?id=956" TargetMode="External"/><Relationship Id="rId327" Type="http://schemas.openxmlformats.org/officeDocument/2006/relationships/hyperlink" Target="https://www.jivi.com.ar/ficha.php?id=1553" TargetMode="External"/><Relationship Id="rId369" Type="http://schemas.openxmlformats.org/officeDocument/2006/relationships/hyperlink" Target="https://www.jivi.com.ar/ficha.php?id=1592" TargetMode="External"/><Relationship Id="rId534" Type="http://schemas.openxmlformats.org/officeDocument/2006/relationships/hyperlink" Target="https://www.jivi.com.ar/ficha.php?id=2035" TargetMode="External"/><Relationship Id="rId576" Type="http://schemas.openxmlformats.org/officeDocument/2006/relationships/hyperlink" Target="https://www.jivi.com.ar/ficha.php?id=698" TargetMode="External"/><Relationship Id="rId173" Type="http://schemas.openxmlformats.org/officeDocument/2006/relationships/hyperlink" Target="https://www.jivi.com.ar/ficha.php?id=1220" TargetMode="External"/><Relationship Id="rId229" Type="http://schemas.openxmlformats.org/officeDocument/2006/relationships/hyperlink" Target="https://www.jivi.com.ar/ficha.php?id=1401" TargetMode="External"/><Relationship Id="rId380" Type="http://schemas.openxmlformats.org/officeDocument/2006/relationships/hyperlink" Target="https://www.jivi.com.ar/ficha.php?id=1270" TargetMode="External"/><Relationship Id="rId436" Type="http://schemas.openxmlformats.org/officeDocument/2006/relationships/hyperlink" Target="https://www.jivi.com.ar/ficha.php?id=1731" TargetMode="External"/><Relationship Id="rId601" Type="http://schemas.openxmlformats.org/officeDocument/2006/relationships/hyperlink" Target="https://www.jivi.com.ar/ficha.php?id=2207" TargetMode="External"/><Relationship Id="rId643" Type="http://schemas.openxmlformats.org/officeDocument/2006/relationships/hyperlink" Target="https://www.jivi.com.ar/ficha.php?id=2298" TargetMode="External"/><Relationship Id="rId240" Type="http://schemas.openxmlformats.org/officeDocument/2006/relationships/hyperlink" Target="https://www.jivi.com.ar/ficha.php?id=1415" TargetMode="External"/><Relationship Id="rId478" Type="http://schemas.openxmlformats.org/officeDocument/2006/relationships/hyperlink" Target="https://www.jivi.com.ar/ficha.php?id=1070" TargetMode="External"/><Relationship Id="rId35" Type="http://schemas.openxmlformats.org/officeDocument/2006/relationships/hyperlink" Target="https://www.jivi.com.ar/ficha.php?id=116" TargetMode="External"/><Relationship Id="rId77" Type="http://schemas.openxmlformats.org/officeDocument/2006/relationships/hyperlink" Target="https://www.jivi.com.ar/ficha.php?id=135" TargetMode="External"/><Relationship Id="rId100" Type="http://schemas.openxmlformats.org/officeDocument/2006/relationships/hyperlink" Target="https://www.jivi.com.ar/ficha.php?id=23" TargetMode="External"/><Relationship Id="rId282" Type="http://schemas.openxmlformats.org/officeDocument/2006/relationships/hyperlink" Target="https://www.jivi.com.ar/ficha.php?id=1479" TargetMode="External"/><Relationship Id="rId338" Type="http://schemas.openxmlformats.org/officeDocument/2006/relationships/hyperlink" Target="https://www.jivi.com.ar/ficha.php?id=1414" TargetMode="External"/><Relationship Id="rId503" Type="http://schemas.openxmlformats.org/officeDocument/2006/relationships/hyperlink" Target="https://www.jivi.com.ar/ficha.php?id=1530" TargetMode="External"/><Relationship Id="rId545" Type="http://schemas.openxmlformats.org/officeDocument/2006/relationships/hyperlink" Target="https://www.jivi.com.ar/ficha.php?id=1410" TargetMode="External"/><Relationship Id="rId587" Type="http://schemas.openxmlformats.org/officeDocument/2006/relationships/hyperlink" Target="https://www.jivi.com.ar/ficha.php?id=1279" TargetMode="External"/><Relationship Id="rId8" Type="http://schemas.openxmlformats.org/officeDocument/2006/relationships/hyperlink" Target="https://www.jivi.com.ar/ficha.php?id=41" TargetMode="External"/><Relationship Id="rId142" Type="http://schemas.openxmlformats.org/officeDocument/2006/relationships/hyperlink" Target="https://www.jivi.com.ar/ficha.php?id=364" TargetMode="External"/><Relationship Id="rId184" Type="http://schemas.openxmlformats.org/officeDocument/2006/relationships/hyperlink" Target="https://jivi.com.ar/ficha.php?id=89" TargetMode="External"/><Relationship Id="rId391" Type="http://schemas.openxmlformats.org/officeDocument/2006/relationships/hyperlink" Target="https://www.jivi.com.ar/ficha.php?id=1619" TargetMode="External"/><Relationship Id="rId405" Type="http://schemas.openxmlformats.org/officeDocument/2006/relationships/hyperlink" Target="https://www.jivi.com.ar/ficha.php?id=440" TargetMode="External"/><Relationship Id="rId447" Type="http://schemas.openxmlformats.org/officeDocument/2006/relationships/hyperlink" Target="https://www.jivi.com.ar/ficha.php?id=1749" TargetMode="External"/><Relationship Id="rId612" Type="http://schemas.openxmlformats.org/officeDocument/2006/relationships/hyperlink" Target="https://www.jivi.com.ar/ficha.php?id=2234" TargetMode="External"/><Relationship Id="rId251" Type="http://schemas.openxmlformats.org/officeDocument/2006/relationships/hyperlink" Target="https://www.jivi.com.ar/ficha.php?id=1425" TargetMode="External"/><Relationship Id="rId489" Type="http://schemas.openxmlformats.org/officeDocument/2006/relationships/hyperlink" Target="https://www.jivi.com.ar/ficha.php?id=149" TargetMode="External"/><Relationship Id="rId654" Type="http://schemas.openxmlformats.org/officeDocument/2006/relationships/hyperlink" Target="https://www.jivi.com.ar/ficha.php?id=2310" TargetMode="External"/><Relationship Id="rId46" Type="http://schemas.openxmlformats.org/officeDocument/2006/relationships/hyperlink" Target="https://www.jivi.com.ar/ficha.php?id=405" TargetMode="External"/><Relationship Id="rId293" Type="http://schemas.openxmlformats.org/officeDocument/2006/relationships/hyperlink" Target="https://www.jivi.com.ar/ficha.php?id=1497" TargetMode="External"/><Relationship Id="rId307" Type="http://schemas.openxmlformats.org/officeDocument/2006/relationships/hyperlink" Target="https://www.jivi.com.ar/ficha.php?id=1517" TargetMode="External"/><Relationship Id="rId349" Type="http://schemas.openxmlformats.org/officeDocument/2006/relationships/hyperlink" Target="https://www.jivi.com.ar/ficha.php?id=1571" TargetMode="External"/><Relationship Id="rId514" Type="http://schemas.openxmlformats.org/officeDocument/2006/relationships/hyperlink" Target="https://www.jivi.com.ar/ficha.php?id=1566" TargetMode="External"/><Relationship Id="rId556" Type="http://schemas.openxmlformats.org/officeDocument/2006/relationships/hyperlink" Target="https://www.jivi.com.ar/ficha.php?id=2061" TargetMode="External"/><Relationship Id="rId88" Type="http://schemas.openxmlformats.org/officeDocument/2006/relationships/hyperlink" Target="https://www.jivi.com.ar/ficha.php?id=621" TargetMode="External"/><Relationship Id="rId111" Type="http://schemas.openxmlformats.org/officeDocument/2006/relationships/hyperlink" Target="https://www.jivi.com.ar/ficha.php?id=809" TargetMode="External"/><Relationship Id="rId153" Type="http://schemas.openxmlformats.org/officeDocument/2006/relationships/hyperlink" Target="https://www.jivi.com.ar/ficha.php?id=1154" TargetMode="External"/><Relationship Id="rId195" Type="http://schemas.openxmlformats.org/officeDocument/2006/relationships/hyperlink" Target="https://www.jivi.com.ar/ficha.php?id=1303" TargetMode="External"/><Relationship Id="rId209" Type="http://schemas.openxmlformats.org/officeDocument/2006/relationships/hyperlink" Target="https://www.jivi.com.ar/ficha.php?id=1365" TargetMode="External"/><Relationship Id="rId360" Type="http://schemas.openxmlformats.org/officeDocument/2006/relationships/hyperlink" Target="https://www.jivi.com.ar/ficha.php?id=1580" TargetMode="External"/><Relationship Id="rId416" Type="http://schemas.openxmlformats.org/officeDocument/2006/relationships/hyperlink" Target="https://www.jivi.com.ar/ficha.php?id=1697" TargetMode="External"/><Relationship Id="rId598" Type="http://schemas.openxmlformats.org/officeDocument/2006/relationships/hyperlink" Target="https://www.jivi.com.ar/ficha.php?id=2220" TargetMode="External"/><Relationship Id="rId220" Type="http://schemas.openxmlformats.org/officeDocument/2006/relationships/hyperlink" Target="https://www.jivi.com.ar/ficha.php?id=1389" TargetMode="External"/><Relationship Id="rId458" Type="http://schemas.openxmlformats.org/officeDocument/2006/relationships/hyperlink" Target="https://www.jivi.com.ar/ficha.php?id=1709" TargetMode="External"/><Relationship Id="rId623" Type="http://schemas.openxmlformats.org/officeDocument/2006/relationships/hyperlink" Target="https://www.jivi.com.ar/ficha.php?id=1655" TargetMode="External"/><Relationship Id="rId665" Type="http://schemas.openxmlformats.org/officeDocument/2006/relationships/hyperlink" Target="https://www.jivi.com.ar/ficha.php?id=2344" TargetMode="External"/><Relationship Id="rId15" Type="http://schemas.openxmlformats.org/officeDocument/2006/relationships/hyperlink" Target="https://www.jivi.com.ar/ficha.php?id=96" TargetMode="External"/><Relationship Id="rId57" Type="http://schemas.openxmlformats.org/officeDocument/2006/relationships/hyperlink" Target="https://www.jivi.com.ar/ficha.php?id=124" TargetMode="External"/><Relationship Id="rId262" Type="http://schemas.openxmlformats.org/officeDocument/2006/relationships/hyperlink" Target="https://www.jivi.com.ar/ficha.php?id=1056" TargetMode="External"/><Relationship Id="rId318" Type="http://schemas.openxmlformats.org/officeDocument/2006/relationships/hyperlink" Target="https://www.jivi.com.ar/ficha.php?id=1542" TargetMode="External"/><Relationship Id="rId525" Type="http://schemas.openxmlformats.org/officeDocument/2006/relationships/hyperlink" Target="https://www.jivi.com.ar/ficha.php?id=2011" TargetMode="External"/><Relationship Id="rId567" Type="http://schemas.openxmlformats.org/officeDocument/2006/relationships/hyperlink" Target="https://www.jivi.com.ar/ficha.php?id=1266" TargetMode="External"/><Relationship Id="rId99" Type="http://schemas.openxmlformats.org/officeDocument/2006/relationships/hyperlink" Target="https://www.jivi.com.ar/ficha.php?id=252" TargetMode="External"/><Relationship Id="rId122" Type="http://schemas.openxmlformats.org/officeDocument/2006/relationships/hyperlink" Target="https://www.jivi.com.ar/ficha.php?id=903" TargetMode="External"/><Relationship Id="rId164" Type="http://schemas.openxmlformats.org/officeDocument/2006/relationships/hyperlink" Target="https://www.jivi.com.ar/ficha.php?id=1182" TargetMode="External"/><Relationship Id="rId371" Type="http://schemas.openxmlformats.org/officeDocument/2006/relationships/hyperlink" Target="https://www.jivi.com.ar/ficha.php?id=1595" TargetMode="External"/><Relationship Id="rId427" Type="http://schemas.openxmlformats.org/officeDocument/2006/relationships/hyperlink" Target="https://www.jivi.com.ar/ficha.php?id=1707" TargetMode="External"/><Relationship Id="rId469" Type="http://schemas.openxmlformats.org/officeDocument/2006/relationships/hyperlink" Target="https://www.jivi.com.ar/ficha.php?id=1790" TargetMode="External"/><Relationship Id="rId634" Type="http://schemas.openxmlformats.org/officeDocument/2006/relationships/hyperlink" Target="https://www.jivi.com.ar/ficha.php?id=2289" TargetMode="External"/><Relationship Id="rId676" Type="http://schemas.openxmlformats.org/officeDocument/2006/relationships/drawing" Target="../drawings/drawing1.xml"/><Relationship Id="rId26" Type="http://schemas.openxmlformats.org/officeDocument/2006/relationships/hyperlink" Target="https://www.jivi.com.ar/ficha.php?id=107" TargetMode="External"/><Relationship Id="rId231" Type="http://schemas.openxmlformats.org/officeDocument/2006/relationships/hyperlink" Target="https://www.jivi.com.ar/ficha.php?id=1230" TargetMode="External"/><Relationship Id="rId273" Type="http://schemas.openxmlformats.org/officeDocument/2006/relationships/hyperlink" Target="https://www.jivi.com.ar/ficha.php?id=1464" TargetMode="External"/><Relationship Id="rId329" Type="http://schemas.openxmlformats.org/officeDocument/2006/relationships/hyperlink" Target="https://www.jivi.com.ar/ficha.php?id=1555" TargetMode="External"/><Relationship Id="rId480" Type="http://schemas.openxmlformats.org/officeDocument/2006/relationships/hyperlink" Target="https://www.jivi.com.ar/ficha.php?id=1597" TargetMode="External"/><Relationship Id="rId536" Type="http://schemas.openxmlformats.org/officeDocument/2006/relationships/hyperlink" Target="https://www.jivi.com.ar/ficha.php?id=1662" TargetMode="External"/><Relationship Id="rId68" Type="http://schemas.openxmlformats.org/officeDocument/2006/relationships/hyperlink" Target="https://www.jivi.com.ar/ficha.php?id=326" TargetMode="External"/><Relationship Id="rId133" Type="http://schemas.openxmlformats.org/officeDocument/2006/relationships/hyperlink" Target="https://www.jivi.com.ar/ficha.php?id=967" TargetMode="External"/><Relationship Id="rId175" Type="http://schemas.openxmlformats.org/officeDocument/2006/relationships/hyperlink" Target="https://www.jivi.com.ar/ficha.php?id=1223" TargetMode="External"/><Relationship Id="rId340" Type="http://schemas.openxmlformats.org/officeDocument/2006/relationships/hyperlink" Target="https://www.jivi.com.ar/ficha.php?id=1407" TargetMode="External"/><Relationship Id="rId578" Type="http://schemas.openxmlformats.org/officeDocument/2006/relationships/hyperlink" Target="https://www.jivi.com.ar/ficha.php?id=2147" TargetMode="External"/><Relationship Id="rId200" Type="http://schemas.openxmlformats.org/officeDocument/2006/relationships/hyperlink" Target="https://www.jivi.com.ar/ficha.php?id=1314" TargetMode="External"/><Relationship Id="rId382" Type="http://schemas.openxmlformats.org/officeDocument/2006/relationships/hyperlink" Target="https://www.jivi.com.ar/ficha.php?id=1608" TargetMode="External"/><Relationship Id="rId438" Type="http://schemas.openxmlformats.org/officeDocument/2006/relationships/hyperlink" Target="https://www.jivi.com.ar/ficha.php?id=1734" TargetMode="External"/><Relationship Id="rId603" Type="http://schemas.openxmlformats.org/officeDocument/2006/relationships/hyperlink" Target="https://www.jivi.com.ar/ficha.php?id=2209" TargetMode="External"/><Relationship Id="rId645" Type="http://schemas.openxmlformats.org/officeDocument/2006/relationships/hyperlink" Target="https://www.jivi.com.ar/ficha.php?id=2300" TargetMode="External"/><Relationship Id="rId242" Type="http://schemas.openxmlformats.org/officeDocument/2006/relationships/hyperlink" Target="https://www.jivi.com.ar/ficha.php?id=1084" TargetMode="External"/><Relationship Id="rId284" Type="http://schemas.openxmlformats.org/officeDocument/2006/relationships/hyperlink" Target="https://www.jivi.com.ar/ficha.php?id=1481" TargetMode="External"/><Relationship Id="rId491" Type="http://schemas.openxmlformats.org/officeDocument/2006/relationships/hyperlink" Target="https://www.jivi.com.ar/ficha.php?id=1835" TargetMode="External"/><Relationship Id="rId505" Type="http://schemas.openxmlformats.org/officeDocument/2006/relationships/hyperlink" Target="https://www.jivi.com.ar/ficha.php?id=1380" TargetMode="External"/><Relationship Id="rId37" Type="http://schemas.openxmlformats.org/officeDocument/2006/relationships/hyperlink" Target="https://www.jivi.com.ar/ficha.php?id=399" TargetMode="External"/><Relationship Id="rId79" Type="http://schemas.openxmlformats.org/officeDocument/2006/relationships/hyperlink" Target="https://www.jivi.com.ar/ficha.php?id=137" TargetMode="External"/><Relationship Id="rId102" Type="http://schemas.openxmlformats.org/officeDocument/2006/relationships/hyperlink" Target="https://www.jivi.com.ar/ficha.php?id=221" TargetMode="External"/><Relationship Id="rId144" Type="http://schemas.openxmlformats.org/officeDocument/2006/relationships/hyperlink" Target="https://www.jivi.com.ar/ficha.php?id=1094" TargetMode="External"/><Relationship Id="rId547" Type="http://schemas.openxmlformats.org/officeDocument/2006/relationships/hyperlink" Target="https://www.jivi.com.ar/ficha.php?id=1433" TargetMode="External"/><Relationship Id="rId589" Type="http://schemas.openxmlformats.org/officeDocument/2006/relationships/hyperlink" Target="https://www.jivi.com.ar/ficha.php?id=2231" TargetMode="External"/><Relationship Id="rId90" Type="http://schemas.openxmlformats.org/officeDocument/2006/relationships/hyperlink" Target="https://www.jivi.com.ar/ficha.php?id=456" TargetMode="External"/><Relationship Id="rId186" Type="http://schemas.openxmlformats.org/officeDocument/2006/relationships/hyperlink" Target="https://www.jivi.com.ar/ficha.php?id=1253" TargetMode="External"/><Relationship Id="rId351" Type="http://schemas.openxmlformats.org/officeDocument/2006/relationships/hyperlink" Target="https://www.jivi.com.ar/ficha.php?id=1572" TargetMode="External"/><Relationship Id="rId393" Type="http://schemas.openxmlformats.org/officeDocument/2006/relationships/hyperlink" Target="https://www.jivi.com.ar/ficha.php?id=1204" TargetMode="External"/><Relationship Id="rId407" Type="http://schemas.openxmlformats.org/officeDocument/2006/relationships/hyperlink" Target="https://www.jivi.com.ar/ficha.php?id=1667" TargetMode="External"/><Relationship Id="rId449" Type="http://schemas.openxmlformats.org/officeDocument/2006/relationships/hyperlink" Target="https://www.jivi.com.ar/ficha.php?id=1750" TargetMode="External"/><Relationship Id="rId614" Type="http://schemas.openxmlformats.org/officeDocument/2006/relationships/hyperlink" Target="https://www.jivi.com.ar/ficha.php?id=2266" TargetMode="External"/><Relationship Id="rId656" Type="http://schemas.openxmlformats.org/officeDocument/2006/relationships/hyperlink" Target="https://www.jivi.com.ar/ficha.php?id=2325" TargetMode="External"/><Relationship Id="rId211" Type="http://schemas.openxmlformats.org/officeDocument/2006/relationships/hyperlink" Target="https://www.jivi.com.ar/registro.php" TargetMode="External"/><Relationship Id="rId253" Type="http://schemas.openxmlformats.org/officeDocument/2006/relationships/hyperlink" Target="https://www.jivi.com.ar/ficha.php?id=1429" TargetMode="External"/><Relationship Id="rId295" Type="http://schemas.openxmlformats.org/officeDocument/2006/relationships/hyperlink" Target="https://www.jivi.com.ar/ficha.php?id=1499" TargetMode="External"/><Relationship Id="rId309" Type="http://schemas.openxmlformats.org/officeDocument/2006/relationships/hyperlink" Target="https://www.jivi.com.ar/ficha.php?id=1559" TargetMode="External"/><Relationship Id="rId460" Type="http://schemas.openxmlformats.org/officeDocument/2006/relationships/hyperlink" Target="https://www.jivi.com.ar/ficha.php?id=1736" TargetMode="External"/><Relationship Id="rId516" Type="http://schemas.openxmlformats.org/officeDocument/2006/relationships/hyperlink" Target="https://www.jivi.com.ar/ficha.php?id=1411" TargetMode="External"/><Relationship Id="rId48" Type="http://schemas.openxmlformats.org/officeDocument/2006/relationships/hyperlink" Target="https://www.jivi.com.ar/ficha.php?id=407" TargetMode="External"/><Relationship Id="rId113" Type="http://schemas.openxmlformats.org/officeDocument/2006/relationships/hyperlink" Target="https://www.jivi.com.ar/ficha.php?id=708" TargetMode="External"/><Relationship Id="rId320" Type="http://schemas.openxmlformats.org/officeDocument/2006/relationships/hyperlink" Target="https://www.jivi.com.ar/ficha.php?id=1547" TargetMode="External"/><Relationship Id="rId558" Type="http://schemas.openxmlformats.org/officeDocument/2006/relationships/hyperlink" Target="https://www.jivi.com.ar/ficha.php?id=2337" TargetMode="External"/><Relationship Id="rId155" Type="http://schemas.openxmlformats.org/officeDocument/2006/relationships/hyperlink" Target="https://www.jivi.com.ar/ficha.php?id=1158" TargetMode="External"/><Relationship Id="rId197" Type="http://schemas.openxmlformats.org/officeDocument/2006/relationships/hyperlink" Target="https://www.jivi.com.ar/ficha.php?id=1306" TargetMode="External"/><Relationship Id="rId362" Type="http://schemas.openxmlformats.org/officeDocument/2006/relationships/hyperlink" Target="https://www.jivi.com.ar/ficha.php?id=1583" TargetMode="External"/><Relationship Id="rId418" Type="http://schemas.openxmlformats.org/officeDocument/2006/relationships/hyperlink" Target="https://www.jivi.com.ar/ficha.php?id=1699" TargetMode="External"/><Relationship Id="rId625" Type="http://schemas.openxmlformats.org/officeDocument/2006/relationships/hyperlink" Target="https://www.jivi.com.ar/ficha.php?id=2275" TargetMode="External"/><Relationship Id="rId222" Type="http://schemas.openxmlformats.org/officeDocument/2006/relationships/hyperlink" Target="https://www.jivi.com.ar/ficha.php?id=236" TargetMode="External"/><Relationship Id="rId264" Type="http://schemas.openxmlformats.org/officeDocument/2006/relationships/hyperlink" Target="https://www.jivi.com.ar/ficha.php?id=1335" TargetMode="External"/><Relationship Id="rId471" Type="http://schemas.openxmlformats.org/officeDocument/2006/relationships/hyperlink" Target="https://www.jivi.com.ar/ficha.php?id=1447" TargetMode="External"/><Relationship Id="rId667" Type="http://schemas.openxmlformats.org/officeDocument/2006/relationships/hyperlink" Target="https://www.jivi.com.ar/ficha.php?id=2346" TargetMode="External"/><Relationship Id="rId17" Type="http://schemas.openxmlformats.org/officeDocument/2006/relationships/hyperlink" Target="https://www.jivi.com.ar/ficha.php?id=98" TargetMode="External"/><Relationship Id="rId59" Type="http://schemas.openxmlformats.org/officeDocument/2006/relationships/hyperlink" Target="https://www.jivi.com.ar/ficha.php?id=187" TargetMode="External"/><Relationship Id="rId124" Type="http://schemas.openxmlformats.org/officeDocument/2006/relationships/hyperlink" Target="https://www.jivi.com.ar/ficha.php?id=918" TargetMode="External"/><Relationship Id="rId527" Type="http://schemas.openxmlformats.org/officeDocument/2006/relationships/hyperlink" Target="https://www.jivi.com.ar/ficha.php?id=2014" TargetMode="External"/><Relationship Id="rId569" Type="http://schemas.openxmlformats.org/officeDocument/2006/relationships/hyperlink" Target="https://www.jivi.com.ar/ficha.php?id=1001" TargetMode="External"/><Relationship Id="rId70" Type="http://schemas.openxmlformats.org/officeDocument/2006/relationships/hyperlink" Target="https://www.jivi.com.ar/ficha.php?id=394" TargetMode="External"/><Relationship Id="rId166" Type="http://schemas.openxmlformats.org/officeDocument/2006/relationships/hyperlink" Target="https://www.jivi.com.ar/ficha.php?id=1185" TargetMode="External"/><Relationship Id="rId331" Type="http://schemas.openxmlformats.org/officeDocument/2006/relationships/hyperlink" Target="https://www.jivi.com.ar/ficha.php?id=1558" TargetMode="External"/><Relationship Id="rId373" Type="http://schemas.openxmlformats.org/officeDocument/2006/relationships/hyperlink" Target="https://www.jivi.com.ar/ficha.php?id=1598" TargetMode="External"/><Relationship Id="rId429" Type="http://schemas.openxmlformats.org/officeDocument/2006/relationships/hyperlink" Target="https://www.jivi.com.ar/ficha.php?id=1722" TargetMode="External"/><Relationship Id="rId580" Type="http://schemas.openxmlformats.org/officeDocument/2006/relationships/hyperlink" Target="https://www.jivi.com.ar/ficha.php?id=1403" TargetMode="External"/><Relationship Id="rId636" Type="http://schemas.openxmlformats.org/officeDocument/2006/relationships/hyperlink" Target="https://www.jivi.com.ar/ficha.php?id=2291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111" TargetMode="External"/><Relationship Id="rId440" Type="http://schemas.openxmlformats.org/officeDocument/2006/relationships/hyperlink" Target="https://www.jivi.com.ar/ficha.php?id=1575" TargetMode="External"/><Relationship Id="rId678" Type="http://schemas.openxmlformats.org/officeDocument/2006/relationships/comments" Target="../comments1.xml"/><Relationship Id="rId28" Type="http://schemas.openxmlformats.org/officeDocument/2006/relationships/hyperlink" Target="https://www.jivi.com.ar/ficha.php?id=109" TargetMode="External"/><Relationship Id="rId275" Type="http://schemas.openxmlformats.org/officeDocument/2006/relationships/hyperlink" Target="https://www.jivi.com.ar/ficha.php?id=1471" TargetMode="External"/><Relationship Id="rId300" Type="http://schemas.openxmlformats.org/officeDocument/2006/relationships/hyperlink" Target="https://www.jivi.com.ar/ficha.php?id=1506" TargetMode="External"/><Relationship Id="rId482" Type="http://schemas.openxmlformats.org/officeDocument/2006/relationships/hyperlink" Target="https://www.jivi.com.ar/ficha.php?id=1774" TargetMode="External"/><Relationship Id="rId538" Type="http://schemas.openxmlformats.org/officeDocument/2006/relationships/hyperlink" Target="https://www.jivi.com.ar/ficha.php?id=248" TargetMode="External"/><Relationship Id="rId81" Type="http://schemas.openxmlformats.org/officeDocument/2006/relationships/hyperlink" Target="https://www.jivi.com.ar/ficha.php?id=245" TargetMode="External"/><Relationship Id="rId135" Type="http://schemas.openxmlformats.org/officeDocument/2006/relationships/hyperlink" Target="https://www.jivi.com.ar/ficha.php?id=1006" TargetMode="External"/><Relationship Id="rId177" Type="http://schemas.openxmlformats.org/officeDocument/2006/relationships/hyperlink" Target="https://www.jivi.com.ar/ficha.php?id=1224" TargetMode="External"/><Relationship Id="rId342" Type="http://schemas.openxmlformats.org/officeDocument/2006/relationships/hyperlink" Target="https://www.jivi.com.ar/ficha.php?id=1408" TargetMode="External"/><Relationship Id="rId384" Type="http://schemas.openxmlformats.org/officeDocument/2006/relationships/hyperlink" Target="https://www.jivi.com.ar/ficha.php?id=1274" TargetMode="External"/><Relationship Id="rId591" Type="http://schemas.openxmlformats.org/officeDocument/2006/relationships/hyperlink" Target="https://www.jivi.com.ar/ficha.php?id=1435" TargetMode="External"/><Relationship Id="rId605" Type="http://schemas.openxmlformats.org/officeDocument/2006/relationships/hyperlink" Target="https://www.jivi.com.ar/ficha.php?id=2211" TargetMode="External"/><Relationship Id="rId202" Type="http://schemas.openxmlformats.org/officeDocument/2006/relationships/hyperlink" Target="https://www.jivi.com.ar/ficha.php?id=1344" TargetMode="External"/><Relationship Id="rId244" Type="http://schemas.openxmlformats.org/officeDocument/2006/relationships/hyperlink" Target="https://www.jivi.com.ar/ficha.php?id=1419" TargetMode="External"/><Relationship Id="rId647" Type="http://schemas.openxmlformats.org/officeDocument/2006/relationships/hyperlink" Target="https://www.jivi.com.ar/ficha.php?id=2302" TargetMode="External"/><Relationship Id="rId39" Type="http://schemas.openxmlformats.org/officeDocument/2006/relationships/hyperlink" Target="https://www.jivi.com.ar/ficha.php?id=401" TargetMode="External"/><Relationship Id="rId286" Type="http://schemas.openxmlformats.org/officeDocument/2006/relationships/hyperlink" Target="https://www.jivi.com.ar/ficha.php?id=1486" TargetMode="External"/><Relationship Id="rId451" Type="http://schemas.openxmlformats.org/officeDocument/2006/relationships/hyperlink" Target="https://www.jivi.com.ar/ficha.php?id=1461" TargetMode="External"/><Relationship Id="rId493" Type="http://schemas.openxmlformats.org/officeDocument/2006/relationships/hyperlink" Target="https://www.jivi.com.ar/ficha.php?id=1152" TargetMode="External"/><Relationship Id="rId507" Type="http://schemas.openxmlformats.org/officeDocument/2006/relationships/hyperlink" Target="https://www.jivi.com.ar/ficha.php?id=1371" TargetMode="External"/><Relationship Id="rId549" Type="http://schemas.openxmlformats.org/officeDocument/2006/relationships/hyperlink" Target="https://www.jivi.com.ar/ficha.php?id=2051" TargetMode="External"/><Relationship Id="rId50" Type="http://schemas.openxmlformats.org/officeDocument/2006/relationships/hyperlink" Target="https://www.jivi.com.ar/ficha.php?id=409" TargetMode="External"/><Relationship Id="rId104" Type="http://schemas.openxmlformats.org/officeDocument/2006/relationships/hyperlink" Target="https://www.jivi.com.ar/ficha.php?id=568" TargetMode="External"/><Relationship Id="rId146" Type="http://schemas.openxmlformats.org/officeDocument/2006/relationships/hyperlink" Target="https://www.jivi.com.ar/ficha.php?id=1097" TargetMode="External"/><Relationship Id="rId188" Type="http://schemas.openxmlformats.org/officeDocument/2006/relationships/hyperlink" Target="https://www.jivi.com.ar/ficha.php?id=1261" TargetMode="External"/><Relationship Id="rId311" Type="http://schemas.openxmlformats.org/officeDocument/2006/relationships/hyperlink" Target="https://www.jivi.com.ar/ficha.php?id=1532" TargetMode="External"/><Relationship Id="rId353" Type="http://schemas.openxmlformats.org/officeDocument/2006/relationships/hyperlink" Target="https://www.jivi.com.ar/ficha.php?id=1294" TargetMode="External"/><Relationship Id="rId395" Type="http://schemas.openxmlformats.org/officeDocument/2006/relationships/hyperlink" Target="https://www.jivi.com.ar/ficha.php?id=1634" TargetMode="External"/><Relationship Id="rId409" Type="http://schemas.openxmlformats.org/officeDocument/2006/relationships/hyperlink" Target="https://www.jivi.com.ar/ficha.php?id=1272" TargetMode="External"/><Relationship Id="rId560" Type="http://schemas.openxmlformats.org/officeDocument/2006/relationships/hyperlink" Target="https://www.jivi.com.ar/ficha.php?id=2066" TargetMode="External"/><Relationship Id="rId92" Type="http://schemas.openxmlformats.org/officeDocument/2006/relationships/hyperlink" Target="https://www.jivi.com.ar/ficha.php?id=431" TargetMode="External"/><Relationship Id="rId213" Type="http://schemas.openxmlformats.org/officeDocument/2006/relationships/hyperlink" Target="https://www.jivi.com.ar/ficha.php?id=1378" TargetMode="External"/><Relationship Id="rId420" Type="http://schemas.openxmlformats.org/officeDocument/2006/relationships/hyperlink" Target="https://www.jivi.com.ar/ficha.php?id=1462" TargetMode="External"/><Relationship Id="rId616" Type="http://schemas.openxmlformats.org/officeDocument/2006/relationships/hyperlink" Target="http://www.jivi.com.ar/ficha.php?id=1522" TargetMode="External"/><Relationship Id="rId658" Type="http://schemas.openxmlformats.org/officeDocument/2006/relationships/hyperlink" Target="https://www.jivi.com.ar/ficha.php?id=2327" TargetMode="External"/><Relationship Id="rId255" Type="http://schemas.openxmlformats.org/officeDocument/2006/relationships/hyperlink" Target="https://www.jivi.com.ar/ficha.php?id=1436" TargetMode="External"/><Relationship Id="rId297" Type="http://schemas.openxmlformats.org/officeDocument/2006/relationships/hyperlink" Target="https://www.jivi.com.ar/ficha.php?id=1502" TargetMode="External"/><Relationship Id="rId462" Type="http://schemas.openxmlformats.org/officeDocument/2006/relationships/hyperlink" Target="https://www.jivi.com.ar/ficha.php?id=1781" TargetMode="External"/><Relationship Id="rId518" Type="http://schemas.openxmlformats.org/officeDocument/2006/relationships/hyperlink" Target="https://www.jivi.com.ar/ficha.php?id=1577" TargetMode="External"/><Relationship Id="rId115" Type="http://schemas.openxmlformats.org/officeDocument/2006/relationships/hyperlink" Target="https://www.jivi.com.ar/ficha.php?id=840" TargetMode="External"/><Relationship Id="rId157" Type="http://schemas.openxmlformats.org/officeDocument/2006/relationships/hyperlink" Target="https://www.jivi.com.ar/ficha.php?id=1156" TargetMode="External"/><Relationship Id="rId322" Type="http://schemas.openxmlformats.org/officeDocument/2006/relationships/hyperlink" Target="https://www.jivi.com.ar/ficha.php?id=1548" TargetMode="External"/><Relationship Id="rId364" Type="http://schemas.openxmlformats.org/officeDocument/2006/relationships/hyperlink" Target="https://www.jivi.com.ar/ficha.php?id=1586" TargetMode="External"/><Relationship Id="rId61" Type="http://schemas.openxmlformats.org/officeDocument/2006/relationships/hyperlink" Target="https://www.jivi.com.ar/ficha.php?id=55" TargetMode="External"/><Relationship Id="rId199" Type="http://schemas.openxmlformats.org/officeDocument/2006/relationships/hyperlink" Target="https://www.jivi.com.ar/ficha.php?id=1290" TargetMode="External"/><Relationship Id="rId571" Type="http://schemas.openxmlformats.org/officeDocument/2006/relationships/hyperlink" Target="https://www.jivi.com.ar/ficha.php?id=1512" TargetMode="External"/><Relationship Id="rId627" Type="http://schemas.openxmlformats.org/officeDocument/2006/relationships/hyperlink" Target="https://www.jivi.com.ar/ficha.php?id=2278" TargetMode="External"/><Relationship Id="rId669" Type="http://schemas.openxmlformats.org/officeDocument/2006/relationships/hyperlink" Target="https://www.jivi.com.ar/ficha.php?id=2345" TargetMode="External"/><Relationship Id="rId19" Type="http://schemas.openxmlformats.org/officeDocument/2006/relationships/hyperlink" Target="https://www.jivi.com.ar/ficha.php?id=100" TargetMode="External"/><Relationship Id="rId224" Type="http://schemas.openxmlformats.org/officeDocument/2006/relationships/hyperlink" Target="https://www.jivi.com.ar/ficha.php?id=1394" TargetMode="External"/><Relationship Id="rId266" Type="http://schemas.openxmlformats.org/officeDocument/2006/relationships/hyperlink" Target="https://www.jivi.com.ar/ficha.php?id=1354" TargetMode="External"/><Relationship Id="rId431" Type="http://schemas.openxmlformats.org/officeDocument/2006/relationships/hyperlink" Target="https://www.jivi.com.ar/ficha.php?id=1725" TargetMode="External"/><Relationship Id="rId473" Type="http://schemas.openxmlformats.org/officeDocument/2006/relationships/hyperlink" Target="https://www.jivi.com.ar/ficha.php?id=1128" TargetMode="External"/><Relationship Id="rId529" Type="http://schemas.openxmlformats.org/officeDocument/2006/relationships/hyperlink" Target="https://www.jivi.com.ar/ficha.php?id=2018" TargetMode="External"/><Relationship Id="rId30" Type="http://schemas.openxmlformats.org/officeDocument/2006/relationships/hyperlink" Target="https://www.jivi.com.ar/ficha.php?id=111" TargetMode="External"/><Relationship Id="rId126" Type="http://schemas.openxmlformats.org/officeDocument/2006/relationships/hyperlink" Target="https://www.jivi.com.ar/ficha.php?id=938" TargetMode="External"/><Relationship Id="rId168" Type="http://schemas.openxmlformats.org/officeDocument/2006/relationships/hyperlink" Target="https://www.jivi.com.ar/ficha.php?id=1190" TargetMode="External"/><Relationship Id="rId333" Type="http://schemas.openxmlformats.org/officeDocument/2006/relationships/hyperlink" Target="https://www.jivi.com.ar/ficha.php?id=1561" TargetMode="External"/><Relationship Id="rId540" Type="http://schemas.openxmlformats.org/officeDocument/2006/relationships/hyperlink" Target="https://www.jivi.com.ar/ficha.php?id=2043" TargetMode="External"/><Relationship Id="rId72" Type="http://schemas.openxmlformats.org/officeDocument/2006/relationships/hyperlink" Target="https://www.jivi.com.ar/ficha.php?id=18" TargetMode="External"/><Relationship Id="rId375" Type="http://schemas.openxmlformats.org/officeDocument/2006/relationships/hyperlink" Target="https://www.jivi.com.ar/ficha.php?id=1603" TargetMode="External"/><Relationship Id="rId582" Type="http://schemas.openxmlformats.org/officeDocument/2006/relationships/hyperlink" Target="https://www.jivi.com.ar/ficha.php?id=2170" TargetMode="External"/><Relationship Id="rId638" Type="http://schemas.openxmlformats.org/officeDocument/2006/relationships/hyperlink" Target="https://www.jivi.com.ar/ficha.php?id=2292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376" TargetMode="External"/><Relationship Id="rId277" Type="http://schemas.openxmlformats.org/officeDocument/2006/relationships/hyperlink" Target="htthttps://www.jivi.com.ar/ficha.php?id=1476" TargetMode="External"/><Relationship Id="rId400" Type="http://schemas.openxmlformats.org/officeDocument/2006/relationships/hyperlink" Target="https://www.jivi.com.ar/ficha.php?id=1644" TargetMode="External"/><Relationship Id="rId442" Type="http://schemas.openxmlformats.org/officeDocument/2006/relationships/hyperlink" Target="https://www.jivi.com.ar/ficha.php?id=1744" TargetMode="External"/><Relationship Id="rId484" Type="http://schemas.openxmlformats.org/officeDocument/2006/relationships/hyperlink" Target="https://www.jivi.com.ar/ficha.php?id=1544" TargetMode="External"/><Relationship Id="rId137" Type="http://schemas.openxmlformats.org/officeDocument/2006/relationships/hyperlink" Target="https://www.jivi.com.ar/ficha.php?id=251" TargetMode="External"/><Relationship Id="rId302" Type="http://schemas.openxmlformats.org/officeDocument/2006/relationships/hyperlink" Target="https://www.jivi.com.ar/ficha.php?id=1508" TargetMode="External"/><Relationship Id="rId344" Type="http://schemas.openxmlformats.org/officeDocument/2006/relationships/hyperlink" Target="https://www.jivi.com.ar/ficha.php?id=1434" TargetMode="External"/><Relationship Id="rId41" Type="http://schemas.openxmlformats.org/officeDocument/2006/relationships/hyperlink" Target="https://www.jivi.com.ar/ficha.php?id=403" TargetMode="External"/><Relationship Id="rId83" Type="http://schemas.openxmlformats.org/officeDocument/2006/relationships/hyperlink" Target="https://www.jivi.com.ar/ficha.php?id=171" TargetMode="External"/><Relationship Id="rId179" Type="http://schemas.openxmlformats.org/officeDocument/2006/relationships/hyperlink" Target="https://www.jivi.com.ar/ficha.php?id=1226" TargetMode="External"/><Relationship Id="rId386" Type="http://schemas.openxmlformats.org/officeDocument/2006/relationships/hyperlink" Target="https://www.jivi.com.ar/ficha.php?id=1612" TargetMode="External"/><Relationship Id="rId551" Type="http://schemas.openxmlformats.org/officeDocument/2006/relationships/hyperlink" Target="https://www.jivi.com.ar/ficha.php?id=2053" TargetMode="External"/><Relationship Id="rId593" Type="http://schemas.openxmlformats.org/officeDocument/2006/relationships/hyperlink" Target="https://www.jivi.com.ar/ficha.php?id=2225" TargetMode="External"/><Relationship Id="rId607" Type="http://schemas.openxmlformats.org/officeDocument/2006/relationships/hyperlink" Target="https://www.jivi.com.ar/ficha.php?id=2213" TargetMode="External"/><Relationship Id="rId649" Type="http://schemas.openxmlformats.org/officeDocument/2006/relationships/hyperlink" Target="https://www.jivi.com.ar/ficha.php?id=2306" TargetMode="External"/><Relationship Id="rId190" Type="http://schemas.openxmlformats.org/officeDocument/2006/relationships/hyperlink" Target="https://www.jivi.com.ar/ficha.php?id=1277" TargetMode="External"/><Relationship Id="rId204" Type="http://schemas.openxmlformats.org/officeDocument/2006/relationships/hyperlink" Target="https://www.jivi.com.ar/ficha.php?id=1346" TargetMode="External"/><Relationship Id="rId246" Type="http://schemas.openxmlformats.org/officeDocument/2006/relationships/hyperlink" Target="https://www.jivi.com.ar/ficha.php?id=1281" TargetMode="External"/><Relationship Id="rId288" Type="http://schemas.openxmlformats.org/officeDocument/2006/relationships/hyperlink" Target="https://www.jivi.com.ar/ficha.php?id=1492" TargetMode="External"/><Relationship Id="rId411" Type="http://schemas.openxmlformats.org/officeDocument/2006/relationships/hyperlink" Target="https://www.jivi.com.ar/ficha.php?id=1672" TargetMode="External"/><Relationship Id="rId453" Type="http://schemas.openxmlformats.org/officeDocument/2006/relationships/hyperlink" Target="https://www.jivi.com.ar/ficha.php?id=1310" TargetMode="External"/><Relationship Id="rId509" Type="http://schemas.openxmlformats.org/officeDocument/2006/relationships/hyperlink" Target="https://www.jivi.com.ar/ficha.php?id=1579" TargetMode="External"/><Relationship Id="rId660" Type="http://schemas.openxmlformats.org/officeDocument/2006/relationships/hyperlink" Target="https://www.jivi.com.ar/ficha.php?id=1369" TargetMode="External"/><Relationship Id="rId106" Type="http://schemas.openxmlformats.org/officeDocument/2006/relationships/hyperlink" Target="https://www.jivi.com.ar/ficha.php?id=534" TargetMode="External"/><Relationship Id="rId313" Type="http://schemas.openxmlformats.org/officeDocument/2006/relationships/hyperlink" Target="https://www.jivi.com.ar/ficha.php?id=1535" TargetMode="External"/><Relationship Id="rId495" Type="http://schemas.openxmlformats.org/officeDocument/2006/relationships/hyperlink" Target="https://www.jivi.com.ar/ficha.php?id=1077" TargetMode="External"/><Relationship Id="rId10" Type="http://schemas.openxmlformats.org/officeDocument/2006/relationships/hyperlink" Target="https://www.jivi.com.ar/ficha.php?id=649" TargetMode="External"/><Relationship Id="rId52" Type="http://schemas.openxmlformats.org/officeDocument/2006/relationships/hyperlink" Target="https://www.jivi.com.ar/ficha.php?id=119" TargetMode="External"/><Relationship Id="rId94" Type="http://schemas.openxmlformats.org/officeDocument/2006/relationships/hyperlink" Target="https://www.jivi.com.ar/ficha.php?id=48" TargetMode="External"/><Relationship Id="rId148" Type="http://schemas.openxmlformats.org/officeDocument/2006/relationships/hyperlink" Target="https://www.jivi.com.ar/ficha.php?id=885" TargetMode="External"/><Relationship Id="rId355" Type="http://schemas.openxmlformats.org/officeDocument/2006/relationships/hyperlink" Target="https://www.jivi.com.ar/ficha.php?id=1296" TargetMode="External"/><Relationship Id="rId397" Type="http://schemas.openxmlformats.org/officeDocument/2006/relationships/hyperlink" Target="https://www.jivi.com.ar/ficha.php?id=968" TargetMode="External"/><Relationship Id="rId520" Type="http://schemas.openxmlformats.org/officeDocument/2006/relationships/hyperlink" Target="https://www.jivi.com.ar/ficha.php?id=2003" TargetMode="External"/><Relationship Id="rId562" Type="http://schemas.openxmlformats.org/officeDocument/2006/relationships/hyperlink" Target="https://www.jivi.com.ar/ficha.php?id=2068" TargetMode="External"/><Relationship Id="rId618" Type="http://schemas.openxmlformats.org/officeDocument/2006/relationships/hyperlink" Target="https://www.jivi.com.ar/ficha.php?id=2272" TargetMode="External"/><Relationship Id="rId215" Type="http://schemas.openxmlformats.org/officeDocument/2006/relationships/hyperlink" Target="https://www.jivi.com.ar/ficha.php?id=1383" TargetMode="External"/><Relationship Id="rId257" Type="http://schemas.openxmlformats.org/officeDocument/2006/relationships/hyperlink" Target="https://www.jivi.com.ar/ficha.php?id=1702" TargetMode="External"/><Relationship Id="rId422" Type="http://schemas.openxmlformats.org/officeDocument/2006/relationships/hyperlink" Target="https://www.jivi.com.ar/ficha.php?id=1528" TargetMode="External"/><Relationship Id="rId464" Type="http://schemas.openxmlformats.org/officeDocument/2006/relationships/hyperlink" Target="https://www.jivi.com.ar/ficha.php?id=1340" TargetMode="External"/><Relationship Id="rId299" Type="http://schemas.openxmlformats.org/officeDocument/2006/relationships/hyperlink" Target="https://www.jivi.com.ar/ficha.php?id=1505" TargetMode="External"/><Relationship Id="rId63" Type="http://schemas.openxmlformats.org/officeDocument/2006/relationships/hyperlink" Target="https://www.jivi.com.ar/ficha.php?id=284" TargetMode="External"/><Relationship Id="rId159" Type="http://schemas.openxmlformats.org/officeDocument/2006/relationships/hyperlink" Target="https://www.jivi.com.ar/ficha.php?id=1172" TargetMode="External"/><Relationship Id="rId366" Type="http://schemas.openxmlformats.org/officeDocument/2006/relationships/hyperlink" Target="https://www.jivi.com.ar/ficha.php?id=1589" TargetMode="External"/><Relationship Id="rId573" Type="http://schemas.openxmlformats.org/officeDocument/2006/relationships/hyperlink" Target="https://www.jivi.com.ar/ficha.php?id=2097" TargetMode="External"/><Relationship Id="rId226" Type="http://schemas.openxmlformats.org/officeDocument/2006/relationships/hyperlink" Target="https://www.jivi.com.ar/ficha.php?id=1399" TargetMode="External"/><Relationship Id="rId433" Type="http://schemas.openxmlformats.org/officeDocument/2006/relationships/hyperlink" Target="https://www.jivi.com.ar/ficha.php?id=1728" TargetMode="External"/><Relationship Id="rId640" Type="http://schemas.openxmlformats.org/officeDocument/2006/relationships/hyperlink" Target="https://www.jivi.com.ar/ficha.php?id=2295" TargetMode="External"/><Relationship Id="rId74" Type="http://schemas.openxmlformats.org/officeDocument/2006/relationships/hyperlink" Target="https://www.jivi.com.ar/ficha.php?id=142" TargetMode="External"/><Relationship Id="rId377" Type="http://schemas.openxmlformats.org/officeDocument/2006/relationships/hyperlink" Target="https://www.jivi.com.ar/ficha.php?id=1604" TargetMode="External"/><Relationship Id="rId500" Type="http://schemas.openxmlformats.org/officeDocument/2006/relationships/hyperlink" Target="https://www.jivi.com.ar/ficha.php?id=1443" TargetMode="External"/><Relationship Id="rId584" Type="http://schemas.openxmlformats.org/officeDocument/2006/relationships/hyperlink" Target="https://www.jivi.com.ar/ficha.php?id=2178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1393" TargetMode="External"/><Relationship Id="rId444" Type="http://schemas.openxmlformats.org/officeDocument/2006/relationships/hyperlink" Target="https://www.jivi.com.ar/ficha.php?id=1746" TargetMode="External"/><Relationship Id="rId651" Type="http://schemas.openxmlformats.org/officeDocument/2006/relationships/hyperlink" Target="https://www.jivi.com.ar/ficha.php?id=2308" TargetMode="External"/><Relationship Id="rId290" Type="http://schemas.openxmlformats.org/officeDocument/2006/relationships/hyperlink" Target="https://www.jivi.com.ar/ficha.php?id=1494" TargetMode="External"/><Relationship Id="rId304" Type="http://schemas.openxmlformats.org/officeDocument/2006/relationships/hyperlink" Target="https://www.jivi.com.ar/ficha.php?id=1511" TargetMode="External"/><Relationship Id="rId388" Type="http://schemas.openxmlformats.org/officeDocument/2006/relationships/hyperlink" Target="https://www.jivi.com.ar/ficha.php?id=1452" TargetMode="External"/><Relationship Id="rId511" Type="http://schemas.openxmlformats.org/officeDocument/2006/relationships/hyperlink" Target="https://www.jivi.com.ar/ficha.php?id=1916" TargetMode="External"/><Relationship Id="rId609" Type="http://schemas.openxmlformats.org/officeDocument/2006/relationships/hyperlink" Target="https://www.jivi.com.ar/ficha.php?id=2215" TargetMode="External"/><Relationship Id="rId85" Type="http://schemas.openxmlformats.org/officeDocument/2006/relationships/hyperlink" Target="https://www.jivi.com.ar/ficha.php?id=169" TargetMode="External"/><Relationship Id="rId150" Type="http://schemas.openxmlformats.org/officeDocument/2006/relationships/hyperlink" Target="https://www.jivi.com.ar/ficha.php?id=1108" TargetMode="External"/><Relationship Id="rId595" Type="http://schemas.openxmlformats.org/officeDocument/2006/relationships/hyperlink" Target="https://www.jivi.com.ar/ficha.php?id=2229" TargetMode="External"/><Relationship Id="rId248" Type="http://schemas.openxmlformats.org/officeDocument/2006/relationships/hyperlink" Target="https://www.jivi.com.ar/ficha.php?id=1421" TargetMode="External"/><Relationship Id="rId455" Type="http://schemas.openxmlformats.org/officeDocument/2006/relationships/hyperlink" Target="https://www.jivi.com.ar/ficha.php?id=76" TargetMode="External"/><Relationship Id="rId662" Type="http://schemas.openxmlformats.org/officeDocument/2006/relationships/hyperlink" Target="https://www.jivi.com.ar/ficha.php?id=2340" TargetMode="External"/><Relationship Id="rId12" Type="http://schemas.openxmlformats.org/officeDocument/2006/relationships/hyperlink" Target="https://www.jivi.com.ar/ficha.php?id=164" TargetMode="External"/><Relationship Id="rId108" Type="http://schemas.openxmlformats.org/officeDocument/2006/relationships/hyperlink" Target="https://www.jivi.com.ar/ficha.php?id=215" TargetMode="External"/><Relationship Id="rId315" Type="http://schemas.openxmlformats.org/officeDocument/2006/relationships/hyperlink" Target="https://www.jivi.com.ar/ficha.php?id=1539" TargetMode="External"/><Relationship Id="rId522" Type="http://schemas.openxmlformats.org/officeDocument/2006/relationships/hyperlink" Target="https://www.jivi.com.ar/ficha.php?id=2008" TargetMode="External"/><Relationship Id="rId96" Type="http://schemas.openxmlformats.org/officeDocument/2006/relationships/hyperlink" Target="https://www.jivi.com.ar/ficha.php?id=472" TargetMode="External"/><Relationship Id="rId161" Type="http://schemas.openxmlformats.org/officeDocument/2006/relationships/hyperlink" Target="https://www.jivi.com.ar/ficha.php?id=488" TargetMode="External"/><Relationship Id="rId399" Type="http://schemas.openxmlformats.org/officeDocument/2006/relationships/hyperlink" Target="https://www.jivi.com.ar/ficha.php?id=1642" TargetMode="External"/><Relationship Id="rId259" Type="http://schemas.openxmlformats.org/officeDocument/2006/relationships/hyperlink" Target="https://www.jivi.com.ar/ficha.php?id=1442" TargetMode="External"/><Relationship Id="rId466" Type="http://schemas.openxmlformats.org/officeDocument/2006/relationships/hyperlink" Target="https://www.jivi.com.ar/ficha.php?id=1487" TargetMode="External"/><Relationship Id="rId673" Type="http://schemas.openxmlformats.org/officeDocument/2006/relationships/hyperlink" Target="https://www.jivi.com.ar/ficha.php?id=236" TargetMode="External"/><Relationship Id="rId23" Type="http://schemas.openxmlformats.org/officeDocument/2006/relationships/hyperlink" Target="https://www.jivi.com.ar/ficha.php?id=104" TargetMode="External"/><Relationship Id="rId119" Type="http://schemas.openxmlformats.org/officeDocument/2006/relationships/hyperlink" Target="https://www.jivi.com.ar/ficha.php?id=862" TargetMode="External"/><Relationship Id="rId326" Type="http://schemas.openxmlformats.org/officeDocument/2006/relationships/hyperlink" Target="https://www.jivi.com.ar/ficha.php?id=1311" TargetMode="External"/><Relationship Id="rId533" Type="http://schemas.openxmlformats.org/officeDocument/2006/relationships/hyperlink" Target="https://www.jivi.com.ar/ficha.php?id=2034" TargetMode="External"/><Relationship Id="rId172" Type="http://schemas.openxmlformats.org/officeDocument/2006/relationships/hyperlink" Target="https://www.jivi.com.ar/ficha.php?id=1219" TargetMode="External"/><Relationship Id="rId477" Type="http://schemas.openxmlformats.org/officeDocument/2006/relationships/hyperlink" Target="https://www.jivi.com.ar/ficha.php?id=1342" TargetMode="External"/><Relationship Id="rId600" Type="http://schemas.openxmlformats.org/officeDocument/2006/relationships/hyperlink" Target="https://www.jivi.com.ar/ficha.php?id=2206" TargetMode="External"/><Relationship Id="rId337" Type="http://schemas.openxmlformats.org/officeDocument/2006/relationships/hyperlink" Target="https://www.jivi.com.ar/ficha.php?id=1563" TargetMode="External"/><Relationship Id="rId34" Type="http://schemas.openxmlformats.org/officeDocument/2006/relationships/hyperlink" Target="https://www.jivi.com.ar/ficha.php?id=115" TargetMode="External"/><Relationship Id="rId544" Type="http://schemas.openxmlformats.org/officeDocument/2006/relationships/hyperlink" Target="https://www.jivi.com.ar/ficha.php?id=1256" TargetMode="External"/><Relationship Id="rId183" Type="http://schemas.openxmlformats.org/officeDocument/2006/relationships/hyperlink" Target="https://www.jivi.com.ar/ficha.php?id=920" TargetMode="External"/><Relationship Id="rId390" Type="http://schemas.openxmlformats.org/officeDocument/2006/relationships/hyperlink" Target="https://www.jivi.com.ar/ficha.php?id=1618" TargetMode="External"/><Relationship Id="rId404" Type="http://schemas.openxmlformats.org/officeDocument/2006/relationships/hyperlink" Target="https://www.jivi.com.ar/ficha.php?id=1660" TargetMode="External"/><Relationship Id="rId611" Type="http://schemas.openxmlformats.org/officeDocument/2006/relationships/hyperlink" Target="https://www.jivi.com.ar/ficha.php?id=2233" TargetMode="External"/><Relationship Id="rId250" Type="http://schemas.openxmlformats.org/officeDocument/2006/relationships/hyperlink" Target="https://www.jivi.com.ar/ficha.php?id=1423" TargetMode="External"/><Relationship Id="rId488" Type="http://schemas.openxmlformats.org/officeDocument/2006/relationships/hyperlink" Target="https://www.jivi.com.ar/ficha.php?id=1491" TargetMode="External"/><Relationship Id="rId45" Type="http://schemas.openxmlformats.org/officeDocument/2006/relationships/hyperlink" Target="https://www.jivi.com.ar/ficha.php?id=404" TargetMode="External"/><Relationship Id="rId110" Type="http://schemas.openxmlformats.org/officeDocument/2006/relationships/hyperlink" Target="https://www.jivi.com.ar/ficha.php?id=780" TargetMode="External"/><Relationship Id="rId348" Type="http://schemas.openxmlformats.org/officeDocument/2006/relationships/hyperlink" Target="https://www.jivi.com.ar/ficha.php?id=1570" TargetMode="External"/><Relationship Id="rId555" Type="http://schemas.openxmlformats.org/officeDocument/2006/relationships/hyperlink" Target="https://www.jivi.com.ar/ficha.php?id=2060" TargetMode="External"/><Relationship Id="rId194" Type="http://schemas.openxmlformats.org/officeDocument/2006/relationships/hyperlink" Target="https://www.jivi.com.ar/ficha.php?id=1302" TargetMode="External"/><Relationship Id="rId208" Type="http://schemas.openxmlformats.org/officeDocument/2006/relationships/hyperlink" Target="https://www.jivi.com.ar/ficha.php?id=1360" TargetMode="External"/><Relationship Id="rId415" Type="http://schemas.openxmlformats.org/officeDocument/2006/relationships/hyperlink" Target="https://www.jivi.com.ar/ficha.php?id=36" TargetMode="External"/><Relationship Id="rId622" Type="http://schemas.openxmlformats.org/officeDocument/2006/relationships/hyperlink" Target="https://www.jivi.com.ar/ficha.php?id=1656" TargetMode="External"/><Relationship Id="rId261" Type="http://schemas.openxmlformats.org/officeDocument/2006/relationships/hyperlink" Target="https://www.jivi.com.ar/ficha.php?id=216" TargetMode="External"/><Relationship Id="rId499" Type="http://schemas.openxmlformats.org/officeDocument/2006/relationships/hyperlink" Target="https://www.jivi.com.ar/ficha.php?id=1864" TargetMode="External"/><Relationship Id="rId56" Type="http://schemas.openxmlformats.org/officeDocument/2006/relationships/hyperlink" Target="https://www.jivi.com.ar/ficha.php?id=123" TargetMode="External"/><Relationship Id="rId359" Type="http://schemas.openxmlformats.org/officeDocument/2006/relationships/hyperlink" Target="https://www.jivi.com.ar/ficha.php?id=1576" TargetMode="External"/><Relationship Id="rId566" Type="http://schemas.openxmlformats.org/officeDocument/2006/relationships/hyperlink" Target="https://www.jivi.com.ar/ficha.php?id=2083" TargetMode="External"/><Relationship Id="rId121" Type="http://schemas.openxmlformats.org/officeDocument/2006/relationships/hyperlink" Target="https://www.jivi.com.ar/ficha.php?id=882" TargetMode="External"/><Relationship Id="rId219" Type="http://schemas.openxmlformats.org/officeDocument/2006/relationships/hyperlink" Target="https://www.jivi.com.ar/ficha.php?id=1387" TargetMode="External"/><Relationship Id="rId426" Type="http://schemas.openxmlformats.org/officeDocument/2006/relationships/hyperlink" Target="https://www.jivi.com.ar/ficha.php?id=1456" TargetMode="External"/><Relationship Id="rId633" Type="http://schemas.openxmlformats.org/officeDocument/2006/relationships/hyperlink" Target="https://www.jivi.com.ar/ficha.php?id=2288" TargetMode="External"/><Relationship Id="rId67" Type="http://schemas.openxmlformats.org/officeDocument/2006/relationships/hyperlink" Target="https://www.jivi.com.ar/ficha.php?id=719" TargetMode="External"/><Relationship Id="rId272" Type="http://schemas.openxmlformats.org/officeDocument/2006/relationships/hyperlink" Target="https://www.jivi.com.ar/ficha.php?id=1463" TargetMode="External"/><Relationship Id="rId577" Type="http://schemas.openxmlformats.org/officeDocument/2006/relationships/hyperlink" Target="https://www.jivi.com.ar/ficha.php?id=2142" TargetMode="External"/><Relationship Id="rId132" Type="http://schemas.openxmlformats.org/officeDocument/2006/relationships/hyperlink" Target="https://www.jivi.com.ar/ficha.php?id=957" TargetMode="External"/><Relationship Id="rId437" Type="http://schemas.openxmlformats.org/officeDocument/2006/relationships/hyperlink" Target="https://www.jivi.com.ar/ficha.php?id=1732" TargetMode="External"/><Relationship Id="rId644" Type="http://schemas.openxmlformats.org/officeDocument/2006/relationships/hyperlink" Target="https://www.jivi.com.ar/ficha.php?id=2299" TargetMode="External"/><Relationship Id="rId283" Type="http://schemas.openxmlformats.org/officeDocument/2006/relationships/hyperlink" Target="https://www.jivi.com.ar/ficha.php?id=1480" TargetMode="External"/><Relationship Id="rId490" Type="http://schemas.openxmlformats.org/officeDocument/2006/relationships/hyperlink" Target="https://www.jivi.com.ar/ficha.php?id=1594" TargetMode="External"/><Relationship Id="rId504" Type="http://schemas.openxmlformats.org/officeDocument/2006/relationships/hyperlink" Target="https://www.jivi.com.ar/ficha.php?id=1379" TargetMode="External"/><Relationship Id="rId78" Type="http://schemas.openxmlformats.org/officeDocument/2006/relationships/hyperlink" Target="https://www.jivi.com.ar/ficha.php?id=136" TargetMode="External"/><Relationship Id="rId143" Type="http://schemas.openxmlformats.org/officeDocument/2006/relationships/hyperlink" Target="https://www.jivi.com.ar/ficha.php?id=1095" TargetMode="External"/><Relationship Id="rId350" Type="http://schemas.openxmlformats.org/officeDocument/2006/relationships/hyperlink" Target="https://www.jivi.com.ar/ficha.php?id=1518" TargetMode="External"/><Relationship Id="rId588" Type="http://schemas.openxmlformats.org/officeDocument/2006/relationships/hyperlink" Target="https://www.jivi.com.ar/ficha.php?id=1454" TargetMode="External"/><Relationship Id="rId9" Type="http://schemas.openxmlformats.org/officeDocument/2006/relationships/hyperlink" Target="https://www.jivi.com.ar/ficha.php?id=42" TargetMode="External"/><Relationship Id="rId210" Type="http://schemas.openxmlformats.org/officeDocument/2006/relationships/hyperlink" Target="https://www.jivi.com.ar/ficha.php?id=1366" TargetMode="External"/><Relationship Id="rId448" Type="http://schemas.openxmlformats.org/officeDocument/2006/relationships/hyperlink" Target="https://www.jivi.com.ar/ficha.php?id=1787" TargetMode="External"/><Relationship Id="rId655" Type="http://schemas.openxmlformats.org/officeDocument/2006/relationships/hyperlink" Target="https://www.jivi.com.ar/ficha.php?id=2313" TargetMode="External"/><Relationship Id="rId294" Type="http://schemas.openxmlformats.org/officeDocument/2006/relationships/hyperlink" Target="httphttps://www.jivi.com.ar/ficha.php?id=1498" TargetMode="External"/><Relationship Id="rId308" Type="http://schemas.openxmlformats.org/officeDocument/2006/relationships/hyperlink" Target="https://www.jivi.com.ar/ficha.php?id=1523" TargetMode="External"/><Relationship Id="rId515" Type="http://schemas.openxmlformats.org/officeDocument/2006/relationships/hyperlink" Target="https://www.jivi.com.ar/ficha.php?id=1998" TargetMode="External"/><Relationship Id="rId89" Type="http://schemas.openxmlformats.org/officeDocument/2006/relationships/hyperlink" Target="https://www.jivi.com.ar/ficha.php?id=622" TargetMode="External"/><Relationship Id="rId154" Type="http://schemas.openxmlformats.org/officeDocument/2006/relationships/hyperlink" Target="https://www.jivi.com.ar/ficha.php?id=1157" TargetMode="External"/><Relationship Id="rId361" Type="http://schemas.openxmlformats.org/officeDocument/2006/relationships/hyperlink" Target="https://www.jivi.com.ar/ficha.php?id=1581" TargetMode="External"/><Relationship Id="rId599" Type="http://schemas.openxmlformats.org/officeDocument/2006/relationships/hyperlink" Target="https://www.jivi.com.ar/ficha.php?id=2205" TargetMode="External"/><Relationship Id="rId459" Type="http://schemas.openxmlformats.org/officeDocument/2006/relationships/hyperlink" Target="https://www.jivi.com.ar/ficha.php?id=1710" TargetMode="External"/><Relationship Id="rId666" Type="http://schemas.openxmlformats.org/officeDocument/2006/relationships/hyperlink" Target="https://www.jivi.com.ar/ficha.php?id=2342" TargetMode="External"/><Relationship Id="rId16" Type="http://schemas.openxmlformats.org/officeDocument/2006/relationships/hyperlink" Target="https://www.jivi.com.ar/ficha.php?id=97" TargetMode="External"/><Relationship Id="rId221" Type="http://schemas.openxmlformats.org/officeDocument/2006/relationships/hyperlink" Target="https://www.jivi.com.ar/ficha.php?id=363" TargetMode="External"/><Relationship Id="rId319" Type="http://schemas.openxmlformats.org/officeDocument/2006/relationships/hyperlink" Target="https://www.jivi.com.ar/ficha.php?id=1545" TargetMode="External"/><Relationship Id="rId526" Type="http://schemas.openxmlformats.org/officeDocument/2006/relationships/hyperlink" Target="https://www.jivi.com.ar/ficha.php?id=2012" TargetMode="External"/><Relationship Id="rId165" Type="http://schemas.openxmlformats.org/officeDocument/2006/relationships/hyperlink" Target="https://www.jivi.com.ar/ficha.php?id=1183" TargetMode="External"/><Relationship Id="rId372" Type="http://schemas.openxmlformats.org/officeDocument/2006/relationships/hyperlink" Target="https://www.jivi.com.ar/ficha.php?id=1596" TargetMode="External"/><Relationship Id="rId677" Type="http://schemas.openxmlformats.org/officeDocument/2006/relationships/vmlDrawing" Target="../drawings/vmlDrawing1.vml"/><Relationship Id="rId232" Type="http://schemas.openxmlformats.org/officeDocument/2006/relationships/hyperlink" Target="https://www.jivi.com.ar/ficha.php?id=1110" TargetMode="External"/><Relationship Id="rId27" Type="http://schemas.openxmlformats.org/officeDocument/2006/relationships/hyperlink" Target="https://www.jivi.com.ar/ficha.php?id=108" TargetMode="External"/><Relationship Id="rId537" Type="http://schemas.openxmlformats.org/officeDocument/2006/relationships/hyperlink" Target="https://www.jivi.com.ar/ficha.php?id=2042" TargetMode="External"/><Relationship Id="rId80" Type="http://schemas.openxmlformats.org/officeDocument/2006/relationships/hyperlink" Target="https://www.jivi.com.ar/ficha.php?id=138" TargetMode="External"/><Relationship Id="rId176" Type="http://schemas.openxmlformats.org/officeDocument/2006/relationships/hyperlink" Target="https://www.jivi.com.ar/ficha.php?id=904" TargetMode="External"/><Relationship Id="rId383" Type="http://schemas.openxmlformats.org/officeDocument/2006/relationships/hyperlink" Target="https://www.jivi.com.ar/ficha.php?id=1609" TargetMode="External"/><Relationship Id="rId590" Type="http://schemas.openxmlformats.org/officeDocument/2006/relationships/hyperlink" Target="https://www.jivi.com.ar/ficha.php?id=2230" TargetMode="External"/><Relationship Id="rId604" Type="http://schemas.openxmlformats.org/officeDocument/2006/relationships/hyperlink" Target="https://www.jivi.com.ar/ficha.php?id=2210" TargetMode="External"/><Relationship Id="rId243" Type="http://schemas.openxmlformats.org/officeDocument/2006/relationships/hyperlink" Target="https://www.jivi.com.ar/ficha.php?id=1353" TargetMode="External"/><Relationship Id="rId450" Type="http://schemas.openxmlformats.org/officeDocument/2006/relationships/hyperlink" Target="https://www.jivi.com.ar/ficha.php?id=1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647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7"/>
      <c r="B1" s="1055" t="s">
        <v>0</v>
      </c>
      <c r="C1" s="1056"/>
      <c r="D1" s="1056"/>
      <c r="E1" s="1056"/>
      <c r="F1" s="1056"/>
      <c r="G1" s="1056"/>
      <c r="H1" s="1056"/>
      <c r="I1" s="1056"/>
      <c r="J1" s="1056"/>
      <c r="K1" s="1056"/>
      <c r="L1" s="1056"/>
      <c r="M1" s="1056"/>
      <c r="N1" s="1056"/>
      <c r="O1" s="1056"/>
      <c r="P1" s="1056"/>
      <c r="Q1" s="1056"/>
      <c r="R1" s="1056"/>
      <c r="S1" s="1056"/>
      <c r="T1" s="1056"/>
      <c r="U1" s="1056"/>
      <c r="V1" s="1056"/>
      <c r="W1" s="1057"/>
      <c r="X1" s="409">
        <v>1</v>
      </c>
      <c r="Y1" s="1047" t="s">
        <v>1</v>
      </c>
      <c r="Z1" s="1048"/>
      <c r="AA1" s="1048"/>
      <c r="AB1" s="1048"/>
      <c r="AC1" s="1048"/>
      <c r="AD1" s="1049"/>
      <c r="AE1" s="1044" t="s">
        <v>2</v>
      </c>
      <c r="AF1" s="1045"/>
      <c r="AG1" s="1045"/>
      <c r="AH1" s="1045"/>
      <c r="AI1" s="1046"/>
      <c r="AJ1" s="1042" t="s">
        <v>3</v>
      </c>
      <c r="AK1" s="52"/>
      <c r="AL1" s="52"/>
      <c r="AM1" s="50"/>
    </row>
    <row r="2" spans="1:39" ht="14.25" customHeight="1" x14ac:dyDescent="0.2">
      <c r="A2" s="17"/>
      <c r="B2" s="1022" t="s">
        <v>1026</v>
      </c>
      <c r="C2" s="1023"/>
      <c r="D2" s="1023"/>
      <c r="E2" s="1023"/>
      <c r="F2" s="1023"/>
      <c r="G2" s="1023"/>
      <c r="H2" s="1023"/>
      <c r="I2" s="1023"/>
      <c r="J2" s="1023"/>
      <c r="K2" s="1023"/>
      <c r="L2" s="1023"/>
      <c r="M2" s="1023"/>
      <c r="N2" s="1023"/>
      <c r="O2" s="1023"/>
      <c r="P2" s="1023"/>
      <c r="Q2" s="1023"/>
      <c r="R2" s="1023"/>
      <c r="S2" s="1023"/>
      <c r="T2" s="1023"/>
      <c r="U2" s="1023"/>
      <c r="V2" s="1024"/>
      <c r="W2" s="1025"/>
      <c r="X2" s="410">
        <v>1540</v>
      </c>
      <c r="Y2" s="1061" t="s">
        <v>4</v>
      </c>
      <c r="Z2" s="1062"/>
      <c r="AA2" s="1062"/>
      <c r="AB2" s="1062"/>
      <c r="AC2" s="1062"/>
      <c r="AD2" s="1063"/>
      <c r="AE2" s="1053" t="s">
        <v>5</v>
      </c>
      <c r="AF2" s="1054"/>
      <c r="AG2" s="1054"/>
      <c r="AH2" s="411"/>
      <c r="AI2" s="412"/>
      <c r="AJ2" s="1043"/>
      <c r="AK2" s="160"/>
      <c r="AL2" s="160"/>
      <c r="AM2" s="50"/>
    </row>
    <row r="3" spans="1:39" ht="15.75" customHeight="1" x14ac:dyDescent="0.2">
      <c r="A3" s="17"/>
      <c r="B3" s="1070"/>
      <c r="C3" s="1071"/>
      <c r="D3" s="1072"/>
      <c r="E3" s="1015" t="s">
        <v>6</v>
      </c>
      <c r="F3" s="1016"/>
      <c r="G3" s="1016"/>
      <c r="H3" s="1016"/>
      <c r="I3" s="1016"/>
      <c r="J3" s="1016"/>
      <c r="K3" s="1016"/>
      <c r="L3" s="1016"/>
      <c r="M3" s="1016"/>
      <c r="N3" s="1016"/>
      <c r="O3" s="1016"/>
      <c r="P3" s="1016"/>
      <c r="Q3" s="1016"/>
      <c r="R3" s="1016"/>
      <c r="S3" s="1016"/>
      <c r="T3" s="1016"/>
      <c r="U3" s="1016"/>
      <c r="V3" s="1017"/>
      <c r="W3" s="1018"/>
      <c r="X3" s="1058" t="s">
        <v>838</v>
      </c>
      <c r="Y3" s="1059"/>
      <c r="Z3" s="1059"/>
      <c r="AA3" s="1059"/>
      <c r="AB3" s="1059"/>
      <c r="AC3" s="1059"/>
      <c r="AD3" s="1060"/>
      <c r="AE3" s="1051"/>
      <c r="AF3" s="1052"/>
      <c r="AG3" s="1052"/>
      <c r="AH3" s="1052"/>
      <c r="AI3" s="1052"/>
      <c r="AJ3" s="13"/>
      <c r="AK3" s="13"/>
      <c r="AL3" s="13"/>
      <c r="AM3" s="51"/>
    </row>
    <row r="4" spans="1:39" ht="21.75" customHeight="1" x14ac:dyDescent="0.2">
      <c r="A4" s="17"/>
      <c r="B4" s="1073"/>
      <c r="C4" s="1074"/>
      <c r="D4" s="1075"/>
      <c r="E4" s="1019" t="s">
        <v>7</v>
      </c>
      <c r="F4" s="1020"/>
      <c r="G4" s="1020"/>
      <c r="H4" s="1020"/>
      <c r="I4" s="1020"/>
      <c r="J4" s="1020"/>
      <c r="K4" s="1020"/>
      <c r="L4" s="1020"/>
      <c r="M4" s="1020"/>
      <c r="N4" s="1020"/>
      <c r="O4" s="1020"/>
      <c r="P4" s="1020"/>
      <c r="Q4" s="1020"/>
      <c r="R4" s="1020"/>
      <c r="S4" s="1020"/>
      <c r="T4" s="1020"/>
      <c r="U4" s="1020"/>
      <c r="V4" s="1020"/>
      <c r="W4" s="1021"/>
      <c r="X4" s="791"/>
      <c r="Y4" s="792"/>
      <c r="Z4" s="792"/>
      <c r="AA4" s="792"/>
      <c r="AB4" s="792"/>
      <c r="AC4" s="792"/>
      <c r="AD4" s="793"/>
      <c r="AE4" s="1052"/>
      <c r="AF4" s="1052"/>
      <c r="AG4" s="1052"/>
      <c r="AH4" s="1052"/>
      <c r="AI4" s="1052"/>
      <c r="AJ4" s="13"/>
      <c r="AK4" s="13"/>
      <c r="AL4" s="13"/>
      <c r="AM4" s="51"/>
    </row>
    <row r="5" spans="1:39" ht="23.25" customHeight="1" x14ac:dyDescent="0.2">
      <c r="A5" s="17"/>
      <c r="B5" s="1076"/>
      <c r="C5" s="1077"/>
      <c r="D5" s="1078"/>
      <c r="E5" s="1079" t="s">
        <v>8</v>
      </c>
      <c r="F5" s="1080"/>
      <c r="G5" s="1080"/>
      <c r="H5" s="1080"/>
      <c r="I5" s="1080"/>
      <c r="J5" s="1080"/>
      <c r="K5" s="1080"/>
      <c r="L5" s="1080"/>
      <c r="M5" s="1080"/>
      <c r="N5" s="1080"/>
      <c r="O5" s="1080"/>
      <c r="P5" s="1080"/>
      <c r="Q5" s="1080"/>
      <c r="R5" s="1080"/>
      <c r="S5" s="1080"/>
      <c r="T5" s="1080"/>
      <c r="U5" s="1080"/>
      <c r="V5" s="1080"/>
      <c r="W5" s="1081"/>
      <c r="X5" s="1092"/>
      <c r="Y5" s="1093"/>
      <c r="Z5" s="1093"/>
      <c r="AA5" s="1093"/>
      <c r="AB5" s="1093"/>
      <c r="AC5" s="1093"/>
      <c r="AD5" s="1094"/>
      <c r="AE5" s="1088"/>
      <c r="AF5" s="1088"/>
      <c r="AG5" s="1088"/>
      <c r="AH5" s="1088"/>
      <c r="AI5" s="1088"/>
      <c r="AJ5" s="13"/>
      <c r="AK5" s="13"/>
      <c r="AL5" s="13"/>
      <c r="AM5" s="51"/>
    </row>
    <row r="6" spans="1:39" ht="12" customHeight="1" x14ac:dyDescent="0.2">
      <c r="A6" s="17"/>
      <c r="B6" s="1082" t="s">
        <v>9</v>
      </c>
      <c r="C6" s="1083"/>
      <c r="D6" s="1083"/>
      <c r="E6" s="1083"/>
      <c r="F6" s="1083"/>
      <c r="G6" s="1083"/>
      <c r="H6" s="1083"/>
      <c r="I6" s="1083"/>
      <c r="J6" s="1083"/>
      <c r="K6" s="1083"/>
      <c r="L6" s="1083"/>
      <c r="M6" s="1083"/>
      <c r="N6" s="1083"/>
      <c r="O6" s="1083"/>
      <c r="P6" s="1083"/>
      <c r="Q6" s="1083"/>
      <c r="R6" s="1083"/>
      <c r="S6" s="1083"/>
      <c r="T6" s="1083"/>
      <c r="U6" s="1083"/>
      <c r="V6" s="1083"/>
      <c r="W6" s="1084"/>
      <c r="X6" s="1095"/>
      <c r="Y6" s="1096"/>
      <c r="Z6" s="1096"/>
      <c r="AA6" s="1096"/>
      <c r="AB6" s="1096"/>
      <c r="AC6" s="1096"/>
      <c r="AD6" s="1097"/>
      <c r="AE6" s="1088"/>
      <c r="AF6" s="1088"/>
      <c r="AG6" s="1088"/>
      <c r="AH6" s="1088"/>
      <c r="AI6" s="1088"/>
      <c r="AJ6" s="13"/>
      <c r="AK6" s="13"/>
      <c r="AL6" s="13"/>
      <c r="AM6" s="51"/>
    </row>
    <row r="7" spans="1:39" ht="13.5" customHeight="1" x14ac:dyDescent="0.2">
      <c r="A7" s="17"/>
      <c r="B7" s="1085" t="s">
        <v>10</v>
      </c>
      <c r="C7" s="1086"/>
      <c r="D7" s="1086"/>
      <c r="E7" s="1086"/>
      <c r="F7" s="1086"/>
      <c r="G7" s="1086"/>
      <c r="H7" s="1086"/>
      <c r="I7" s="1086"/>
      <c r="J7" s="1086"/>
      <c r="K7" s="1086"/>
      <c r="L7" s="1086"/>
      <c r="M7" s="1086"/>
      <c r="N7" s="1086"/>
      <c r="O7" s="1086"/>
      <c r="P7" s="1086"/>
      <c r="Q7" s="1086"/>
      <c r="R7" s="1086"/>
      <c r="S7" s="1086"/>
      <c r="T7" s="1086"/>
      <c r="U7" s="1086"/>
      <c r="V7" s="1086"/>
      <c r="W7" s="1087"/>
      <c r="X7" s="1098"/>
      <c r="Y7" s="1099"/>
      <c r="Z7" s="1099"/>
      <c r="AA7" s="1099"/>
      <c r="AB7" s="1099"/>
      <c r="AC7" s="1099"/>
      <c r="AD7" s="1100"/>
      <c r="AE7" s="1088"/>
      <c r="AF7" s="1088"/>
      <c r="AG7" s="1088"/>
      <c r="AH7" s="1088"/>
      <c r="AI7" s="1088"/>
    </row>
    <row r="8" spans="1:39" ht="14.25" customHeight="1" x14ac:dyDescent="0.2">
      <c r="A8" s="17"/>
      <c r="B8" s="729" t="s">
        <v>11</v>
      </c>
      <c r="C8" s="688" t="s">
        <v>12</v>
      </c>
      <c r="D8" s="689"/>
      <c r="E8" s="689"/>
      <c r="F8" s="644" t="s">
        <v>13</v>
      </c>
      <c r="G8" s="644" t="s">
        <v>13</v>
      </c>
      <c r="H8" s="632" t="s">
        <v>726</v>
      </c>
      <c r="I8" s="632"/>
      <c r="J8" s="633"/>
      <c r="K8" s="633"/>
      <c r="L8" s="633"/>
      <c r="M8" s="633"/>
      <c r="N8" s="633"/>
      <c r="O8" s="633"/>
      <c r="P8" s="633"/>
      <c r="Q8" s="633"/>
      <c r="R8" s="633"/>
      <c r="S8" s="633"/>
      <c r="T8" s="633"/>
      <c r="U8" s="633"/>
      <c r="V8" s="633"/>
      <c r="W8" s="633"/>
      <c r="X8" s="658" t="s">
        <v>14</v>
      </c>
      <c r="Y8" s="659"/>
      <c r="Z8" s="659"/>
      <c r="AA8" s="660"/>
      <c r="AB8" s="760" t="s">
        <v>15</v>
      </c>
      <c r="AC8" s="1064" t="s">
        <v>16</v>
      </c>
      <c r="AD8" s="1065"/>
      <c r="AE8" s="1065"/>
      <c r="AF8" s="1065"/>
      <c r="AG8" s="1065"/>
      <c r="AH8" s="1065"/>
      <c r="AI8" s="1066"/>
    </row>
    <row r="9" spans="1:39" ht="11.25" customHeight="1" x14ac:dyDescent="0.2">
      <c r="A9" s="17"/>
      <c r="B9" s="729"/>
      <c r="C9" s="689"/>
      <c r="D9" s="689"/>
      <c r="E9" s="689"/>
      <c r="F9" s="645"/>
      <c r="G9" s="645"/>
      <c r="H9" s="407"/>
      <c r="I9" s="405" t="s">
        <v>261</v>
      </c>
      <c r="J9" s="407"/>
      <c r="K9" s="405" t="s">
        <v>17</v>
      </c>
      <c r="L9" s="408"/>
      <c r="M9" s="408" t="s">
        <v>18</v>
      </c>
      <c r="N9" s="408"/>
      <c r="O9" s="405" t="s">
        <v>19</v>
      </c>
      <c r="P9" s="408"/>
      <c r="Q9" s="408" t="s">
        <v>262</v>
      </c>
      <c r="R9" s="408"/>
      <c r="S9" s="408" t="s">
        <v>20</v>
      </c>
      <c r="T9" s="408"/>
      <c r="U9" s="408" t="s">
        <v>21</v>
      </c>
      <c r="V9" s="408"/>
      <c r="W9" s="408" t="s">
        <v>22</v>
      </c>
      <c r="X9" s="661"/>
      <c r="Y9" s="662"/>
      <c r="Z9" s="662"/>
      <c r="AA9" s="663"/>
      <c r="AB9" s="761"/>
      <c r="AC9" s="1067"/>
      <c r="AD9" s="1068"/>
      <c r="AE9" s="1068"/>
      <c r="AF9" s="1068"/>
      <c r="AG9" s="1068"/>
      <c r="AH9" s="1068"/>
      <c r="AI9" s="1069"/>
    </row>
    <row r="10" spans="1:39" ht="12.6" customHeight="1" x14ac:dyDescent="0.2">
      <c r="A10" s="17"/>
      <c r="B10" s="1089" t="s">
        <v>628</v>
      </c>
      <c r="C10" s="1090"/>
      <c r="D10" s="1090"/>
      <c r="E10" s="1091"/>
      <c r="F10" s="270">
        <v>660</v>
      </c>
      <c r="G10" s="276">
        <f t="shared" ref="G10" si="0">+F10*$X$1</f>
        <v>660</v>
      </c>
      <c r="H10" s="414"/>
      <c r="I10" s="600"/>
      <c r="J10" s="79">
        <f>F10+120</f>
        <v>780</v>
      </c>
      <c r="K10" s="270"/>
      <c r="L10" s="93"/>
      <c r="M10" s="270"/>
      <c r="N10" s="537">
        <f>F10+160</f>
        <v>820</v>
      </c>
      <c r="O10" s="255">
        <f t="shared" ref="O10:O12" si="1">+N10*$X$1</f>
        <v>820</v>
      </c>
      <c r="P10" s="537">
        <f>F10+130</f>
        <v>790</v>
      </c>
      <c r="Q10" s="255">
        <f t="shared" ref="Q10:Q12" si="2">+P10*$X$1</f>
        <v>790</v>
      </c>
      <c r="R10" s="537">
        <f>F10+110</f>
        <v>770</v>
      </c>
      <c r="S10" s="255">
        <f t="shared" ref="S10:S12" si="3">+R10*$X$1</f>
        <v>770</v>
      </c>
      <c r="T10" s="537">
        <f>F10+90</f>
        <v>750</v>
      </c>
      <c r="U10" s="255">
        <f t="shared" ref="U10:U12" si="4">+T10*$X$1</f>
        <v>750</v>
      </c>
      <c r="V10" s="537">
        <f>F10+70</f>
        <v>730</v>
      </c>
      <c r="W10" s="255">
        <f t="shared" ref="W10:W12" si="5">+V10*$X$1</f>
        <v>730</v>
      </c>
      <c r="X10" s="119"/>
      <c r="Y10" s="119"/>
      <c r="Z10" s="119"/>
      <c r="AA10" s="119"/>
      <c r="AB10" s="346">
        <v>13</v>
      </c>
      <c r="AE10" s="58"/>
      <c r="AF10" s="1050" t="s">
        <v>752</v>
      </c>
      <c r="AG10" s="1050"/>
      <c r="AH10" s="1050"/>
    </row>
    <row r="11" spans="1:39" ht="12.6" customHeight="1" x14ac:dyDescent="0.2">
      <c r="A11" s="17"/>
      <c r="B11" s="743" t="s">
        <v>736</v>
      </c>
      <c r="C11" s="649"/>
      <c r="D11" s="649"/>
      <c r="E11" s="650"/>
      <c r="F11" s="256">
        <v>1466</v>
      </c>
      <c r="G11" s="275">
        <f t="shared" ref="G11" si="6">+F11*$X$1</f>
        <v>1466</v>
      </c>
      <c r="H11" s="250"/>
      <c r="I11" s="303"/>
      <c r="J11" s="82">
        <f>F11+120</f>
        <v>1586</v>
      </c>
      <c r="K11" s="256"/>
      <c r="L11" s="546"/>
      <c r="M11" s="256"/>
      <c r="N11" s="546">
        <f>F11+160</f>
        <v>1626</v>
      </c>
      <c r="O11" s="256">
        <f t="shared" si="1"/>
        <v>1626</v>
      </c>
      <c r="P11" s="546">
        <f>F11+130</f>
        <v>1596</v>
      </c>
      <c r="Q11" s="256">
        <f t="shared" si="2"/>
        <v>1596</v>
      </c>
      <c r="R11" s="546">
        <f>F11+110</f>
        <v>1576</v>
      </c>
      <c r="S11" s="256">
        <f t="shared" si="3"/>
        <v>1576</v>
      </c>
      <c r="T11" s="546">
        <f>F11+90</f>
        <v>1556</v>
      </c>
      <c r="U11" s="256">
        <f t="shared" si="4"/>
        <v>1556</v>
      </c>
      <c r="V11" s="546">
        <f>F11+70</f>
        <v>1536</v>
      </c>
      <c r="W11" s="256">
        <f t="shared" si="5"/>
        <v>1536</v>
      </c>
      <c r="X11" s="119"/>
      <c r="Y11" s="119"/>
      <c r="Z11" s="119"/>
      <c r="AA11" s="119"/>
      <c r="AB11" s="346">
        <v>14</v>
      </c>
      <c r="AE11" s="58"/>
      <c r="AF11" s="1050" t="s">
        <v>23</v>
      </c>
      <c r="AG11" s="1050"/>
      <c r="AH11" s="1050"/>
    </row>
    <row r="12" spans="1:39" ht="12.6" customHeight="1" x14ac:dyDescent="0.2">
      <c r="A12" s="17"/>
      <c r="B12" s="757" t="s">
        <v>627</v>
      </c>
      <c r="C12" s="631"/>
      <c r="D12" s="631"/>
      <c r="E12" s="631"/>
      <c r="F12" s="255">
        <v>1596</v>
      </c>
      <c r="G12" s="276">
        <f t="shared" ref="G12:G13" si="7">+F12*$X$1</f>
        <v>1596</v>
      </c>
      <c r="H12" s="251"/>
      <c r="I12" s="302"/>
      <c r="J12" s="68"/>
      <c r="K12" s="255"/>
      <c r="L12" s="537"/>
      <c r="M12" s="255"/>
      <c r="N12" s="537">
        <f>F12+160</f>
        <v>1756</v>
      </c>
      <c r="O12" s="255">
        <f t="shared" si="1"/>
        <v>1756</v>
      </c>
      <c r="P12" s="537">
        <f>F12+130</f>
        <v>1726</v>
      </c>
      <c r="Q12" s="255">
        <f t="shared" si="2"/>
        <v>1726</v>
      </c>
      <c r="R12" s="537">
        <f>F12+110</f>
        <v>1706</v>
      </c>
      <c r="S12" s="255">
        <f t="shared" si="3"/>
        <v>1706</v>
      </c>
      <c r="T12" s="537">
        <f>F12+90</f>
        <v>1686</v>
      </c>
      <c r="U12" s="255">
        <f t="shared" si="4"/>
        <v>1686</v>
      </c>
      <c r="V12" s="537">
        <f>F12+70</f>
        <v>1666</v>
      </c>
      <c r="W12" s="255">
        <f t="shared" si="5"/>
        <v>1666</v>
      </c>
      <c r="X12" s="119"/>
      <c r="Y12" s="119"/>
      <c r="Z12" s="119"/>
      <c r="AA12" s="119"/>
      <c r="AB12" s="346">
        <v>15</v>
      </c>
      <c r="AE12" s="58"/>
      <c r="AF12" s="1050" t="s">
        <v>368</v>
      </c>
      <c r="AG12" s="1050"/>
      <c r="AH12" s="1050"/>
    </row>
    <row r="13" spans="1:39" ht="12.6" customHeight="1" x14ac:dyDescent="0.2">
      <c r="A13" s="17"/>
      <c r="B13" s="743" t="s">
        <v>370</v>
      </c>
      <c r="C13" s="649"/>
      <c r="D13" s="649"/>
      <c r="E13" s="650"/>
      <c r="F13" s="256">
        <v>510</v>
      </c>
      <c r="G13" s="275">
        <f t="shared" si="7"/>
        <v>510</v>
      </c>
      <c r="H13" s="250"/>
      <c r="I13" s="303"/>
      <c r="J13" s="546">
        <f>F13+200</f>
        <v>710</v>
      </c>
      <c r="K13" s="256">
        <f t="shared" ref="K13" si="8">+J13*$X$1</f>
        <v>710</v>
      </c>
      <c r="L13" s="546">
        <f>F13+150</f>
        <v>660</v>
      </c>
      <c r="M13" s="256">
        <f t="shared" ref="M13" si="9">+L13*$X$1</f>
        <v>660</v>
      </c>
      <c r="N13" s="546">
        <f>F13+100</f>
        <v>610</v>
      </c>
      <c r="O13" s="256">
        <f>+N13*$X$1</f>
        <v>610</v>
      </c>
      <c r="P13" s="546">
        <f>F13+90</f>
        <v>600</v>
      </c>
      <c r="Q13" s="256">
        <f t="shared" ref="Q13" si="10">+P13*$X$1</f>
        <v>600</v>
      </c>
      <c r="R13" s="546">
        <f>F13+70</f>
        <v>580</v>
      </c>
      <c r="S13" s="256">
        <f>+R13*$X$1</f>
        <v>580</v>
      </c>
      <c r="T13" s="546">
        <f>F13+56</f>
        <v>566</v>
      </c>
      <c r="U13" s="256">
        <f t="shared" ref="U13:U14" si="11">+T13*$X$1</f>
        <v>566</v>
      </c>
      <c r="V13" s="546"/>
      <c r="W13" s="256"/>
      <c r="X13" s="119"/>
      <c r="Y13" s="119"/>
      <c r="Z13" s="119"/>
      <c r="AA13" s="119"/>
      <c r="AB13" s="346">
        <v>17</v>
      </c>
      <c r="AE13" s="58"/>
      <c r="AF13" s="1050" t="s">
        <v>331</v>
      </c>
      <c r="AG13" s="1050"/>
      <c r="AH13" s="1050"/>
      <c r="AI13" s="58"/>
    </row>
    <row r="14" spans="1:39" ht="12.6" customHeight="1" x14ac:dyDescent="0.2">
      <c r="A14" s="17"/>
      <c r="B14" s="751" t="s">
        <v>640</v>
      </c>
      <c r="C14" s="684"/>
      <c r="D14" s="684"/>
      <c r="E14" s="685"/>
      <c r="F14" s="329">
        <f>19.97*X2</f>
        <v>30753.8</v>
      </c>
      <c r="G14" s="276">
        <f>+F14*$X$1</f>
        <v>30753.8</v>
      </c>
      <c r="H14" s="287">
        <f>F14+600</f>
        <v>31353.8</v>
      </c>
      <c r="I14" s="255">
        <f t="shared" ref="I14" si="12">+H14*$X$1</f>
        <v>31353.8</v>
      </c>
      <c r="J14" s="537">
        <f>F14+250</f>
        <v>31003.8</v>
      </c>
      <c r="K14" s="255">
        <f t="shared" ref="K14" si="13">+J14*$X$1</f>
        <v>31003.8</v>
      </c>
      <c r="L14" s="537">
        <f>F14+210</f>
        <v>30963.8</v>
      </c>
      <c r="M14" s="255">
        <f t="shared" ref="M14" si="14">+L14*$X$1</f>
        <v>30963.8</v>
      </c>
      <c r="N14" s="537">
        <f>F14+180</f>
        <v>30933.8</v>
      </c>
      <c r="O14" s="255">
        <f t="shared" ref="O14" si="15">+N14*$X$1</f>
        <v>30933.8</v>
      </c>
      <c r="P14" s="537">
        <f>F14+140</f>
        <v>30893.8</v>
      </c>
      <c r="Q14" s="255">
        <f t="shared" ref="Q14" si="16">+P14*$X$1</f>
        <v>30893.8</v>
      </c>
      <c r="R14" s="537">
        <f>F14+110</f>
        <v>30863.8</v>
      </c>
      <c r="S14" s="255">
        <f t="shared" ref="S14" si="17">+R14*$X$1</f>
        <v>30863.8</v>
      </c>
      <c r="T14" s="537">
        <f>F14+90</f>
        <v>30843.8</v>
      </c>
      <c r="U14" s="255">
        <f t="shared" si="11"/>
        <v>30843.8</v>
      </c>
      <c r="V14" s="537"/>
      <c r="W14" s="255"/>
      <c r="X14" s="636"/>
      <c r="Y14" s="638"/>
      <c r="Z14" s="638"/>
      <c r="AA14" s="637"/>
      <c r="AB14" s="346">
        <v>18</v>
      </c>
      <c r="AE14" s="69"/>
      <c r="AF14" s="1050" t="s">
        <v>332</v>
      </c>
      <c r="AG14" s="1050"/>
      <c r="AH14" s="1050"/>
      <c r="AI14" s="458"/>
    </row>
    <row r="15" spans="1:39" ht="12.6" customHeight="1" x14ac:dyDescent="0.2">
      <c r="A15" s="17"/>
      <c r="B15" s="651" t="s">
        <v>977</v>
      </c>
      <c r="C15" s="652"/>
      <c r="D15" s="652"/>
      <c r="E15" s="653"/>
      <c r="F15" s="256">
        <v>7433</v>
      </c>
      <c r="G15" s="275">
        <f t="shared" ref="G15:G16" si="18">+F15*$X$1</f>
        <v>7433</v>
      </c>
      <c r="H15" s="399">
        <f>F15+600</f>
        <v>8033</v>
      </c>
      <c r="I15" s="256">
        <f t="shared" ref="I15" si="19">+H15*$X$1</f>
        <v>8033</v>
      </c>
      <c r="J15" s="546">
        <f>F15+250</f>
        <v>7683</v>
      </c>
      <c r="K15" s="256">
        <f t="shared" ref="K15" si="20">+J15*$X$1</f>
        <v>7683</v>
      </c>
      <c r="L15" s="546">
        <f>F15+210</f>
        <v>7643</v>
      </c>
      <c r="M15" s="256">
        <f t="shared" ref="M15" si="21">+L15*$X$1</f>
        <v>7643</v>
      </c>
      <c r="N15" s="546">
        <f>F15+180</f>
        <v>7613</v>
      </c>
      <c r="O15" s="256">
        <f t="shared" ref="O15" si="22">+N15*$X$1</f>
        <v>7613</v>
      </c>
      <c r="P15" s="546">
        <f>F15+140</f>
        <v>7573</v>
      </c>
      <c r="Q15" s="256">
        <f t="shared" ref="Q15" si="23">+P15*$X$1</f>
        <v>7573</v>
      </c>
      <c r="R15" s="546">
        <f>F15+110</f>
        <v>7543</v>
      </c>
      <c r="S15" s="256">
        <f t="shared" ref="S15" si="24">+R15*$X$1</f>
        <v>7543</v>
      </c>
      <c r="T15" s="546">
        <f>F15+90</f>
        <v>7523</v>
      </c>
      <c r="U15" s="256">
        <f t="shared" ref="U15" si="25">+T15*$X$1</f>
        <v>7523</v>
      </c>
      <c r="V15" s="546"/>
      <c r="W15" s="256"/>
      <c r="X15" s="636"/>
      <c r="Y15" s="638"/>
      <c r="Z15" s="638"/>
      <c r="AA15" s="637"/>
      <c r="AB15" s="346">
        <v>19</v>
      </c>
      <c r="AE15" s="69"/>
      <c r="AF15" s="623" t="s">
        <v>24</v>
      </c>
      <c r="AG15" s="623"/>
      <c r="AH15" s="623"/>
      <c r="AI15" s="623"/>
    </row>
    <row r="16" spans="1:39" ht="12.6" customHeight="1" x14ac:dyDescent="0.2">
      <c r="A16" s="17"/>
      <c r="B16" s="751" t="s">
        <v>1002</v>
      </c>
      <c r="C16" s="684"/>
      <c r="D16" s="684"/>
      <c r="E16" s="685"/>
      <c r="F16" s="255">
        <v>3240</v>
      </c>
      <c r="G16" s="276">
        <f t="shared" si="18"/>
        <v>3240</v>
      </c>
      <c r="H16" s="251"/>
      <c r="I16" s="302"/>
      <c r="J16" s="537"/>
      <c r="K16" s="255"/>
      <c r="L16" s="537"/>
      <c r="M16" s="255"/>
      <c r="N16" s="537"/>
      <c r="O16" s="255"/>
      <c r="P16" s="537"/>
      <c r="Q16" s="255"/>
      <c r="R16" s="537"/>
      <c r="S16" s="255"/>
      <c r="T16" s="537"/>
      <c r="U16" s="255"/>
      <c r="V16" s="537"/>
      <c r="W16" s="255"/>
      <c r="X16" s="119"/>
      <c r="Y16" s="119"/>
      <c r="Z16" s="119"/>
      <c r="AA16" s="119"/>
      <c r="AB16" s="346">
        <v>20</v>
      </c>
      <c r="AE16" s="58"/>
      <c r="AF16" s="623" t="s">
        <v>786</v>
      </c>
      <c r="AG16" s="623"/>
      <c r="AH16" s="623"/>
      <c r="AI16" s="623"/>
    </row>
    <row r="17" spans="1:37" ht="12.6" customHeight="1" x14ac:dyDescent="0.2">
      <c r="A17" s="17"/>
      <c r="B17" s="743" t="s">
        <v>831</v>
      </c>
      <c r="C17" s="649"/>
      <c r="D17" s="649"/>
      <c r="E17" s="650"/>
      <c r="F17" s="328">
        <f>11*X2</f>
        <v>16940</v>
      </c>
      <c r="G17" s="256">
        <f>+F17*$X$1</f>
        <v>16940</v>
      </c>
      <c r="H17" s="250"/>
      <c r="I17" s="303"/>
      <c r="J17" s="546"/>
      <c r="K17" s="256"/>
      <c r="L17" s="546">
        <f>F17+210</f>
        <v>17150</v>
      </c>
      <c r="M17" s="256">
        <f t="shared" ref="M17" si="26">+L17*$X$1</f>
        <v>17150</v>
      </c>
      <c r="N17" s="546">
        <f>F17+180</f>
        <v>17120</v>
      </c>
      <c r="O17" s="256">
        <f t="shared" ref="O17" si="27">+N17*$X$1</f>
        <v>17120</v>
      </c>
      <c r="P17" s="546">
        <f>F17+140</f>
        <v>17080</v>
      </c>
      <c r="Q17" s="256">
        <f t="shared" ref="Q17" si="28">+P17*$X$1</f>
        <v>17080</v>
      </c>
      <c r="R17" s="546">
        <f>F17+110</f>
        <v>17050</v>
      </c>
      <c r="S17" s="256">
        <f t="shared" ref="S17" si="29">+R17*$X$1</f>
        <v>17050</v>
      </c>
      <c r="T17" s="546">
        <f>F17+90</f>
        <v>17030</v>
      </c>
      <c r="U17" s="256">
        <f t="shared" ref="U17" si="30">+T17*$X$1</f>
        <v>17030</v>
      </c>
      <c r="V17" s="546"/>
      <c r="W17" s="256"/>
      <c r="X17" s="488"/>
      <c r="Y17" s="150"/>
      <c r="Z17" s="150"/>
      <c r="AA17" s="151"/>
      <c r="AB17" s="346">
        <v>22</v>
      </c>
      <c r="AE17" s="69"/>
      <c r="AF17" s="623" t="s">
        <v>673</v>
      </c>
      <c r="AG17" s="623"/>
      <c r="AH17" s="623"/>
      <c r="AI17" s="623"/>
      <c r="AJ17" s="623"/>
      <c r="AK17" s="62"/>
    </row>
    <row r="18" spans="1:37" ht="12.6" customHeight="1" x14ac:dyDescent="0.2">
      <c r="A18" s="88"/>
      <c r="B18" s="751" t="s">
        <v>25</v>
      </c>
      <c r="C18" s="684"/>
      <c r="D18" s="684"/>
      <c r="E18" s="685"/>
      <c r="F18" s="329">
        <f>4.1*X2</f>
        <v>6313.9999999999991</v>
      </c>
      <c r="G18" s="276">
        <f>+F18*$X$1</f>
        <v>6313.9999999999991</v>
      </c>
      <c r="H18" s="287">
        <f>F18+600</f>
        <v>6913.9999999999991</v>
      </c>
      <c r="I18" s="255">
        <f t="shared" ref="I18:I19" si="31">+H18*$X$1</f>
        <v>6913.9999999999991</v>
      </c>
      <c r="J18" s="537"/>
      <c r="K18" s="257"/>
      <c r="L18" s="537"/>
      <c r="M18" s="255"/>
      <c r="N18" s="537"/>
      <c r="O18" s="255"/>
      <c r="P18" s="93"/>
      <c r="Q18" s="1101" t="s">
        <v>138</v>
      </c>
      <c r="R18" s="1102"/>
      <c r="S18" s="1102"/>
      <c r="T18" s="1102"/>
      <c r="U18" s="1102"/>
      <c r="V18" s="1102"/>
      <c r="W18" s="1103"/>
      <c r="X18" s="636"/>
      <c r="Y18" s="638"/>
      <c r="Z18" s="638"/>
      <c r="AA18" s="637"/>
      <c r="AB18" s="346">
        <v>24</v>
      </c>
      <c r="AE18" s="69"/>
      <c r="AF18" s="623" t="s">
        <v>881</v>
      </c>
      <c r="AG18" s="623"/>
      <c r="AH18" s="623"/>
      <c r="AI18" s="623"/>
      <c r="AJ18" s="623"/>
    </row>
    <row r="19" spans="1:37" ht="12.6" customHeight="1" x14ac:dyDescent="0.2">
      <c r="A19" s="115"/>
      <c r="B19" s="743" t="s">
        <v>499</v>
      </c>
      <c r="C19" s="744"/>
      <c r="D19" s="744"/>
      <c r="E19" s="745"/>
      <c r="F19" s="328">
        <f>4.1*X2</f>
        <v>6313.9999999999991</v>
      </c>
      <c r="G19" s="275">
        <f>+F19*$X$1</f>
        <v>6313.9999999999991</v>
      </c>
      <c r="H19" s="399">
        <f>F19+600</f>
        <v>6913.9999999999991</v>
      </c>
      <c r="I19" s="256">
        <f t="shared" si="31"/>
        <v>6913.9999999999991</v>
      </c>
      <c r="J19" s="546"/>
      <c r="K19" s="258"/>
      <c r="L19" s="86"/>
      <c r="M19" s="258"/>
      <c r="N19" s="86">
        <f>F19+40</f>
        <v>6353.9999999999991</v>
      </c>
      <c r="O19" s="256"/>
      <c r="P19" s="250"/>
      <c r="Q19" s="999" t="s">
        <v>138</v>
      </c>
      <c r="R19" s="1000"/>
      <c r="S19" s="1000"/>
      <c r="T19" s="1000"/>
      <c r="U19" s="1000"/>
      <c r="V19" s="1000"/>
      <c r="W19" s="1001"/>
      <c r="X19" s="220"/>
      <c r="Y19" s="177"/>
      <c r="Z19" s="177"/>
      <c r="AA19" s="176"/>
      <c r="AB19" s="346">
        <v>25</v>
      </c>
      <c r="AE19" s="69"/>
      <c r="AF19" s="623" t="s">
        <v>533</v>
      </c>
      <c r="AG19" s="623"/>
      <c r="AH19" s="623"/>
      <c r="AI19" s="623"/>
      <c r="AJ19" s="623"/>
    </row>
    <row r="20" spans="1:37" ht="12.6" customHeight="1" x14ac:dyDescent="0.2">
      <c r="A20" s="114"/>
      <c r="B20" s="751" t="s">
        <v>26</v>
      </c>
      <c r="C20" s="684"/>
      <c r="D20" s="684"/>
      <c r="E20" s="685"/>
      <c r="F20" s="255"/>
      <c r="G20" s="271"/>
      <c r="H20" s="251"/>
      <c r="I20" s="302"/>
      <c r="J20" s="537"/>
      <c r="K20" s="257"/>
      <c r="L20" s="537"/>
      <c r="M20" s="255"/>
      <c r="N20" s="537"/>
      <c r="O20" s="255"/>
      <c r="P20" s="93"/>
      <c r="Q20" s="255"/>
      <c r="R20" s="537"/>
      <c r="S20" s="255"/>
      <c r="T20" s="537"/>
      <c r="U20" s="255"/>
      <c r="V20" s="102"/>
      <c r="W20" s="255"/>
      <c r="X20" s="636"/>
      <c r="Y20" s="638"/>
      <c r="Z20" s="638"/>
      <c r="AA20" s="637"/>
      <c r="AB20" s="32"/>
      <c r="AF20" s="623" t="s">
        <v>342</v>
      </c>
      <c r="AG20" s="623"/>
      <c r="AH20" s="623"/>
      <c r="AI20" s="624"/>
      <c r="AJ20" s="624"/>
    </row>
    <row r="21" spans="1:37" ht="12.6" customHeight="1" x14ac:dyDescent="0.2">
      <c r="A21" s="17"/>
      <c r="B21" s="743" t="s">
        <v>27</v>
      </c>
      <c r="C21" s="649"/>
      <c r="D21" s="649"/>
      <c r="E21" s="650"/>
      <c r="F21" s="256">
        <v>4171</v>
      </c>
      <c r="G21" s="275">
        <f t="shared" ref="G21:G26" si="32">+F21*$X$1</f>
        <v>4171</v>
      </c>
      <c r="H21" s="428">
        <f>F21+600</f>
        <v>4771</v>
      </c>
      <c r="I21" s="256">
        <f t="shared" ref="I21:I22" si="33">+H21*$X$1</f>
        <v>4771</v>
      </c>
      <c r="J21" s="546">
        <f>F21+280</f>
        <v>4451</v>
      </c>
      <c r="K21" s="256">
        <f t="shared" ref="K21" si="34">+J21*$X$1</f>
        <v>4451</v>
      </c>
      <c r="L21" s="546">
        <f>F21+230</f>
        <v>4401</v>
      </c>
      <c r="M21" s="256">
        <f t="shared" ref="M21" si="35">+L21*$X$1</f>
        <v>4401</v>
      </c>
      <c r="N21" s="546">
        <f>F21+190</f>
        <v>4361</v>
      </c>
      <c r="O21" s="256">
        <f t="shared" ref="O21" si="36">+N21*$X$1</f>
        <v>4361</v>
      </c>
      <c r="P21" s="546">
        <f>F21+160</f>
        <v>4331</v>
      </c>
      <c r="Q21" s="256">
        <f t="shared" ref="Q21" si="37">+P21*$X$1</f>
        <v>4331</v>
      </c>
      <c r="R21" s="546">
        <f>F21+130</f>
        <v>4301</v>
      </c>
      <c r="S21" s="256">
        <f t="shared" ref="S21" si="38">+R21*$X$1</f>
        <v>4301</v>
      </c>
      <c r="T21" s="546">
        <f>F21+110</f>
        <v>4281</v>
      </c>
      <c r="U21" s="256">
        <f t="shared" ref="U21" si="39">+T21*$X$1</f>
        <v>4281</v>
      </c>
      <c r="V21" s="546">
        <f>F21+90</f>
        <v>4261</v>
      </c>
      <c r="W21" s="256">
        <f t="shared" ref="W21" si="40">+V21*$X$1</f>
        <v>4261</v>
      </c>
      <c r="X21" s="636"/>
      <c r="Y21" s="638"/>
      <c r="Z21" s="638"/>
      <c r="AA21" s="637"/>
      <c r="AB21" s="346" t="s">
        <v>28</v>
      </c>
      <c r="AE21" s="69"/>
      <c r="AF21" s="623" t="s">
        <v>343</v>
      </c>
      <c r="AG21" s="623"/>
      <c r="AH21" s="623"/>
      <c r="AI21" s="623"/>
      <c r="AJ21" s="70"/>
    </row>
    <row r="22" spans="1:37" ht="12.6" customHeight="1" x14ac:dyDescent="0.2">
      <c r="A22" s="17"/>
      <c r="B22" s="757" t="s">
        <v>29</v>
      </c>
      <c r="C22" s="631"/>
      <c r="D22" s="631"/>
      <c r="E22" s="631"/>
      <c r="F22" s="255">
        <v>4171</v>
      </c>
      <c r="G22" s="276">
        <f t="shared" ref="G22" si="41">+F22*$X$1</f>
        <v>4171</v>
      </c>
      <c r="H22" s="427">
        <f>F22+600</f>
        <v>4771</v>
      </c>
      <c r="I22" s="255">
        <f t="shared" si="33"/>
        <v>4771</v>
      </c>
      <c r="J22" s="537">
        <f>F22+280</f>
        <v>4451</v>
      </c>
      <c r="K22" s="255">
        <f t="shared" ref="K22" si="42">+J22*$X$1</f>
        <v>4451</v>
      </c>
      <c r="L22" s="537">
        <f>F22+230</f>
        <v>4401</v>
      </c>
      <c r="M22" s="255">
        <f t="shared" ref="M22" si="43">+L22*$X$1</f>
        <v>4401</v>
      </c>
      <c r="N22" s="537">
        <f>F22+190</f>
        <v>4361</v>
      </c>
      <c r="O22" s="255">
        <f t="shared" ref="O22" si="44">+N22*$X$1</f>
        <v>4361</v>
      </c>
      <c r="P22" s="537">
        <f>F22+160</f>
        <v>4331</v>
      </c>
      <c r="Q22" s="255">
        <f t="shared" ref="Q22" si="45">+P22*$X$1</f>
        <v>4331</v>
      </c>
      <c r="R22" s="537">
        <f>F22+130</f>
        <v>4301</v>
      </c>
      <c r="S22" s="255">
        <f t="shared" ref="S22" si="46">+R22*$X$1</f>
        <v>4301</v>
      </c>
      <c r="T22" s="537">
        <f>F22+110</f>
        <v>4281</v>
      </c>
      <c r="U22" s="255">
        <f t="shared" ref="U22" si="47">+T22*$X$1</f>
        <v>4281</v>
      </c>
      <c r="V22" s="537">
        <f>F22+90</f>
        <v>4261</v>
      </c>
      <c r="W22" s="255">
        <f t="shared" ref="W22" si="48">+V22*$X$1</f>
        <v>4261</v>
      </c>
      <c r="X22" s="636"/>
      <c r="Y22" s="638"/>
      <c r="Z22" s="638"/>
      <c r="AA22" s="637"/>
      <c r="AB22" s="346" t="s">
        <v>30</v>
      </c>
      <c r="AE22" s="69"/>
      <c r="AF22" s="623" t="s">
        <v>358</v>
      </c>
      <c r="AG22" s="623"/>
      <c r="AH22" s="623"/>
      <c r="AI22" s="623"/>
      <c r="AJ22" s="624"/>
    </row>
    <row r="23" spans="1:37" ht="12.6" customHeight="1" x14ac:dyDescent="0.2">
      <c r="A23" s="17"/>
      <c r="B23" s="763" t="s">
        <v>314</v>
      </c>
      <c r="C23" s="643"/>
      <c r="D23" s="643"/>
      <c r="E23" s="643"/>
      <c r="F23" s="256">
        <v>595</v>
      </c>
      <c r="G23" s="308">
        <f t="shared" si="32"/>
        <v>595</v>
      </c>
      <c r="H23" s="250"/>
      <c r="I23" s="306"/>
      <c r="J23" s="621"/>
      <c r="K23" s="258"/>
      <c r="L23" s="86"/>
      <c r="M23" s="258"/>
      <c r="N23" s="86"/>
      <c r="O23" s="256"/>
      <c r="P23" s="250"/>
      <c r="Q23" s="303"/>
      <c r="R23" s="546"/>
      <c r="S23" s="256"/>
      <c r="T23" s="546"/>
      <c r="U23" s="256"/>
      <c r="V23" s="546"/>
      <c r="W23" s="256"/>
      <c r="X23" s="119"/>
      <c r="Y23" s="119"/>
      <c r="Z23" s="119"/>
      <c r="AA23" s="119"/>
      <c r="AB23" s="346">
        <v>35</v>
      </c>
      <c r="AE23" s="69"/>
      <c r="AF23" s="623" t="s">
        <v>315</v>
      </c>
      <c r="AG23" s="624"/>
      <c r="AH23" s="624"/>
      <c r="AI23" s="624"/>
      <c r="AJ23" s="70"/>
    </row>
    <row r="24" spans="1:37" ht="12.6" customHeight="1" x14ac:dyDescent="0.2">
      <c r="A24" s="17"/>
      <c r="B24" s="757" t="s">
        <v>313</v>
      </c>
      <c r="C24" s="631"/>
      <c r="D24" s="631"/>
      <c r="E24" s="631"/>
      <c r="F24" s="255">
        <v>2200</v>
      </c>
      <c r="G24" s="271">
        <f t="shared" si="32"/>
        <v>2200</v>
      </c>
      <c r="H24" s="251"/>
      <c r="I24" s="302"/>
      <c r="J24" s="110"/>
      <c r="K24" s="255"/>
      <c r="L24" s="537"/>
      <c r="M24" s="255"/>
      <c r="N24" s="537"/>
      <c r="O24" s="255"/>
      <c r="P24" s="251"/>
      <c r="Q24" s="302"/>
      <c r="R24" s="537"/>
      <c r="S24" s="620"/>
      <c r="T24" s="93"/>
      <c r="U24" s="270"/>
      <c r="V24" s="93"/>
      <c r="W24" s="255"/>
      <c r="X24" s="119"/>
      <c r="Y24" s="119"/>
      <c r="Z24" s="119"/>
      <c r="AA24" s="119"/>
      <c r="AB24" s="346">
        <v>36</v>
      </c>
      <c r="AE24" s="69"/>
      <c r="AF24" s="623" t="s">
        <v>446</v>
      </c>
      <c r="AG24" s="623"/>
      <c r="AH24" s="623"/>
      <c r="AI24" s="623"/>
      <c r="AJ24" s="70"/>
    </row>
    <row r="25" spans="1:37" ht="12.6" customHeight="1" x14ac:dyDescent="0.2">
      <c r="A25" s="17"/>
      <c r="B25" s="899" t="s">
        <v>1004</v>
      </c>
      <c r="C25" s="900"/>
      <c r="D25" s="900"/>
      <c r="E25" s="900"/>
      <c r="F25" s="256">
        <v>1930</v>
      </c>
      <c r="G25" s="300">
        <f t="shared" si="32"/>
        <v>1930</v>
      </c>
      <c r="H25" s="250"/>
      <c r="I25" s="303"/>
      <c r="J25" s="546">
        <f>F25+200</f>
        <v>2130</v>
      </c>
      <c r="K25" s="256">
        <f t="shared" ref="K25" si="49">+J25*$X$1</f>
        <v>2130</v>
      </c>
      <c r="L25" s="546">
        <f>F25+150</f>
        <v>2080</v>
      </c>
      <c r="M25" s="256">
        <f t="shared" ref="M25" si="50">+L25*$X$1</f>
        <v>2080</v>
      </c>
      <c r="N25" s="546">
        <f>F25+100</f>
        <v>2030</v>
      </c>
      <c r="O25" s="256">
        <f>+N25*$X$1</f>
        <v>2030</v>
      </c>
      <c r="P25" s="546">
        <f>F25+90</f>
        <v>2020</v>
      </c>
      <c r="Q25" s="256">
        <f t="shared" ref="Q25" si="51">+P25*$X$1</f>
        <v>2020</v>
      </c>
      <c r="R25" s="546">
        <f>F25+70</f>
        <v>2000</v>
      </c>
      <c r="S25" s="256">
        <f>+R25*$X$1</f>
        <v>2000</v>
      </c>
      <c r="T25" s="546">
        <f>F25+56</f>
        <v>1986</v>
      </c>
      <c r="U25" s="256">
        <f t="shared" ref="U25" si="52">+T25*$X$1</f>
        <v>1986</v>
      </c>
      <c r="V25" s="546">
        <f>F25+49</f>
        <v>1979</v>
      </c>
      <c r="W25" s="256">
        <f t="shared" ref="W25" si="53">+V25*$X$1</f>
        <v>1979</v>
      </c>
      <c r="X25" s="119"/>
      <c r="Y25" s="119"/>
      <c r="Z25" s="119"/>
      <c r="AA25" s="119"/>
      <c r="AB25" s="346">
        <v>37</v>
      </c>
      <c r="AE25" s="69"/>
      <c r="AF25" s="623" t="s">
        <v>31</v>
      </c>
      <c r="AG25" s="623"/>
      <c r="AH25" s="623"/>
      <c r="AI25" s="623"/>
      <c r="AJ25" s="70"/>
    </row>
    <row r="26" spans="1:37" ht="12.6" customHeight="1" x14ac:dyDescent="0.2">
      <c r="A26" s="17"/>
      <c r="B26" s="751" t="s">
        <v>32</v>
      </c>
      <c r="C26" s="684"/>
      <c r="D26" s="684"/>
      <c r="E26" s="685"/>
      <c r="F26" s="326">
        <f>8.97*X2</f>
        <v>13813.800000000001</v>
      </c>
      <c r="G26" s="255">
        <f t="shared" si="32"/>
        <v>13813.800000000001</v>
      </c>
      <c r="H26" s="287"/>
      <c r="I26" s="255"/>
      <c r="J26" s="537"/>
      <c r="K26" s="255"/>
      <c r="L26" s="537">
        <f>F26+230</f>
        <v>14043.800000000001</v>
      </c>
      <c r="M26" s="255">
        <f t="shared" ref="M26" si="54">+L26*$X$1</f>
        <v>14043.800000000001</v>
      </c>
      <c r="N26" s="537">
        <f>F26+190</f>
        <v>14003.800000000001</v>
      </c>
      <c r="O26" s="255">
        <f t="shared" ref="O26" si="55">+N26*$X$1</f>
        <v>14003.800000000001</v>
      </c>
      <c r="P26" s="537">
        <f>F26+160</f>
        <v>13973.800000000001</v>
      </c>
      <c r="Q26" s="255">
        <f t="shared" ref="Q26" si="56">+P26*$X$1</f>
        <v>13973.800000000001</v>
      </c>
      <c r="R26" s="537">
        <f>F26+130</f>
        <v>13943.800000000001</v>
      </c>
      <c r="S26" s="255">
        <f t="shared" ref="S26" si="57">+R26*$X$1</f>
        <v>13943.800000000001</v>
      </c>
      <c r="T26" s="537">
        <f>F26+110</f>
        <v>13923.800000000001</v>
      </c>
      <c r="U26" s="255">
        <f t="shared" ref="U26" si="58">+T26*$X$1</f>
        <v>13923.800000000001</v>
      </c>
      <c r="V26" s="537"/>
      <c r="W26" s="255"/>
      <c r="X26" s="636"/>
      <c r="Y26" s="1002"/>
      <c r="Z26" s="1002"/>
      <c r="AA26" s="966"/>
      <c r="AB26" s="346">
        <v>39</v>
      </c>
      <c r="AE26" s="69"/>
      <c r="AF26" s="623" t="s">
        <v>674</v>
      </c>
      <c r="AG26" s="623"/>
      <c r="AH26" s="623"/>
      <c r="AI26" s="624"/>
      <c r="AJ26" s="624"/>
    </row>
    <row r="27" spans="1:37" ht="12.6" customHeight="1" x14ac:dyDescent="0.2">
      <c r="A27" s="17"/>
      <c r="B27" s="763" t="s">
        <v>33</v>
      </c>
      <c r="C27" s="643"/>
      <c r="D27" s="643"/>
      <c r="E27" s="643"/>
      <c r="F27" s="327"/>
      <c r="G27" s="256"/>
      <c r="H27" s="250"/>
      <c r="I27" s="303"/>
      <c r="J27" s="546"/>
      <c r="K27" s="256"/>
      <c r="L27" s="546">
        <f>8.2*X2</f>
        <v>12627.999999999998</v>
      </c>
      <c r="M27" s="256">
        <f t="shared" ref="M27:M29" si="59">+L27*$X$1</f>
        <v>12627.999999999998</v>
      </c>
      <c r="N27" s="546">
        <f>8*X2</f>
        <v>12320</v>
      </c>
      <c r="O27" s="256">
        <f t="shared" ref="O27:O29" si="60">+N27*$X$1</f>
        <v>12320</v>
      </c>
      <c r="P27" s="252">
        <f>7.9*X2</f>
        <v>12166</v>
      </c>
      <c r="Q27" s="256">
        <f t="shared" ref="Q27:Q29" si="61">+P27*$X$1</f>
        <v>12166</v>
      </c>
      <c r="R27" s="546">
        <f>7.8*X2</f>
        <v>12012</v>
      </c>
      <c r="S27" s="256">
        <f t="shared" ref="S27:S29" si="62">+R27*$X$1</f>
        <v>12012</v>
      </c>
      <c r="T27" s="546">
        <f>7.7*X2</f>
        <v>11858</v>
      </c>
      <c r="U27" s="256">
        <f t="shared" ref="U27:U29" si="63">+T27*$X$1</f>
        <v>11858</v>
      </c>
      <c r="V27" s="546"/>
      <c r="W27" s="256"/>
      <c r="X27" s="647"/>
      <c r="Y27" s="1002"/>
      <c r="Z27" s="1002"/>
      <c r="AA27" s="966"/>
      <c r="AB27" s="346">
        <v>40</v>
      </c>
      <c r="AE27" s="69"/>
      <c r="AF27" s="623" t="s">
        <v>34</v>
      </c>
      <c r="AG27" s="623"/>
      <c r="AH27" s="623"/>
      <c r="AI27" s="623"/>
      <c r="AJ27" s="624"/>
    </row>
    <row r="28" spans="1:37" ht="12.6" customHeight="1" x14ac:dyDescent="0.2">
      <c r="A28" s="17"/>
      <c r="B28" s="751" t="s">
        <v>321</v>
      </c>
      <c r="C28" s="684"/>
      <c r="D28" s="684"/>
      <c r="E28" s="685"/>
      <c r="F28" s="329">
        <f>10.35*X2</f>
        <v>15939</v>
      </c>
      <c r="G28" s="255">
        <f>+F28*$X$1</f>
        <v>15939</v>
      </c>
      <c r="H28" s="251"/>
      <c r="I28" s="302"/>
      <c r="J28" s="537"/>
      <c r="K28" s="255"/>
      <c r="L28" s="537">
        <f>F28+210</f>
        <v>16149</v>
      </c>
      <c r="M28" s="255">
        <f t="shared" si="59"/>
        <v>16149</v>
      </c>
      <c r="N28" s="537">
        <f>F28+180</f>
        <v>16119</v>
      </c>
      <c r="O28" s="255">
        <f t="shared" si="60"/>
        <v>16119</v>
      </c>
      <c r="P28" s="537">
        <f>F28+140</f>
        <v>16079</v>
      </c>
      <c r="Q28" s="255">
        <f t="shared" si="61"/>
        <v>16079</v>
      </c>
      <c r="R28" s="537">
        <f>F28+110</f>
        <v>16049</v>
      </c>
      <c r="S28" s="255">
        <f t="shared" si="62"/>
        <v>16049</v>
      </c>
      <c r="T28" s="537">
        <f>F28+90</f>
        <v>16029</v>
      </c>
      <c r="U28" s="255">
        <f t="shared" si="63"/>
        <v>16029</v>
      </c>
      <c r="V28" s="537"/>
      <c r="W28" s="255"/>
      <c r="X28" s="195"/>
      <c r="Y28" s="150"/>
      <c r="Z28" s="150"/>
      <c r="AA28" s="151"/>
      <c r="AB28" s="346">
        <v>44</v>
      </c>
      <c r="AE28" s="69"/>
      <c r="AF28" s="623" t="s">
        <v>373</v>
      </c>
      <c r="AG28" s="623"/>
      <c r="AH28" s="623"/>
      <c r="AI28" s="624"/>
      <c r="AJ28" s="624"/>
      <c r="AK28" s="62"/>
    </row>
    <row r="29" spans="1:37" ht="12.6" customHeight="1" x14ac:dyDescent="0.2">
      <c r="A29" s="17"/>
      <c r="B29" s="746" t="s">
        <v>602</v>
      </c>
      <c r="C29" s="747"/>
      <c r="D29" s="747"/>
      <c r="E29" s="747"/>
      <c r="F29" s="327">
        <f>0.52*X2</f>
        <v>800.80000000000007</v>
      </c>
      <c r="G29" s="256">
        <f>+F29*$X$1</f>
        <v>800.80000000000007</v>
      </c>
      <c r="H29" s="250"/>
      <c r="I29" s="303"/>
      <c r="J29" s="82"/>
      <c r="K29" s="256"/>
      <c r="L29" s="546">
        <f>F29+210</f>
        <v>1010.8000000000001</v>
      </c>
      <c r="M29" s="256">
        <f t="shared" si="59"/>
        <v>1010.8000000000001</v>
      </c>
      <c r="N29" s="546">
        <f>F29+160</f>
        <v>960.80000000000007</v>
      </c>
      <c r="O29" s="256">
        <f t="shared" si="60"/>
        <v>960.80000000000007</v>
      </c>
      <c r="P29" s="546">
        <f>F29+130</f>
        <v>930.80000000000007</v>
      </c>
      <c r="Q29" s="256">
        <f t="shared" si="61"/>
        <v>930.80000000000007</v>
      </c>
      <c r="R29" s="546">
        <f>F29+110</f>
        <v>910.80000000000007</v>
      </c>
      <c r="S29" s="256">
        <f t="shared" si="62"/>
        <v>910.80000000000007</v>
      </c>
      <c r="T29" s="546">
        <f>F29+90</f>
        <v>890.80000000000007</v>
      </c>
      <c r="U29" s="256">
        <f t="shared" si="63"/>
        <v>890.80000000000007</v>
      </c>
      <c r="V29" s="546">
        <f>F29+70</f>
        <v>870.80000000000007</v>
      </c>
      <c r="W29" s="256">
        <f t="shared" ref="W29" si="64">+V29*$X$1</f>
        <v>870.80000000000007</v>
      </c>
      <c r="X29" s="119"/>
      <c r="Y29" s="119"/>
      <c r="Z29" s="119"/>
      <c r="AA29" s="119"/>
      <c r="AB29" s="346">
        <v>45</v>
      </c>
      <c r="AF29" s="623" t="s">
        <v>993</v>
      </c>
      <c r="AG29" s="623"/>
      <c r="AH29" s="623"/>
      <c r="AI29" s="624"/>
      <c r="AJ29" s="624"/>
    </row>
    <row r="30" spans="1:37" ht="12.6" customHeight="1" x14ac:dyDescent="0.2">
      <c r="A30" s="17"/>
      <c r="B30" s="757" t="s">
        <v>35</v>
      </c>
      <c r="C30" s="631"/>
      <c r="D30" s="631"/>
      <c r="E30" s="631"/>
      <c r="F30" s="255">
        <v>786</v>
      </c>
      <c r="G30" s="276">
        <f t="shared" ref="G30:G38" si="65">+F30*$X$1</f>
        <v>786</v>
      </c>
      <c r="H30" s="1030" t="s">
        <v>36</v>
      </c>
      <c r="I30" s="1030"/>
      <c r="J30" s="1031"/>
      <c r="K30" s="1032"/>
      <c r="L30" s="251"/>
      <c r="M30" s="302"/>
      <c r="N30" s="79">
        <v>2350</v>
      </c>
      <c r="O30" s="276">
        <f t="shared" ref="O30:O41" si="66">+N30*$X$1</f>
        <v>2350</v>
      </c>
      <c r="P30" s="281">
        <v>2160</v>
      </c>
      <c r="Q30" s="609">
        <f t="shared" ref="Q30:S52" si="67">+P30*$X$1</f>
        <v>2160</v>
      </c>
      <c r="R30" s="93">
        <v>1996</v>
      </c>
      <c r="S30" s="234">
        <f t="shared" si="67"/>
        <v>1996</v>
      </c>
      <c r="T30" s="537">
        <v>1844</v>
      </c>
      <c r="U30" s="234">
        <f t="shared" ref="U30:U47" si="68">+T30*$X$1</f>
        <v>1844</v>
      </c>
      <c r="V30" s="537">
        <v>1780</v>
      </c>
      <c r="W30" s="255">
        <f t="shared" ref="W30:W47" si="69">+V30*$X$1</f>
        <v>1780</v>
      </c>
      <c r="X30" s="636"/>
      <c r="Y30" s="1002"/>
      <c r="Z30" s="1002"/>
      <c r="AA30" s="966"/>
      <c r="AB30" s="346" t="s">
        <v>37</v>
      </c>
      <c r="AE30" s="69"/>
      <c r="AF30" s="623" t="s">
        <v>1011</v>
      </c>
      <c r="AG30" s="623"/>
      <c r="AH30" s="623"/>
      <c r="AI30" s="624"/>
      <c r="AJ30" s="624"/>
    </row>
    <row r="31" spans="1:37" ht="12.6" customHeight="1" x14ac:dyDescent="0.2">
      <c r="A31" s="17"/>
      <c r="B31" s="763" t="s">
        <v>38</v>
      </c>
      <c r="C31" s="643"/>
      <c r="D31" s="643"/>
      <c r="E31" s="643"/>
      <c r="F31" s="256">
        <v>786</v>
      </c>
      <c r="G31" s="275">
        <f t="shared" si="65"/>
        <v>786</v>
      </c>
      <c r="H31" s="1003" t="s">
        <v>36</v>
      </c>
      <c r="I31" s="1003"/>
      <c r="J31" s="1004"/>
      <c r="K31" s="1005"/>
      <c r="L31" s="250"/>
      <c r="M31" s="303"/>
      <c r="N31" s="83">
        <v>2350</v>
      </c>
      <c r="O31" s="275">
        <f t="shared" ref="O31:O34" si="70">+N31*$X$1</f>
        <v>2350</v>
      </c>
      <c r="P31" s="252">
        <v>2160</v>
      </c>
      <c r="Q31" s="608">
        <f t="shared" ref="Q31:Q34" si="71">+P31*$X$1</f>
        <v>2160</v>
      </c>
      <c r="R31" s="92">
        <v>1996</v>
      </c>
      <c r="S31" s="269">
        <f t="shared" ref="S31:S34" si="72">+R31*$X$1</f>
        <v>1996</v>
      </c>
      <c r="T31" s="546">
        <v>1844</v>
      </c>
      <c r="U31" s="269">
        <f t="shared" ref="U31:U34" si="73">+T31*$X$1</f>
        <v>1844</v>
      </c>
      <c r="V31" s="546">
        <v>1780</v>
      </c>
      <c r="W31" s="256">
        <f t="shared" ref="W31:W34" si="74">+V31*$X$1</f>
        <v>1780</v>
      </c>
      <c r="X31" s="636"/>
      <c r="Y31" s="1002"/>
      <c r="Z31" s="1002"/>
      <c r="AA31" s="966"/>
      <c r="AB31" s="346" t="s">
        <v>39</v>
      </c>
    </row>
    <row r="32" spans="1:37" ht="12.6" customHeight="1" x14ac:dyDescent="0.2">
      <c r="A32" s="17"/>
      <c r="B32" s="757" t="s">
        <v>40</v>
      </c>
      <c r="C32" s="631"/>
      <c r="D32" s="631"/>
      <c r="E32" s="631"/>
      <c r="F32" s="255">
        <v>786</v>
      </c>
      <c r="G32" s="276">
        <f t="shared" si="65"/>
        <v>786</v>
      </c>
      <c r="H32" s="1009" t="s">
        <v>36</v>
      </c>
      <c r="I32" s="1009"/>
      <c r="J32" s="1010"/>
      <c r="K32" s="1011"/>
      <c r="L32" s="251"/>
      <c r="M32" s="302"/>
      <c r="N32" s="79">
        <v>2350</v>
      </c>
      <c r="O32" s="276">
        <f t="shared" si="70"/>
        <v>2350</v>
      </c>
      <c r="P32" s="281">
        <v>2160</v>
      </c>
      <c r="Q32" s="609">
        <f t="shared" si="71"/>
        <v>2160</v>
      </c>
      <c r="R32" s="93">
        <v>1996</v>
      </c>
      <c r="S32" s="234">
        <f t="shared" si="72"/>
        <v>1996</v>
      </c>
      <c r="T32" s="537">
        <v>1844</v>
      </c>
      <c r="U32" s="234">
        <f t="shared" si="73"/>
        <v>1844</v>
      </c>
      <c r="V32" s="537">
        <v>1780</v>
      </c>
      <c r="W32" s="255">
        <f t="shared" si="74"/>
        <v>1780</v>
      </c>
      <c r="X32" s="636"/>
      <c r="Y32" s="1002"/>
      <c r="Z32" s="1002"/>
      <c r="AA32" s="966"/>
      <c r="AB32" s="346" t="s">
        <v>41</v>
      </c>
    </row>
    <row r="33" spans="1:28" ht="12.6" customHeight="1" x14ac:dyDescent="0.2">
      <c r="A33" s="17"/>
      <c r="B33" s="763" t="s">
        <v>42</v>
      </c>
      <c r="C33" s="643"/>
      <c r="D33" s="643"/>
      <c r="E33" s="643"/>
      <c r="F33" s="256">
        <v>786</v>
      </c>
      <c r="G33" s="275">
        <f t="shared" si="65"/>
        <v>786</v>
      </c>
      <c r="H33" s="1003" t="s">
        <v>36</v>
      </c>
      <c r="I33" s="1003"/>
      <c r="J33" s="1004"/>
      <c r="K33" s="1005"/>
      <c r="L33" s="250"/>
      <c r="M33" s="303"/>
      <c r="N33" s="83">
        <v>2350</v>
      </c>
      <c r="O33" s="275">
        <f t="shared" si="70"/>
        <v>2350</v>
      </c>
      <c r="P33" s="252">
        <v>2160</v>
      </c>
      <c r="Q33" s="608">
        <f t="shared" si="71"/>
        <v>2160</v>
      </c>
      <c r="R33" s="92">
        <v>1996</v>
      </c>
      <c r="S33" s="269">
        <f t="shared" si="72"/>
        <v>1996</v>
      </c>
      <c r="T33" s="546">
        <v>1844</v>
      </c>
      <c r="U33" s="269">
        <f t="shared" si="73"/>
        <v>1844</v>
      </c>
      <c r="V33" s="546">
        <v>1780</v>
      </c>
      <c r="W33" s="256">
        <f t="shared" si="74"/>
        <v>1780</v>
      </c>
      <c r="X33" s="636"/>
      <c r="Y33" s="1002"/>
      <c r="Z33" s="1002"/>
      <c r="AA33" s="966"/>
      <c r="AB33" s="346" t="s">
        <v>43</v>
      </c>
    </row>
    <row r="34" spans="1:28" ht="12.6" customHeight="1" x14ac:dyDescent="0.2">
      <c r="A34" s="17"/>
      <c r="B34" s="757" t="s">
        <v>44</v>
      </c>
      <c r="C34" s="631"/>
      <c r="D34" s="631"/>
      <c r="E34" s="631"/>
      <c r="F34" s="255">
        <v>786</v>
      </c>
      <c r="G34" s="276">
        <f t="shared" si="65"/>
        <v>786</v>
      </c>
      <c r="H34" s="1009" t="s">
        <v>36</v>
      </c>
      <c r="I34" s="1009"/>
      <c r="J34" s="1010"/>
      <c r="K34" s="1011"/>
      <c r="L34" s="251"/>
      <c r="M34" s="302"/>
      <c r="N34" s="79">
        <v>2350</v>
      </c>
      <c r="O34" s="276">
        <f t="shared" si="70"/>
        <v>2350</v>
      </c>
      <c r="P34" s="281">
        <v>2160</v>
      </c>
      <c r="Q34" s="609">
        <f t="shared" si="71"/>
        <v>2160</v>
      </c>
      <c r="R34" s="93">
        <v>1996</v>
      </c>
      <c r="S34" s="234">
        <f t="shared" si="72"/>
        <v>1996</v>
      </c>
      <c r="T34" s="537">
        <v>1844</v>
      </c>
      <c r="U34" s="234">
        <f t="shared" si="73"/>
        <v>1844</v>
      </c>
      <c r="V34" s="537">
        <v>1780</v>
      </c>
      <c r="W34" s="255">
        <f t="shared" si="74"/>
        <v>1780</v>
      </c>
      <c r="X34" s="636"/>
      <c r="Y34" s="1002"/>
      <c r="Z34" s="1002"/>
      <c r="AA34" s="966"/>
      <c r="AB34" s="346" t="s">
        <v>45</v>
      </c>
    </row>
    <row r="35" spans="1:28" ht="12.6" customHeight="1" x14ac:dyDescent="0.25">
      <c r="A35" s="17"/>
      <c r="B35" s="763" t="s">
        <v>46</v>
      </c>
      <c r="C35" s="643"/>
      <c r="D35" s="643"/>
      <c r="E35" s="643"/>
      <c r="F35" s="256">
        <v>786</v>
      </c>
      <c r="G35" s="275">
        <f t="shared" si="65"/>
        <v>786</v>
      </c>
      <c r="H35" s="1003" t="s">
        <v>36</v>
      </c>
      <c r="I35" s="1003"/>
      <c r="J35" s="1004"/>
      <c r="K35" s="1005"/>
      <c r="L35" s="250"/>
      <c r="M35" s="303"/>
      <c r="N35" s="83">
        <v>2035</v>
      </c>
      <c r="O35" s="275">
        <f t="shared" si="66"/>
        <v>2035</v>
      </c>
      <c r="P35" s="252">
        <v>1867</v>
      </c>
      <c r="Q35" s="608">
        <f t="shared" si="67"/>
        <v>1867</v>
      </c>
      <c r="R35" s="546">
        <v>1711</v>
      </c>
      <c r="S35" s="269">
        <f t="shared" si="67"/>
        <v>1711</v>
      </c>
      <c r="T35" s="546">
        <v>1594</v>
      </c>
      <c r="U35" s="269">
        <f t="shared" si="68"/>
        <v>1594</v>
      </c>
      <c r="V35" s="546">
        <v>1515</v>
      </c>
      <c r="W35" s="256">
        <f t="shared" si="69"/>
        <v>1515</v>
      </c>
      <c r="X35" s="636"/>
      <c r="Y35" s="945"/>
      <c r="Z35" s="945"/>
      <c r="AA35" s="946"/>
      <c r="AB35" s="346" t="s">
        <v>406</v>
      </c>
    </row>
    <row r="36" spans="1:28" ht="12.6" customHeight="1" x14ac:dyDescent="0.2">
      <c r="A36" s="17"/>
      <c r="B36" s="757" t="s">
        <v>47</v>
      </c>
      <c r="C36" s="631"/>
      <c r="D36" s="631"/>
      <c r="E36" s="631"/>
      <c r="F36" s="255">
        <v>786</v>
      </c>
      <c r="G36" s="276">
        <f t="shared" si="65"/>
        <v>786</v>
      </c>
      <c r="H36" s="1009" t="s">
        <v>36</v>
      </c>
      <c r="I36" s="1009"/>
      <c r="J36" s="1010"/>
      <c r="K36" s="1011"/>
      <c r="L36" s="251"/>
      <c r="M36" s="302"/>
      <c r="N36" s="79">
        <v>1790</v>
      </c>
      <c r="O36" s="276">
        <f t="shared" ref="O36" si="75">+N36*$X$1</f>
        <v>1790</v>
      </c>
      <c r="P36" s="281">
        <v>1641</v>
      </c>
      <c r="Q36" s="609">
        <f t="shared" ref="Q36" si="76">+P36*$X$1</f>
        <v>1641</v>
      </c>
      <c r="R36" s="93">
        <v>1496</v>
      </c>
      <c r="S36" s="234">
        <f t="shared" ref="S36" si="77">+R36*$X$1</f>
        <v>1496</v>
      </c>
      <c r="T36" s="537">
        <v>1379</v>
      </c>
      <c r="U36" s="234">
        <f t="shared" ref="U36" si="78">+T36*$X$1</f>
        <v>1379</v>
      </c>
      <c r="V36" s="537">
        <v>1237</v>
      </c>
      <c r="W36" s="255">
        <f t="shared" ref="W36" si="79">+V36*$X$1</f>
        <v>1237</v>
      </c>
      <c r="X36" s="636"/>
      <c r="Y36" s="945"/>
      <c r="Z36" s="945"/>
      <c r="AA36" s="946"/>
      <c r="AB36" s="346" t="s">
        <v>404</v>
      </c>
    </row>
    <row r="37" spans="1:28" ht="12.6" customHeight="1" x14ac:dyDescent="0.25">
      <c r="A37" s="17"/>
      <c r="B37" s="763" t="s">
        <v>48</v>
      </c>
      <c r="C37" s="643"/>
      <c r="D37" s="643"/>
      <c r="E37" s="643"/>
      <c r="F37" s="256">
        <v>786</v>
      </c>
      <c r="G37" s="275">
        <f t="shared" si="65"/>
        <v>786</v>
      </c>
      <c r="H37" s="1003" t="s">
        <v>36</v>
      </c>
      <c r="I37" s="1003"/>
      <c r="J37" s="1004"/>
      <c r="K37" s="1005"/>
      <c r="L37" s="250"/>
      <c r="M37" s="303"/>
      <c r="N37" s="83">
        <v>1790</v>
      </c>
      <c r="O37" s="275">
        <f t="shared" ref="O37" si="80">+N37*$X$1</f>
        <v>1790</v>
      </c>
      <c r="P37" s="252">
        <v>1641</v>
      </c>
      <c r="Q37" s="608">
        <f t="shared" ref="Q37" si="81">+P37*$X$1</f>
        <v>1641</v>
      </c>
      <c r="R37" s="92">
        <v>1496</v>
      </c>
      <c r="S37" s="269">
        <f t="shared" ref="S37" si="82">+R37*$X$1</f>
        <v>1496</v>
      </c>
      <c r="T37" s="546">
        <v>1379</v>
      </c>
      <c r="U37" s="269">
        <f t="shared" ref="U37" si="83">+T37*$X$1</f>
        <v>1379</v>
      </c>
      <c r="V37" s="546">
        <v>1237</v>
      </c>
      <c r="W37" s="256">
        <f t="shared" ref="W37" si="84">+V37*$X$1</f>
        <v>1237</v>
      </c>
      <c r="X37" s="636"/>
      <c r="Y37" s="945"/>
      <c r="Z37" s="945"/>
      <c r="AA37" s="946"/>
      <c r="AB37" s="346" t="s">
        <v>407</v>
      </c>
    </row>
    <row r="38" spans="1:28" ht="12.6" customHeight="1" x14ac:dyDescent="0.25">
      <c r="A38" s="17"/>
      <c r="B38" s="757" t="s">
        <v>49</v>
      </c>
      <c r="C38" s="631"/>
      <c r="D38" s="631"/>
      <c r="E38" s="631"/>
      <c r="F38" s="255">
        <v>786</v>
      </c>
      <c r="G38" s="276">
        <f t="shared" si="65"/>
        <v>786</v>
      </c>
      <c r="H38" s="1009" t="s">
        <v>36</v>
      </c>
      <c r="I38" s="1009"/>
      <c r="J38" s="1010"/>
      <c r="K38" s="1011"/>
      <c r="L38" s="251"/>
      <c r="M38" s="302"/>
      <c r="N38" s="79">
        <v>2110</v>
      </c>
      <c r="O38" s="276">
        <v>2430</v>
      </c>
      <c r="P38" s="281">
        <v>1950</v>
      </c>
      <c r="Q38" s="609">
        <v>2243</v>
      </c>
      <c r="R38" s="537">
        <v>2064</v>
      </c>
      <c r="S38" s="234">
        <f t="shared" si="67"/>
        <v>2064</v>
      </c>
      <c r="T38" s="537">
        <v>1935</v>
      </c>
      <c r="U38" s="234">
        <f t="shared" si="68"/>
        <v>1935</v>
      </c>
      <c r="V38" s="537">
        <v>1850</v>
      </c>
      <c r="W38" s="255">
        <f t="shared" si="69"/>
        <v>1850</v>
      </c>
      <c r="X38" s="636"/>
      <c r="Y38" s="945"/>
      <c r="Z38" s="945"/>
      <c r="AA38" s="946"/>
      <c r="AB38" s="346" t="s">
        <v>405</v>
      </c>
    </row>
    <row r="39" spans="1:28" ht="12.6" customHeight="1" x14ac:dyDescent="0.2">
      <c r="A39" s="17"/>
      <c r="B39" s="763" t="s">
        <v>408</v>
      </c>
      <c r="C39" s="643"/>
      <c r="D39" s="643"/>
      <c r="E39" s="643"/>
      <c r="F39" s="256">
        <v>786</v>
      </c>
      <c r="G39" s="275">
        <f t="shared" ref="G39" si="85">+F39*$X$1</f>
        <v>786</v>
      </c>
      <c r="H39" s="1003" t="s">
        <v>36</v>
      </c>
      <c r="I39" s="1003"/>
      <c r="J39" s="1004"/>
      <c r="K39" s="1005"/>
      <c r="L39" s="250"/>
      <c r="M39" s="303"/>
      <c r="N39" s="83">
        <v>2390</v>
      </c>
      <c r="O39" s="275">
        <f t="shared" ref="O39:O40" si="86">+N39*$X$1</f>
        <v>2390</v>
      </c>
      <c r="P39" s="252">
        <v>2204</v>
      </c>
      <c r="Q39" s="608">
        <f t="shared" si="67"/>
        <v>2204</v>
      </c>
      <c r="R39" s="546">
        <v>2032</v>
      </c>
      <c r="S39" s="269">
        <f t="shared" si="67"/>
        <v>2032</v>
      </c>
      <c r="T39" s="546">
        <v>1921</v>
      </c>
      <c r="U39" s="269">
        <f t="shared" si="68"/>
        <v>1921</v>
      </c>
      <c r="V39" s="546">
        <v>1808</v>
      </c>
      <c r="W39" s="256">
        <f t="shared" si="69"/>
        <v>1808</v>
      </c>
      <c r="X39" s="636"/>
      <c r="Y39" s="945"/>
      <c r="Z39" s="945"/>
      <c r="AA39" s="946"/>
      <c r="AB39" s="346" t="s">
        <v>410</v>
      </c>
    </row>
    <row r="40" spans="1:28" ht="12.6" customHeight="1" x14ac:dyDescent="0.2">
      <c r="A40" s="17"/>
      <c r="B40" s="757" t="s">
        <v>409</v>
      </c>
      <c r="C40" s="631"/>
      <c r="D40" s="631"/>
      <c r="E40" s="631"/>
      <c r="F40" s="255">
        <v>786</v>
      </c>
      <c r="G40" s="276">
        <f t="shared" ref="G40" si="87">+F40*$X$1</f>
        <v>786</v>
      </c>
      <c r="H40" s="1009" t="s">
        <v>36</v>
      </c>
      <c r="I40" s="1009"/>
      <c r="J40" s="1010"/>
      <c r="K40" s="1011"/>
      <c r="L40" s="251"/>
      <c r="M40" s="302"/>
      <c r="N40" s="79">
        <v>2035</v>
      </c>
      <c r="O40" s="276">
        <f t="shared" si="86"/>
        <v>2035</v>
      </c>
      <c r="P40" s="281">
        <v>1867</v>
      </c>
      <c r="Q40" s="609">
        <f t="shared" ref="Q40" si="88">+P40*$X$1</f>
        <v>1867</v>
      </c>
      <c r="R40" s="537">
        <v>1711</v>
      </c>
      <c r="S40" s="234">
        <f t="shared" ref="S40" si="89">+R40*$X$1</f>
        <v>1711</v>
      </c>
      <c r="T40" s="537">
        <v>1594</v>
      </c>
      <c r="U40" s="234">
        <f t="shared" ref="U40" si="90">+T40*$X$1</f>
        <v>1594</v>
      </c>
      <c r="V40" s="537">
        <v>1515</v>
      </c>
      <c r="W40" s="255">
        <f t="shared" ref="W40" si="91">+V40*$X$1</f>
        <v>1515</v>
      </c>
      <c r="X40" s="636"/>
      <c r="Y40" s="945"/>
      <c r="Z40" s="945"/>
      <c r="AA40" s="946"/>
      <c r="AB40" s="346" t="s">
        <v>411</v>
      </c>
    </row>
    <row r="41" spans="1:28" ht="12.6" customHeight="1" x14ac:dyDescent="0.2">
      <c r="A41" s="17"/>
      <c r="B41" s="763" t="s">
        <v>50</v>
      </c>
      <c r="C41" s="643"/>
      <c r="D41" s="643"/>
      <c r="E41" s="643"/>
      <c r="F41" s="256">
        <v>1710</v>
      </c>
      <c r="G41" s="275">
        <f t="shared" ref="G41:G49" si="92">+F41*$X$1</f>
        <v>1710</v>
      </c>
      <c r="H41" s="1012" t="s">
        <v>51</v>
      </c>
      <c r="I41" s="1012"/>
      <c r="J41" s="1013"/>
      <c r="K41" s="1014"/>
      <c r="L41" s="250"/>
      <c r="M41" s="303"/>
      <c r="N41" s="83">
        <v>3030</v>
      </c>
      <c r="O41" s="275">
        <f t="shared" si="66"/>
        <v>3030</v>
      </c>
      <c r="P41" s="252">
        <v>2808</v>
      </c>
      <c r="Q41" s="608">
        <f t="shared" si="67"/>
        <v>2808</v>
      </c>
      <c r="R41" s="546">
        <v>2582</v>
      </c>
      <c r="S41" s="269">
        <f t="shared" si="67"/>
        <v>2582</v>
      </c>
      <c r="T41" s="546">
        <v>2406</v>
      </c>
      <c r="U41" s="269">
        <f t="shared" si="68"/>
        <v>2406</v>
      </c>
      <c r="V41" s="546">
        <v>2305</v>
      </c>
      <c r="W41" s="256">
        <f t="shared" si="69"/>
        <v>2305</v>
      </c>
      <c r="X41" s="636"/>
      <c r="Y41" s="945"/>
      <c r="Z41" s="945"/>
      <c r="AA41" s="946"/>
      <c r="AB41" s="347" t="s">
        <v>52</v>
      </c>
    </row>
    <row r="42" spans="1:28" ht="12.6" customHeight="1" x14ac:dyDescent="0.2">
      <c r="A42" s="17"/>
      <c r="B42" s="757" t="s">
        <v>53</v>
      </c>
      <c r="C42" s="631"/>
      <c r="D42" s="631"/>
      <c r="E42" s="631"/>
      <c r="F42" s="255">
        <v>1710</v>
      </c>
      <c r="G42" s="276">
        <f t="shared" si="92"/>
        <v>1710</v>
      </c>
      <c r="H42" s="1027" t="s">
        <v>51</v>
      </c>
      <c r="I42" s="1027"/>
      <c r="J42" s="1028"/>
      <c r="K42" s="1029"/>
      <c r="L42" s="251"/>
      <c r="M42" s="302"/>
      <c r="N42" s="79">
        <v>3030</v>
      </c>
      <c r="O42" s="276">
        <f t="shared" ref="O42:O43" si="93">+N42*$X$1</f>
        <v>3030</v>
      </c>
      <c r="P42" s="281">
        <v>2808</v>
      </c>
      <c r="Q42" s="609">
        <f t="shared" ref="Q42:Q43" si="94">+P42*$X$1</f>
        <v>2808</v>
      </c>
      <c r="R42" s="537">
        <v>2582</v>
      </c>
      <c r="S42" s="234">
        <f t="shared" ref="S42:S43" si="95">+R42*$X$1</f>
        <v>2582</v>
      </c>
      <c r="T42" s="537">
        <v>2406</v>
      </c>
      <c r="U42" s="234">
        <f t="shared" ref="U42:U43" si="96">+T42*$X$1</f>
        <v>2406</v>
      </c>
      <c r="V42" s="537">
        <v>2305</v>
      </c>
      <c r="W42" s="255">
        <f t="shared" ref="W42:W43" si="97">+V42*$X$1</f>
        <v>2305</v>
      </c>
      <c r="X42" s="636"/>
      <c r="Y42" s="945"/>
      <c r="Z42" s="945"/>
      <c r="AA42" s="946"/>
      <c r="AB42" s="347" t="s">
        <v>54</v>
      </c>
    </row>
    <row r="43" spans="1:28" ht="12.6" customHeight="1" x14ac:dyDescent="0.2">
      <c r="A43" s="17"/>
      <c r="B43" s="763" t="s">
        <v>55</v>
      </c>
      <c r="C43" s="643"/>
      <c r="D43" s="643"/>
      <c r="E43" s="643"/>
      <c r="F43" s="256">
        <v>1710</v>
      </c>
      <c r="G43" s="275">
        <f t="shared" si="92"/>
        <v>1710</v>
      </c>
      <c r="H43" s="1003" t="s">
        <v>51</v>
      </c>
      <c r="I43" s="1003"/>
      <c r="J43" s="1004"/>
      <c r="K43" s="1005"/>
      <c r="L43" s="250"/>
      <c r="M43" s="303"/>
      <c r="N43" s="83">
        <v>3030</v>
      </c>
      <c r="O43" s="275">
        <f t="shared" si="93"/>
        <v>3030</v>
      </c>
      <c r="P43" s="252">
        <v>2808</v>
      </c>
      <c r="Q43" s="608">
        <f t="shared" si="94"/>
        <v>2808</v>
      </c>
      <c r="R43" s="546">
        <v>2582</v>
      </c>
      <c r="S43" s="269">
        <f t="shared" si="95"/>
        <v>2582</v>
      </c>
      <c r="T43" s="546">
        <v>2406</v>
      </c>
      <c r="U43" s="269">
        <f t="shared" si="96"/>
        <v>2406</v>
      </c>
      <c r="V43" s="546">
        <v>2305</v>
      </c>
      <c r="W43" s="256">
        <f t="shared" si="97"/>
        <v>2305</v>
      </c>
      <c r="X43" s="636"/>
      <c r="Y43" s="945"/>
      <c r="Z43" s="945"/>
      <c r="AA43" s="946"/>
      <c r="AB43" s="347" t="s">
        <v>56</v>
      </c>
    </row>
    <row r="44" spans="1:28" ht="12.6" customHeight="1" x14ac:dyDescent="0.2">
      <c r="A44" s="17"/>
      <c r="B44" s="757" t="s">
        <v>496</v>
      </c>
      <c r="C44" s="631"/>
      <c r="D44" s="631"/>
      <c r="E44" s="631"/>
      <c r="F44" s="255">
        <v>1840</v>
      </c>
      <c r="G44" s="276">
        <f t="shared" ref="G44" si="98">+F44*$X$1</f>
        <v>1840</v>
      </c>
      <c r="H44" s="1030" t="s">
        <v>51</v>
      </c>
      <c r="I44" s="1030"/>
      <c r="J44" s="1031"/>
      <c r="K44" s="1032"/>
      <c r="L44" s="251"/>
      <c r="M44" s="302"/>
      <c r="N44" s="79">
        <v>3205</v>
      </c>
      <c r="O44" s="276">
        <f t="shared" ref="O44" si="99">+N44*$X$1</f>
        <v>3205</v>
      </c>
      <c r="P44" s="281">
        <v>2976</v>
      </c>
      <c r="Q44" s="609">
        <f t="shared" ref="Q44" si="100">+P44*$X$1</f>
        <v>2976</v>
      </c>
      <c r="R44" s="537">
        <v>2724</v>
      </c>
      <c r="S44" s="234">
        <f t="shared" ref="S44" si="101">+R44*$X$1</f>
        <v>2724</v>
      </c>
      <c r="T44" s="537">
        <v>2558</v>
      </c>
      <c r="U44" s="234">
        <f t="shared" ref="U44" si="102">+T44*$X$1</f>
        <v>2558</v>
      </c>
      <c r="V44" s="537">
        <v>2437</v>
      </c>
      <c r="W44" s="255">
        <f t="shared" ref="W44" si="103">+V44*$X$1</f>
        <v>2437</v>
      </c>
      <c r="X44" s="636"/>
      <c r="Y44" s="945"/>
      <c r="Z44" s="945"/>
      <c r="AA44" s="946"/>
      <c r="AB44" s="348" t="s">
        <v>506</v>
      </c>
    </row>
    <row r="45" spans="1:28" ht="12.6" customHeight="1" x14ac:dyDescent="0.2">
      <c r="A45" s="17"/>
      <c r="B45" s="763" t="s">
        <v>497</v>
      </c>
      <c r="C45" s="643"/>
      <c r="D45" s="643"/>
      <c r="E45" s="643"/>
      <c r="F45" s="256">
        <v>1840</v>
      </c>
      <c r="G45" s="275">
        <f t="shared" ref="G45" si="104">+F45*$X$1</f>
        <v>1840</v>
      </c>
      <c r="H45" s="1012" t="s">
        <v>51</v>
      </c>
      <c r="I45" s="1012"/>
      <c r="J45" s="1013"/>
      <c r="K45" s="1014"/>
      <c r="L45" s="250"/>
      <c r="M45" s="303"/>
      <c r="N45" s="83">
        <v>3205</v>
      </c>
      <c r="O45" s="275">
        <f t="shared" ref="O45:O46" si="105">+N45*$X$1</f>
        <v>3205</v>
      </c>
      <c r="P45" s="252">
        <v>2976</v>
      </c>
      <c r="Q45" s="608">
        <f t="shared" ref="Q45:Q46" si="106">+P45*$X$1</f>
        <v>2976</v>
      </c>
      <c r="R45" s="546">
        <v>2724</v>
      </c>
      <c r="S45" s="269">
        <f t="shared" ref="S45:S46" si="107">+R45*$X$1</f>
        <v>2724</v>
      </c>
      <c r="T45" s="546">
        <v>2558</v>
      </c>
      <c r="U45" s="269">
        <f t="shared" ref="U45:U46" si="108">+T45*$X$1</f>
        <v>2558</v>
      </c>
      <c r="V45" s="546">
        <v>2437</v>
      </c>
      <c r="W45" s="256">
        <f t="shared" ref="W45:W46" si="109">+V45*$X$1</f>
        <v>2437</v>
      </c>
      <c r="X45" s="636"/>
      <c r="Y45" s="945"/>
      <c r="Z45" s="945"/>
      <c r="AA45" s="946"/>
      <c r="AB45" s="348" t="s">
        <v>507</v>
      </c>
    </row>
    <row r="46" spans="1:28" ht="12.6" customHeight="1" x14ac:dyDescent="0.2">
      <c r="A46" s="17"/>
      <c r="B46" s="757" t="s">
        <v>498</v>
      </c>
      <c r="C46" s="631"/>
      <c r="D46" s="631"/>
      <c r="E46" s="631"/>
      <c r="F46" s="255">
        <v>1840</v>
      </c>
      <c r="G46" s="276">
        <f t="shared" ref="G46" si="110">+F46*$X$1</f>
        <v>1840</v>
      </c>
      <c r="H46" s="1030" t="s">
        <v>51</v>
      </c>
      <c r="I46" s="1030"/>
      <c r="J46" s="1031"/>
      <c r="K46" s="1032"/>
      <c r="L46" s="251"/>
      <c r="M46" s="302"/>
      <c r="N46" s="79">
        <v>3205</v>
      </c>
      <c r="O46" s="276">
        <f t="shared" si="105"/>
        <v>3205</v>
      </c>
      <c r="P46" s="281">
        <v>2976</v>
      </c>
      <c r="Q46" s="609">
        <f t="shared" si="106"/>
        <v>2976</v>
      </c>
      <c r="R46" s="537">
        <v>2724</v>
      </c>
      <c r="S46" s="234">
        <f t="shared" si="107"/>
        <v>2724</v>
      </c>
      <c r="T46" s="537">
        <v>2558</v>
      </c>
      <c r="U46" s="234">
        <f t="shared" si="108"/>
        <v>2558</v>
      </c>
      <c r="V46" s="537">
        <v>2437</v>
      </c>
      <c r="W46" s="255">
        <f t="shared" si="109"/>
        <v>2437</v>
      </c>
      <c r="X46" s="636"/>
      <c r="Y46" s="945"/>
      <c r="Z46" s="945"/>
      <c r="AA46" s="946"/>
      <c r="AB46" s="348" t="s">
        <v>508</v>
      </c>
    </row>
    <row r="47" spans="1:28" ht="12.6" customHeight="1" x14ac:dyDescent="0.2">
      <c r="A47" s="17"/>
      <c r="B47" s="763" t="s">
        <v>57</v>
      </c>
      <c r="C47" s="643"/>
      <c r="D47" s="643"/>
      <c r="E47" s="643"/>
      <c r="F47" s="256">
        <v>2310</v>
      </c>
      <c r="G47" s="275">
        <f t="shared" si="92"/>
        <v>2310</v>
      </c>
      <c r="H47" s="1003" t="s">
        <v>51</v>
      </c>
      <c r="I47" s="1003"/>
      <c r="J47" s="1004"/>
      <c r="K47" s="1005"/>
      <c r="L47" s="250"/>
      <c r="M47" s="303"/>
      <c r="N47" s="82">
        <v>4215</v>
      </c>
      <c r="O47" s="300">
        <f t="shared" ref="O47" si="111">+N47*$X$1</f>
        <v>4215</v>
      </c>
      <c r="P47" s="252">
        <v>3903</v>
      </c>
      <c r="Q47" s="282">
        <f t="shared" si="67"/>
        <v>3903</v>
      </c>
      <c r="R47" s="546">
        <v>3592</v>
      </c>
      <c r="S47" s="256">
        <f t="shared" si="67"/>
        <v>3592</v>
      </c>
      <c r="T47" s="546">
        <v>3342</v>
      </c>
      <c r="U47" s="256">
        <f t="shared" si="68"/>
        <v>3342</v>
      </c>
      <c r="V47" s="546">
        <v>3220</v>
      </c>
      <c r="W47" s="256">
        <f t="shared" si="69"/>
        <v>3220</v>
      </c>
      <c r="X47" s="636"/>
      <c r="Y47" s="945"/>
      <c r="Z47" s="945"/>
      <c r="AA47" s="946"/>
      <c r="AB47" s="348" t="s">
        <v>58</v>
      </c>
    </row>
    <row r="48" spans="1:28" ht="12.6" customHeight="1" x14ac:dyDescent="0.2">
      <c r="A48" s="17"/>
      <c r="B48" s="757" t="s">
        <v>59</v>
      </c>
      <c r="C48" s="631"/>
      <c r="D48" s="631"/>
      <c r="E48" s="631"/>
      <c r="F48" s="255">
        <v>2310</v>
      </c>
      <c r="G48" s="276">
        <f t="shared" si="92"/>
        <v>2310</v>
      </c>
      <c r="H48" s="1030" t="s">
        <v>51</v>
      </c>
      <c r="I48" s="1030"/>
      <c r="J48" s="1031"/>
      <c r="K48" s="1032"/>
      <c r="L48" s="251"/>
      <c r="M48" s="302"/>
      <c r="N48" s="68">
        <v>4215</v>
      </c>
      <c r="O48" s="271">
        <f t="shared" ref="O48:O49" si="112">+N48*$X$1</f>
        <v>4215</v>
      </c>
      <c r="P48" s="281">
        <v>3903</v>
      </c>
      <c r="Q48" s="283">
        <f t="shared" ref="Q48:Q49" si="113">+P48*$X$1</f>
        <v>3903</v>
      </c>
      <c r="R48" s="537">
        <v>3592</v>
      </c>
      <c r="S48" s="255">
        <f t="shared" ref="S48:S49" si="114">+R48*$X$1</f>
        <v>3592</v>
      </c>
      <c r="T48" s="537">
        <v>3342</v>
      </c>
      <c r="U48" s="255">
        <f t="shared" ref="U48:U49" si="115">+T48*$X$1</f>
        <v>3342</v>
      </c>
      <c r="V48" s="537">
        <v>3220</v>
      </c>
      <c r="W48" s="255">
        <f t="shared" ref="W48:W49" si="116">+V48*$X$1</f>
        <v>3220</v>
      </c>
      <c r="X48" s="636"/>
      <c r="Y48" s="945"/>
      <c r="Z48" s="945"/>
      <c r="AA48" s="946"/>
      <c r="AB48" s="348" t="s">
        <v>60</v>
      </c>
    </row>
    <row r="49" spans="1:35" ht="12.6" customHeight="1" x14ac:dyDescent="0.2">
      <c r="A49" s="17"/>
      <c r="B49" s="763" t="s">
        <v>61</v>
      </c>
      <c r="C49" s="643"/>
      <c r="D49" s="643"/>
      <c r="E49" s="643"/>
      <c r="F49" s="256">
        <v>2310</v>
      </c>
      <c r="G49" s="436">
        <f t="shared" si="92"/>
        <v>2310</v>
      </c>
      <c r="H49" s="1003" t="s">
        <v>51</v>
      </c>
      <c r="I49" s="1003"/>
      <c r="J49" s="1004"/>
      <c r="K49" s="1026"/>
      <c r="L49" s="250"/>
      <c r="M49" s="303"/>
      <c r="N49" s="82">
        <v>4215</v>
      </c>
      <c r="O49" s="300">
        <f t="shared" si="112"/>
        <v>4215</v>
      </c>
      <c r="P49" s="252">
        <v>3903</v>
      </c>
      <c r="Q49" s="282">
        <f t="shared" si="113"/>
        <v>3903</v>
      </c>
      <c r="R49" s="546">
        <v>3592</v>
      </c>
      <c r="S49" s="256">
        <f t="shared" si="114"/>
        <v>3592</v>
      </c>
      <c r="T49" s="546">
        <v>3342</v>
      </c>
      <c r="U49" s="256">
        <f t="shared" si="115"/>
        <v>3342</v>
      </c>
      <c r="V49" s="546">
        <v>3220</v>
      </c>
      <c r="W49" s="256">
        <f t="shared" si="116"/>
        <v>3220</v>
      </c>
      <c r="X49" s="636"/>
      <c r="Y49" s="945"/>
      <c r="Z49" s="945"/>
      <c r="AA49" s="946"/>
      <c r="AB49" s="348" t="s">
        <v>62</v>
      </c>
    </row>
    <row r="50" spans="1:35" ht="12.6" customHeight="1" x14ac:dyDescent="0.2">
      <c r="A50" s="17"/>
      <c r="B50" s="757" t="s">
        <v>385</v>
      </c>
      <c r="C50" s="631"/>
      <c r="D50" s="631"/>
      <c r="E50" s="1104"/>
      <c r="F50" s="598"/>
      <c r="G50" s="572"/>
      <c r="H50" s="572"/>
      <c r="I50" s="572"/>
      <c r="J50" s="251"/>
      <c r="K50" s="251"/>
      <c r="L50" s="238"/>
      <c r="M50" s="255"/>
      <c r="N50" s="573"/>
      <c r="O50" s="307"/>
      <c r="P50" s="251"/>
      <c r="Q50" s="283"/>
      <c r="R50" s="102"/>
      <c r="S50" s="541"/>
      <c r="T50" s="102"/>
      <c r="U50" s="541"/>
      <c r="V50" s="102"/>
      <c r="W50" s="255"/>
      <c r="X50" s="119"/>
      <c r="Y50" s="119"/>
      <c r="Z50" s="119"/>
      <c r="AA50" s="119"/>
      <c r="AB50" s="33">
        <v>48</v>
      </c>
      <c r="AC50" s="349" t="s">
        <v>63</v>
      </c>
      <c r="AD50" s="349" t="s">
        <v>64</v>
      </c>
      <c r="AE50" s="349" t="s">
        <v>65</v>
      </c>
    </row>
    <row r="51" spans="1:35" ht="12.6" customHeight="1" x14ac:dyDescent="0.2">
      <c r="A51" s="17"/>
      <c r="B51" s="1006" t="s">
        <v>66</v>
      </c>
      <c r="C51" s="1007"/>
      <c r="D51" s="1007"/>
      <c r="E51" s="1007"/>
      <c r="F51" s="597"/>
      <c r="G51" s="522"/>
      <c r="H51" s="522"/>
      <c r="I51" s="522"/>
      <c r="J51" s="250"/>
      <c r="K51" s="250"/>
      <c r="L51" s="265"/>
      <c r="M51" s="546"/>
      <c r="N51" s="575"/>
      <c r="O51" s="546"/>
      <c r="P51" s="392"/>
      <c r="Q51" s="546"/>
      <c r="R51" s="546"/>
      <c r="S51" s="546"/>
      <c r="T51" s="546"/>
      <c r="U51" s="546"/>
      <c r="V51" s="82"/>
      <c r="W51" s="82"/>
      <c r="X51" s="152"/>
      <c r="Y51" s="152"/>
      <c r="Z51" s="152"/>
      <c r="AA51" s="152"/>
      <c r="AB51" s="178">
        <v>54</v>
      </c>
    </row>
    <row r="52" spans="1:35" ht="12.6" customHeight="1" x14ac:dyDescent="0.2">
      <c r="A52" s="17"/>
      <c r="B52" s="757" t="s">
        <v>67</v>
      </c>
      <c r="C52" s="631"/>
      <c r="D52" s="631"/>
      <c r="E52" s="631"/>
      <c r="F52" s="255">
        <v>1096</v>
      </c>
      <c r="G52" s="234">
        <f t="shared" ref="G52:G55" si="117">+F52*$X$1</f>
        <v>1096</v>
      </c>
      <c r="H52" s="111"/>
      <c r="I52" s="255"/>
      <c r="J52" s="537">
        <f>F52+330</f>
        <v>1426</v>
      </c>
      <c r="K52" s="255">
        <f t="shared" ref="K52" si="118">+J52*$X$1</f>
        <v>1426</v>
      </c>
      <c r="L52" s="537">
        <f>F52+250</f>
        <v>1346</v>
      </c>
      <c r="M52" s="255">
        <f t="shared" ref="M52" si="119">+L52*$X$1</f>
        <v>1346</v>
      </c>
      <c r="N52" s="93">
        <f>F52+200</f>
        <v>1296</v>
      </c>
      <c r="O52" s="234">
        <f t="shared" ref="O52" si="120">+N52*$X$1</f>
        <v>1296</v>
      </c>
      <c r="P52" s="93">
        <f>F52+170</f>
        <v>1266</v>
      </c>
      <c r="Q52" s="255">
        <f t="shared" si="67"/>
        <v>1266</v>
      </c>
      <c r="R52" s="93">
        <f>F52+150</f>
        <v>1246</v>
      </c>
      <c r="S52" s="234">
        <f t="shared" ref="S52" si="121">+R52*$X$1</f>
        <v>1246</v>
      </c>
      <c r="T52" s="93">
        <f>F52+135</f>
        <v>1231</v>
      </c>
      <c r="U52" s="234">
        <f t="shared" ref="U52" si="122">+T52*$X$1</f>
        <v>1231</v>
      </c>
      <c r="V52" s="93">
        <f>F52+120</f>
        <v>1216</v>
      </c>
      <c r="W52" s="255">
        <f t="shared" ref="W52" si="123">+V52*$X$1</f>
        <v>1216</v>
      </c>
      <c r="X52" s="118"/>
      <c r="Y52" s="119"/>
      <c r="Z52" s="119"/>
      <c r="AA52" s="119"/>
      <c r="AB52" s="346">
        <v>60</v>
      </c>
    </row>
    <row r="53" spans="1:35" ht="12.6" customHeight="1" x14ac:dyDescent="0.2">
      <c r="A53" s="17"/>
      <c r="B53" s="763" t="s">
        <v>476</v>
      </c>
      <c r="C53" s="643"/>
      <c r="D53" s="643"/>
      <c r="E53" s="643"/>
      <c r="F53" s="256">
        <v>1276</v>
      </c>
      <c r="G53" s="269">
        <f t="shared" si="117"/>
        <v>1276</v>
      </c>
      <c r="H53" s="112"/>
      <c r="I53" s="256"/>
      <c r="J53" s="546">
        <f>F53+330</f>
        <v>1606</v>
      </c>
      <c r="K53" s="256">
        <f t="shared" ref="K53:K55" si="124">+J53*$X$1</f>
        <v>1606</v>
      </c>
      <c r="L53" s="546">
        <f>F53+250</f>
        <v>1526</v>
      </c>
      <c r="M53" s="256">
        <f t="shared" ref="M53:M55" si="125">+L53*$X$1</f>
        <v>1526</v>
      </c>
      <c r="N53" s="92">
        <f>F53+200</f>
        <v>1476</v>
      </c>
      <c r="O53" s="269">
        <f t="shared" ref="O53:O55" si="126">+N53*$X$1</f>
        <v>1476</v>
      </c>
      <c r="P53" s="92">
        <f>F53+170</f>
        <v>1446</v>
      </c>
      <c r="Q53" s="256">
        <f t="shared" ref="Q53:Q55" si="127">+P53*$X$1</f>
        <v>1446</v>
      </c>
      <c r="R53" s="92">
        <f>F53+150</f>
        <v>1426</v>
      </c>
      <c r="S53" s="269">
        <f t="shared" ref="S53:S55" si="128">+R53*$X$1</f>
        <v>1426</v>
      </c>
      <c r="T53" s="92">
        <f>F53+135</f>
        <v>1411</v>
      </c>
      <c r="U53" s="269">
        <f t="shared" ref="U53:U55" si="129">+T53*$X$1</f>
        <v>1411</v>
      </c>
      <c r="V53" s="92">
        <f>F53+120</f>
        <v>1396</v>
      </c>
      <c r="W53" s="256">
        <f t="shared" ref="W53:W55" si="130">+V53*$X$1</f>
        <v>1396</v>
      </c>
      <c r="X53" s="118"/>
      <c r="Y53" s="119"/>
      <c r="Z53" s="119"/>
      <c r="AA53" s="119"/>
      <c r="AB53" s="346">
        <v>61</v>
      </c>
    </row>
    <row r="54" spans="1:35" ht="12.6" customHeight="1" x14ac:dyDescent="0.2">
      <c r="A54" s="17"/>
      <c r="B54" s="1126" t="s">
        <v>68</v>
      </c>
      <c r="C54" s="1127"/>
      <c r="D54" s="1127"/>
      <c r="E54" s="1127"/>
      <c r="F54" s="257">
        <v>1157</v>
      </c>
      <c r="G54" s="541">
        <f t="shared" si="117"/>
        <v>1157</v>
      </c>
      <c r="H54" s="574"/>
      <c r="I54" s="255"/>
      <c r="J54" s="537">
        <f>F54+330</f>
        <v>1487</v>
      </c>
      <c r="K54" s="255">
        <f t="shared" si="124"/>
        <v>1487</v>
      </c>
      <c r="L54" s="537">
        <f>F54+250</f>
        <v>1407</v>
      </c>
      <c r="M54" s="255">
        <f t="shared" si="125"/>
        <v>1407</v>
      </c>
      <c r="N54" s="93">
        <f>F54+200</f>
        <v>1357</v>
      </c>
      <c r="O54" s="234">
        <f t="shared" si="126"/>
        <v>1357</v>
      </c>
      <c r="P54" s="93">
        <f>F54+170</f>
        <v>1327</v>
      </c>
      <c r="Q54" s="255">
        <f t="shared" si="127"/>
        <v>1327</v>
      </c>
      <c r="R54" s="93">
        <f>F54+150</f>
        <v>1307</v>
      </c>
      <c r="S54" s="234">
        <f t="shared" si="128"/>
        <v>1307</v>
      </c>
      <c r="T54" s="93">
        <f>F54+135</f>
        <v>1292</v>
      </c>
      <c r="U54" s="234">
        <f t="shared" si="129"/>
        <v>1292</v>
      </c>
      <c r="V54" s="93">
        <f>F54+120</f>
        <v>1277</v>
      </c>
      <c r="W54" s="255">
        <f t="shared" si="130"/>
        <v>1277</v>
      </c>
      <c r="X54" s="118"/>
      <c r="Y54" s="119"/>
      <c r="Z54" s="119"/>
      <c r="AA54" s="119"/>
      <c r="AB54" s="346">
        <v>62</v>
      </c>
    </row>
    <row r="55" spans="1:35" ht="12.6" customHeight="1" x14ac:dyDescent="0.2">
      <c r="A55" s="17"/>
      <c r="B55" s="763" t="s">
        <v>69</v>
      </c>
      <c r="C55" s="682"/>
      <c r="D55" s="682"/>
      <c r="E55" s="682"/>
      <c r="F55" s="256">
        <v>1337</v>
      </c>
      <c r="G55" s="256">
        <f t="shared" si="117"/>
        <v>1337</v>
      </c>
      <c r="H55" s="112"/>
      <c r="I55" s="256"/>
      <c r="J55" s="546">
        <f>F55+330</f>
        <v>1667</v>
      </c>
      <c r="K55" s="256">
        <f t="shared" si="124"/>
        <v>1667</v>
      </c>
      <c r="L55" s="546">
        <f>F55+250</f>
        <v>1587</v>
      </c>
      <c r="M55" s="256">
        <f t="shared" si="125"/>
        <v>1587</v>
      </c>
      <c r="N55" s="92">
        <f>F55+200</f>
        <v>1537</v>
      </c>
      <c r="O55" s="269">
        <f t="shared" si="126"/>
        <v>1537</v>
      </c>
      <c r="P55" s="92">
        <f>F55+170</f>
        <v>1507</v>
      </c>
      <c r="Q55" s="256">
        <f t="shared" si="127"/>
        <v>1507</v>
      </c>
      <c r="R55" s="92">
        <f>F55+150</f>
        <v>1487</v>
      </c>
      <c r="S55" s="269">
        <f t="shared" si="128"/>
        <v>1487</v>
      </c>
      <c r="T55" s="92">
        <f>F55+135</f>
        <v>1472</v>
      </c>
      <c r="U55" s="269">
        <f t="shared" si="129"/>
        <v>1472</v>
      </c>
      <c r="V55" s="92">
        <f>F55+120</f>
        <v>1457</v>
      </c>
      <c r="W55" s="256">
        <f t="shared" si="130"/>
        <v>1457</v>
      </c>
      <c r="X55" s="118"/>
      <c r="Y55" s="119"/>
      <c r="Z55" s="119"/>
      <c r="AA55" s="119"/>
      <c r="AB55" s="346">
        <v>63</v>
      </c>
      <c r="AD55" s="4"/>
      <c r="AE55" s="4"/>
      <c r="AF55" s="4"/>
      <c r="AG55" s="4"/>
      <c r="AH55" s="4"/>
      <c r="AI55" s="4"/>
    </row>
    <row r="56" spans="1:35" ht="12.6" customHeight="1" x14ac:dyDescent="0.2">
      <c r="A56" s="17"/>
      <c r="B56" s="757" t="s">
        <v>472</v>
      </c>
      <c r="C56" s="631"/>
      <c r="D56" s="631"/>
      <c r="E56" s="631"/>
      <c r="F56" s="255">
        <v>1396</v>
      </c>
      <c r="G56" s="255">
        <f t="shared" ref="G56" si="131">+F56*$X$1</f>
        <v>1396</v>
      </c>
      <c r="H56" s="111"/>
      <c r="I56" s="255"/>
      <c r="J56" s="537">
        <f>F56+400</f>
        <v>1796</v>
      </c>
      <c r="K56" s="255">
        <f t="shared" ref="K56" si="132">+J56*$X$1</f>
        <v>1796</v>
      </c>
      <c r="L56" s="537">
        <f>F56+310</f>
        <v>1706</v>
      </c>
      <c r="M56" s="255">
        <f t="shared" ref="M56:M59" si="133">+L56*$X$1</f>
        <v>1706</v>
      </c>
      <c r="N56" s="93">
        <f>F56+250</f>
        <v>1646</v>
      </c>
      <c r="O56" s="234">
        <f t="shared" ref="O56:O59" si="134">+N56*$X$1</f>
        <v>1646</v>
      </c>
      <c r="P56" s="93">
        <f>F56+210</f>
        <v>1606</v>
      </c>
      <c r="Q56" s="255">
        <f t="shared" ref="Q56:Q59" si="135">+P56*$X$1</f>
        <v>1606</v>
      </c>
      <c r="R56" s="93">
        <f>F56+195</f>
        <v>1591</v>
      </c>
      <c r="S56" s="234">
        <f t="shared" ref="S56:S59" si="136">+R56*$X$1</f>
        <v>1591</v>
      </c>
      <c r="T56" s="93">
        <f>F56+180</f>
        <v>1576</v>
      </c>
      <c r="U56" s="234">
        <f t="shared" ref="U56:U59" si="137">+T56*$X$1</f>
        <v>1576</v>
      </c>
      <c r="V56" s="93">
        <f>F56+165</f>
        <v>1561</v>
      </c>
      <c r="W56" s="255">
        <f t="shared" ref="W56:W59" si="138">+V56*$X$1</f>
        <v>1561</v>
      </c>
      <c r="X56" s="118"/>
      <c r="Y56" s="119"/>
      <c r="Z56" s="119"/>
      <c r="AA56" s="119"/>
      <c r="AB56" s="346">
        <v>64</v>
      </c>
    </row>
    <row r="57" spans="1:35" ht="12.6" customHeight="1" x14ac:dyDescent="0.2">
      <c r="A57" s="17"/>
      <c r="B57" s="972" t="s">
        <v>1028</v>
      </c>
      <c r="C57" s="973"/>
      <c r="D57" s="973"/>
      <c r="E57" s="973"/>
      <c r="F57" s="459">
        <v>390</v>
      </c>
      <c r="G57" s="459">
        <f t="shared" ref="G57:G70" si="139">+F57*$X$1</f>
        <v>390</v>
      </c>
      <c r="H57" s="461"/>
      <c r="I57" s="463"/>
      <c r="J57" s="467"/>
      <c r="K57" s="459"/>
      <c r="L57" s="596">
        <f t="shared" ref="L57:L63" si="140">F57+210</f>
        <v>600</v>
      </c>
      <c r="M57" s="460">
        <f t="shared" ref="M57" si="141">+L57*$X$1</f>
        <v>600</v>
      </c>
      <c r="N57" s="596">
        <f t="shared" ref="N57:N63" si="142">F57+160</f>
        <v>550</v>
      </c>
      <c r="O57" s="460">
        <f t="shared" ref="O57" si="143">+N57*$X$1</f>
        <v>550</v>
      </c>
      <c r="P57" s="596">
        <f t="shared" ref="P57:P63" si="144">F57+130</f>
        <v>520</v>
      </c>
      <c r="Q57" s="460">
        <f t="shared" ref="Q57" si="145">+P57*$X$1</f>
        <v>520</v>
      </c>
      <c r="R57" s="596">
        <f t="shared" ref="R57:R63" si="146">F57+110</f>
        <v>500</v>
      </c>
      <c r="S57" s="460">
        <f t="shared" ref="S57" si="147">+R57*$X$1</f>
        <v>500</v>
      </c>
      <c r="T57" s="596">
        <f t="shared" ref="T57:T63" si="148">F57+90</f>
        <v>480</v>
      </c>
      <c r="U57" s="460">
        <f t="shared" ref="U57" si="149">+T57*$X$1</f>
        <v>480</v>
      </c>
      <c r="V57" s="596">
        <f t="shared" ref="V57:V63" si="150">F57+70</f>
        <v>460</v>
      </c>
      <c r="W57" s="460">
        <f t="shared" ref="W57" si="151">+V57*$X$1</f>
        <v>460</v>
      </c>
      <c r="X57" s="119"/>
      <c r="Y57" s="119"/>
      <c r="Z57" s="119"/>
      <c r="AA57" s="119"/>
      <c r="AB57" s="346">
        <v>85</v>
      </c>
    </row>
    <row r="58" spans="1:35" ht="12.6" customHeight="1" x14ac:dyDescent="0.2">
      <c r="A58" s="17"/>
      <c r="B58" s="750" t="s">
        <v>1027</v>
      </c>
      <c r="C58" s="700"/>
      <c r="D58" s="700"/>
      <c r="E58" s="700"/>
      <c r="F58" s="270">
        <v>970</v>
      </c>
      <c r="G58" s="270">
        <f t="shared" ref="G58" si="152">+F58*$X$1</f>
        <v>970</v>
      </c>
      <c r="H58" s="251"/>
      <c r="I58" s="302"/>
      <c r="J58" s="378"/>
      <c r="K58" s="270"/>
      <c r="L58" s="537">
        <f t="shared" ref="L58" si="153">F58+210</f>
        <v>1180</v>
      </c>
      <c r="M58" s="255">
        <f t="shared" ref="M58" si="154">+L58*$X$1</f>
        <v>1180</v>
      </c>
      <c r="N58" s="537">
        <f t="shared" ref="N58" si="155">F58+160</f>
        <v>1130</v>
      </c>
      <c r="O58" s="255">
        <f t="shared" ref="O58" si="156">+N58*$X$1</f>
        <v>1130</v>
      </c>
      <c r="P58" s="537">
        <f t="shared" ref="P58" si="157">F58+130</f>
        <v>1100</v>
      </c>
      <c r="Q58" s="255">
        <f t="shared" ref="Q58" si="158">+P58*$X$1</f>
        <v>1100</v>
      </c>
      <c r="R58" s="537">
        <f t="shared" ref="R58" si="159">F58+110</f>
        <v>1080</v>
      </c>
      <c r="S58" s="255">
        <f t="shared" ref="S58" si="160">+R58*$X$1</f>
        <v>1080</v>
      </c>
      <c r="T58" s="537">
        <f t="shared" ref="T58" si="161">F58+90</f>
        <v>1060</v>
      </c>
      <c r="U58" s="255">
        <f t="shared" ref="U58" si="162">+T58*$X$1</f>
        <v>1060</v>
      </c>
      <c r="V58" s="537">
        <f t="shared" ref="V58" si="163">F58+70</f>
        <v>1040</v>
      </c>
      <c r="W58" s="255">
        <f t="shared" ref="W58" si="164">+V58*$X$1</f>
        <v>1040</v>
      </c>
      <c r="X58" s="119"/>
      <c r="Y58" s="119"/>
      <c r="Z58" s="119"/>
      <c r="AA58" s="119"/>
      <c r="AB58" s="346">
        <v>85</v>
      </c>
    </row>
    <row r="59" spans="1:35" ht="12.6" customHeight="1" x14ac:dyDescent="0.2">
      <c r="A59" s="17"/>
      <c r="B59" s="746" t="s">
        <v>902</v>
      </c>
      <c r="C59" s="747"/>
      <c r="D59" s="747"/>
      <c r="E59" s="747"/>
      <c r="F59" s="280">
        <v>1450</v>
      </c>
      <c r="G59" s="436">
        <f t="shared" si="139"/>
        <v>1450</v>
      </c>
      <c r="H59" s="250"/>
      <c r="I59" s="303"/>
      <c r="J59" s="379"/>
      <c r="K59" s="280"/>
      <c r="L59" s="546">
        <f t="shared" si="140"/>
        <v>1660</v>
      </c>
      <c r="M59" s="256">
        <f t="shared" si="133"/>
        <v>1660</v>
      </c>
      <c r="N59" s="546">
        <f t="shared" si="142"/>
        <v>1610</v>
      </c>
      <c r="O59" s="256">
        <f t="shared" si="134"/>
        <v>1610</v>
      </c>
      <c r="P59" s="546">
        <f t="shared" si="144"/>
        <v>1580</v>
      </c>
      <c r="Q59" s="256">
        <f t="shared" si="135"/>
        <v>1580</v>
      </c>
      <c r="R59" s="546">
        <f t="shared" si="146"/>
        <v>1560</v>
      </c>
      <c r="S59" s="256">
        <f t="shared" si="136"/>
        <v>1560</v>
      </c>
      <c r="T59" s="546">
        <f t="shared" si="148"/>
        <v>1540</v>
      </c>
      <c r="U59" s="256">
        <f t="shared" si="137"/>
        <v>1540</v>
      </c>
      <c r="V59" s="546">
        <f t="shared" si="150"/>
        <v>1520</v>
      </c>
      <c r="W59" s="256">
        <f t="shared" si="138"/>
        <v>1520</v>
      </c>
      <c r="X59" s="119"/>
      <c r="Y59" s="119"/>
      <c r="Z59" s="119"/>
      <c r="AA59" s="119"/>
      <c r="AB59" s="348" t="s">
        <v>908</v>
      </c>
    </row>
    <row r="60" spans="1:35" ht="12.6" customHeight="1" x14ac:dyDescent="0.2">
      <c r="A60" s="17"/>
      <c r="B60" s="750" t="s">
        <v>903</v>
      </c>
      <c r="C60" s="700"/>
      <c r="D60" s="700"/>
      <c r="E60" s="700"/>
      <c r="F60" s="270">
        <v>1080</v>
      </c>
      <c r="G60" s="299">
        <f t="shared" ref="G60" si="165">+F60*$X$1</f>
        <v>1080</v>
      </c>
      <c r="H60" s="251"/>
      <c r="I60" s="302"/>
      <c r="J60" s="378"/>
      <c r="K60" s="270"/>
      <c r="L60" s="537">
        <f t="shared" si="140"/>
        <v>1290</v>
      </c>
      <c r="M60" s="255">
        <f t="shared" ref="M60:M62" si="166">+L60*$X$1</f>
        <v>1290</v>
      </c>
      <c r="N60" s="537">
        <f t="shared" si="142"/>
        <v>1240</v>
      </c>
      <c r="O60" s="255">
        <f t="shared" ref="O60:O62" si="167">+N60*$X$1</f>
        <v>1240</v>
      </c>
      <c r="P60" s="537">
        <f t="shared" si="144"/>
        <v>1210</v>
      </c>
      <c r="Q60" s="255">
        <f t="shared" ref="Q60:Q62" si="168">+P60*$X$1</f>
        <v>1210</v>
      </c>
      <c r="R60" s="537">
        <f t="shared" si="146"/>
        <v>1190</v>
      </c>
      <c r="S60" s="255">
        <f t="shared" ref="S60:S62" si="169">+R60*$X$1</f>
        <v>1190</v>
      </c>
      <c r="T60" s="537">
        <f t="shared" si="148"/>
        <v>1170</v>
      </c>
      <c r="U60" s="255">
        <f t="shared" ref="U60:U62" si="170">+T60*$X$1</f>
        <v>1170</v>
      </c>
      <c r="V60" s="537">
        <f t="shared" si="150"/>
        <v>1150</v>
      </c>
      <c r="W60" s="255">
        <f t="shared" ref="W60:W62" si="171">+V60*$X$1</f>
        <v>1150</v>
      </c>
      <c r="X60" s="119"/>
      <c r="Y60" s="119"/>
      <c r="Z60" s="119"/>
      <c r="AA60" s="119"/>
      <c r="AB60" s="348" t="s">
        <v>909</v>
      </c>
    </row>
    <row r="61" spans="1:35" ht="12.6" customHeight="1" x14ac:dyDescent="0.2">
      <c r="A61" s="17"/>
      <c r="B61" s="746" t="s">
        <v>904</v>
      </c>
      <c r="C61" s="747"/>
      <c r="D61" s="747"/>
      <c r="E61" s="747"/>
      <c r="F61" s="280">
        <v>1100</v>
      </c>
      <c r="G61" s="436">
        <f t="shared" ref="G61:G65" si="172">+F61*$X$1</f>
        <v>1100</v>
      </c>
      <c r="H61" s="250"/>
      <c r="I61" s="303"/>
      <c r="J61" s="379"/>
      <c r="K61" s="280"/>
      <c r="L61" s="546">
        <f t="shared" si="140"/>
        <v>1310</v>
      </c>
      <c r="M61" s="256">
        <f t="shared" si="166"/>
        <v>1310</v>
      </c>
      <c r="N61" s="546">
        <f t="shared" si="142"/>
        <v>1260</v>
      </c>
      <c r="O61" s="256">
        <f t="shared" si="167"/>
        <v>1260</v>
      </c>
      <c r="P61" s="546">
        <f t="shared" si="144"/>
        <v>1230</v>
      </c>
      <c r="Q61" s="256">
        <f t="shared" si="168"/>
        <v>1230</v>
      </c>
      <c r="R61" s="546">
        <f t="shared" si="146"/>
        <v>1210</v>
      </c>
      <c r="S61" s="256">
        <f t="shared" si="169"/>
        <v>1210</v>
      </c>
      <c r="T61" s="546">
        <f t="shared" si="148"/>
        <v>1190</v>
      </c>
      <c r="U61" s="256">
        <f t="shared" si="170"/>
        <v>1190</v>
      </c>
      <c r="V61" s="546">
        <f t="shared" si="150"/>
        <v>1170</v>
      </c>
      <c r="W61" s="256">
        <f t="shared" si="171"/>
        <v>1170</v>
      </c>
      <c r="X61" s="119"/>
      <c r="Y61" s="119"/>
      <c r="Z61" s="119"/>
      <c r="AA61" s="119"/>
      <c r="AB61" s="348" t="s">
        <v>906</v>
      </c>
    </row>
    <row r="62" spans="1:35" ht="12.6" customHeight="1" x14ac:dyDescent="0.2">
      <c r="A62" s="17"/>
      <c r="B62" s="750" t="s">
        <v>905</v>
      </c>
      <c r="C62" s="700"/>
      <c r="D62" s="700"/>
      <c r="E62" s="700"/>
      <c r="F62" s="270">
        <v>794</v>
      </c>
      <c r="G62" s="299">
        <f t="shared" ref="G62" si="173">+F62*$X$1</f>
        <v>794</v>
      </c>
      <c r="H62" s="251"/>
      <c r="I62" s="302"/>
      <c r="J62" s="378"/>
      <c r="K62" s="270"/>
      <c r="L62" s="537">
        <f t="shared" si="140"/>
        <v>1004</v>
      </c>
      <c r="M62" s="255">
        <f t="shared" si="166"/>
        <v>1004</v>
      </c>
      <c r="N62" s="537">
        <f t="shared" si="142"/>
        <v>954</v>
      </c>
      <c r="O62" s="255">
        <f t="shared" si="167"/>
        <v>954</v>
      </c>
      <c r="P62" s="537">
        <f t="shared" si="144"/>
        <v>924</v>
      </c>
      <c r="Q62" s="255">
        <f t="shared" si="168"/>
        <v>924</v>
      </c>
      <c r="R62" s="537">
        <f t="shared" si="146"/>
        <v>904</v>
      </c>
      <c r="S62" s="255">
        <f t="shared" si="169"/>
        <v>904</v>
      </c>
      <c r="T62" s="537">
        <f t="shared" si="148"/>
        <v>884</v>
      </c>
      <c r="U62" s="255">
        <f t="shared" si="170"/>
        <v>884</v>
      </c>
      <c r="V62" s="537">
        <f t="shared" si="150"/>
        <v>864</v>
      </c>
      <c r="W62" s="255">
        <f t="shared" si="171"/>
        <v>864</v>
      </c>
      <c r="X62" s="119"/>
      <c r="Y62" s="119"/>
      <c r="Z62" s="119"/>
      <c r="AA62" s="119"/>
      <c r="AB62" s="348" t="s">
        <v>907</v>
      </c>
    </row>
    <row r="63" spans="1:35" ht="12.6" customHeight="1" x14ac:dyDescent="0.2">
      <c r="A63" s="17"/>
      <c r="B63" s="746" t="s">
        <v>702</v>
      </c>
      <c r="C63" s="747"/>
      <c r="D63" s="747"/>
      <c r="E63" s="747"/>
      <c r="F63" s="327">
        <f>2.57*X2</f>
        <v>3957.7999999999997</v>
      </c>
      <c r="G63" s="256">
        <f t="shared" si="172"/>
        <v>3957.7999999999997</v>
      </c>
      <c r="H63" s="82"/>
      <c r="I63" s="256"/>
      <c r="J63" s="82">
        <f>F63+280</f>
        <v>4237.7999999999993</v>
      </c>
      <c r="K63" s="256">
        <f t="shared" ref="K63" si="174">+J63*$X$1</f>
        <v>4237.7999999999993</v>
      </c>
      <c r="L63" s="546">
        <f t="shared" si="140"/>
        <v>4167.7999999999993</v>
      </c>
      <c r="M63" s="256">
        <f t="shared" ref="M63" si="175">+L63*$X$1</f>
        <v>4167.7999999999993</v>
      </c>
      <c r="N63" s="546">
        <f t="shared" si="142"/>
        <v>4117.7999999999993</v>
      </c>
      <c r="O63" s="256">
        <f t="shared" ref="O63" si="176">+N63*$X$1</f>
        <v>4117.7999999999993</v>
      </c>
      <c r="P63" s="546">
        <f t="shared" si="144"/>
        <v>4087.7999999999997</v>
      </c>
      <c r="Q63" s="256">
        <f t="shared" ref="Q63" si="177">+P63*$X$1</f>
        <v>4087.7999999999997</v>
      </c>
      <c r="R63" s="546">
        <f t="shared" si="146"/>
        <v>4067.7999999999997</v>
      </c>
      <c r="S63" s="256">
        <f t="shared" ref="S63" si="178">+R63*$X$1</f>
        <v>4067.7999999999997</v>
      </c>
      <c r="T63" s="546">
        <f t="shared" si="148"/>
        <v>4047.7999999999997</v>
      </c>
      <c r="U63" s="256">
        <f t="shared" ref="U63" si="179">+T63*$X$1</f>
        <v>4047.7999999999997</v>
      </c>
      <c r="V63" s="546">
        <f t="shared" si="150"/>
        <v>4027.7999999999997</v>
      </c>
      <c r="W63" s="256">
        <f t="shared" ref="W63" si="180">+V63*$X$1</f>
        <v>4027.7999999999997</v>
      </c>
      <c r="X63" s="119"/>
      <c r="Y63" s="119"/>
      <c r="Z63" s="119"/>
      <c r="AA63" s="119"/>
      <c r="AB63" s="346" t="s">
        <v>703</v>
      </c>
    </row>
    <row r="64" spans="1:35" ht="12.6" customHeight="1" x14ac:dyDescent="0.2">
      <c r="A64" s="17"/>
      <c r="B64" s="751" t="s">
        <v>1000</v>
      </c>
      <c r="C64" s="752"/>
      <c r="D64" s="752"/>
      <c r="E64" s="753"/>
      <c r="F64" s="270">
        <v>1280</v>
      </c>
      <c r="G64" s="299">
        <f t="shared" si="139"/>
        <v>1280</v>
      </c>
      <c r="H64" s="251"/>
      <c r="I64" s="302"/>
      <c r="J64" s="68">
        <f>F64+320</f>
        <v>1600</v>
      </c>
      <c r="K64" s="255">
        <f t="shared" ref="K64" si="181">+J64*$X$1</f>
        <v>1600</v>
      </c>
      <c r="L64" s="537">
        <f>F64+240</f>
        <v>1520</v>
      </c>
      <c r="M64" s="255">
        <f t="shared" ref="M64" si="182">+L64*$X$1</f>
        <v>1520</v>
      </c>
      <c r="N64" s="537">
        <f>F64+210</f>
        <v>1490</v>
      </c>
      <c r="O64" s="255">
        <f t="shared" ref="O64" si="183">+N64*$X$1</f>
        <v>1490</v>
      </c>
      <c r="P64" s="537">
        <f>F64+180</f>
        <v>1460</v>
      </c>
      <c r="Q64" s="255">
        <f t="shared" ref="Q64" si="184">+P64*$X$1</f>
        <v>1460</v>
      </c>
      <c r="R64" s="537">
        <f>F64+150</f>
        <v>1430</v>
      </c>
      <c r="S64" s="255">
        <f t="shared" ref="S64" si="185">+R64*$X$1</f>
        <v>1430</v>
      </c>
      <c r="T64" s="537">
        <f>F64+120</f>
        <v>1400</v>
      </c>
      <c r="U64" s="255">
        <f t="shared" ref="U64" si="186">+T64*$X$1</f>
        <v>1400</v>
      </c>
      <c r="V64" s="537">
        <f>F64+100</f>
        <v>1380</v>
      </c>
      <c r="W64" s="255">
        <f t="shared" ref="W64" si="187">+V64*$X$1</f>
        <v>1380</v>
      </c>
      <c r="X64" s="119"/>
      <c r="Y64" s="119"/>
      <c r="Z64" s="119"/>
      <c r="AA64" s="119"/>
      <c r="AB64" s="346">
        <v>89</v>
      </c>
    </row>
    <row r="65" spans="1:38" ht="12.6" customHeight="1" x14ac:dyDescent="0.2">
      <c r="A65" s="17"/>
      <c r="B65" s="651" t="s">
        <v>999</v>
      </c>
      <c r="C65" s="758"/>
      <c r="D65" s="758"/>
      <c r="E65" s="759"/>
      <c r="F65" s="270">
        <v>1480</v>
      </c>
      <c r="G65" s="256">
        <f t="shared" si="172"/>
        <v>1480</v>
      </c>
      <c r="H65" s="250"/>
      <c r="I65" s="303"/>
      <c r="J65" s="82">
        <f>F65+320</f>
        <v>1800</v>
      </c>
      <c r="K65" s="256">
        <f t="shared" ref="K65" si="188">+J65*$X$1</f>
        <v>1800</v>
      </c>
      <c r="L65" s="546">
        <f>F65+240</f>
        <v>1720</v>
      </c>
      <c r="M65" s="256">
        <f t="shared" ref="M65" si="189">+L65*$X$1</f>
        <v>1720</v>
      </c>
      <c r="N65" s="546">
        <f>F65+210</f>
        <v>1690</v>
      </c>
      <c r="O65" s="256">
        <f t="shared" ref="O65:O66" si="190">+N65*$X$1</f>
        <v>1690</v>
      </c>
      <c r="P65" s="546">
        <f>F65+180</f>
        <v>1660</v>
      </c>
      <c r="Q65" s="256">
        <f t="shared" ref="Q65:Q66" si="191">+P65*$X$1</f>
        <v>1660</v>
      </c>
      <c r="R65" s="546">
        <f>F65+150</f>
        <v>1630</v>
      </c>
      <c r="S65" s="256">
        <f t="shared" ref="S65:S66" si="192">+R65*$X$1</f>
        <v>1630</v>
      </c>
      <c r="T65" s="546">
        <f>F65+120</f>
        <v>1600</v>
      </c>
      <c r="U65" s="256">
        <f t="shared" ref="U65:U66" si="193">+T65*$X$1</f>
        <v>1600</v>
      </c>
      <c r="V65" s="546">
        <f>F65+100</f>
        <v>1580</v>
      </c>
      <c r="W65" s="256">
        <f t="shared" ref="W65:W66" si="194">+V65*$X$1</f>
        <v>1580</v>
      </c>
      <c r="X65" s="119"/>
      <c r="Y65" s="119"/>
      <c r="Z65" s="119"/>
      <c r="AA65" s="119"/>
      <c r="AB65" s="346" t="s">
        <v>1001</v>
      </c>
    </row>
    <row r="66" spans="1:38" ht="12.6" customHeight="1" x14ac:dyDescent="0.2">
      <c r="A66" s="17"/>
      <c r="B66" s="757" t="s">
        <v>453</v>
      </c>
      <c r="C66" s="631"/>
      <c r="D66" s="631"/>
      <c r="E66" s="631"/>
      <c r="F66" s="255">
        <v>667</v>
      </c>
      <c r="G66" s="299">
        <f t="shared" si="139"/>
        <v>667</v>
      </c>
      <c r="H66" s="251"/>
      <c r="I66" s="302"/>
      <c r="J66" s="68"/>
      <c r="K66" s="234"/>
      <c r="L66" s="537"/>
      <c r="M66" s="234"/>
      <c r="N66" s="537">
        <f>F66+160</f>
        <v>827</v>
      </c>
      <c r="O66" s="255">
        <f t="shared" si="190"/>
        <v>827</v>
      </c>
      <c r="P66" s="537">
        <f>F66+130</f>
        <v>797</v>
      </c>
      <c r="Q66" s="255">
        <f t="shared" si="191"/>
        <v>797</v>
      </c>
      <c r="R66" s="537">
        <f>F66+110</f>
        <v>777</v>
      </c>
      <c r="S66" s="255">
        <f t="shared" si="192"/>
        <v>777</v>
      </c>
      <c r="T66" s="537">
        <f>F66+90</f>
        <v>757</v>
      </c>
      <c r="U66" s="255">
        <f t="shared" si="193"/>
        <v>757</v>
      </c>
      <c r="V66" s="537">
        <f>F66+70</f>
        <v>737</v>
      </c>
      <c r="W66" s="255">
        <f t="shared" si="194"/>
        <v>737</v>
      </c>
      <c r="X66" s="131"/>
      <c r="Y66" s="131"/>
      <c r="Z66" s="131" t="s">
        <v>70</v>
      </c>
      <c r="AA66" s="119"/>
      <c r="AB66" s="346">
        <v>91</v>
      </c>
    </row>
    <row r="67" spans="1:38" ht="12.6" customHeight="1" x14ac:dyDescent="0.2">
      <c r="A67" s="17"/>
      <c r="B67" s="1006" t="s">
        <v>71</v>
      </c>
      <c r="C67" s="1007"/>
      <c r="D67" s="1007"/>
      <c r="E67" s="1008"/>
      <c r="F67" s="256">
        <v>290</v>
      </c>
      <c r="G67" s="275">
        <f t="shared" si="139"/>
        <v>290</v>
      </c>
      <c r="H67" s="250"/>
      <c r="I67" s="303"/>
      <c r="J67" s="82"/>
      <c r="K67" s="269"/>
      <c r="L67" s="546"/>
      <c r="M67" s="269"/>
      <c r="N67" s="546">
        <f>F67+160</f>
        <v>450</v>
      </c>
      <c r="O67" s="256">
        <f t="shared" ref="O67" si="195">+N67*$X$1</f>
        <v>450</v>
      </c>
      <c r="P67" s="546">
        <f>F67+130</f>
        <v>420</v>
      </c>
      <c r="Q67" s="256">
        <f t="shared" ref="Q67" si="196">+P67*$X$1</f>
        <v>420</v>
      </c>
      <c r="R67" s="546">
        <f>F67+110</f>
        <v>400</v>
      </c>
      <c r="S67" s="256">
        <f t="shared" ref="S67" si="197">+R67*$X$1</f>
        <v>400</v>
      </c>
      <c r="T67" s="546">
        <f>F67+90</f>
        <v>380</v>
      </c>
      <c r="U67" s="256">
        <f t="shared" ref="U67" si="198">+T67*$X$1</f>
        <v>380</v>
      </c>
      <c r="V67" s="546">
        <f>F67+70</f>
        <v>360</v>
      </c>
      <c r="W67" s="256">
        <f t="shared" ref="W67" si="199">+V67*$X$1</f>
        <v>360</v>
      </c>
      <c r="X67" s="131"/>
      <c r="Y67" s="131"/>
      <c r="Z67" s="131"/>
      <c r="AA67" s="119"/>
      <c r="AB67" s="346" t="s">
        <v>72</v>
      </c>
    </row>
    <row r="68" spans="1:38" ht="12.6" customHeight="1" x14ac:dyDescent="0.2">
      <c r="A68" s="17"/>
      <c r="B68" s="1107" t="s">
        <v>310</v>
      </c>
      <c r="C68" s="1108"/>
      <c r="D68" s="1108"/>
      <c r="E68" s="1109"/>
      <c r="F68" s="255"/>
      <c r="G68" s="276"/>
      <c r="H68" s="251"/>
      <c r="I68" s="251"/>
      <c r="J68" s="68"/>
      <c r="K68" s="87"/>
      <c r="L68" s="537"/>
      <c r="M68" s="234"/>
      <c r="N68" s="93"/>
      <c r="O68" s="234"/>
      <c r="P68" s="93"/>
      <c r="Q68" s="255"/>
      <c r="R68" s="93"/>
      <c r="S68" s="234"/>
      <c r="T68" s="93"/>
      <c r="U68" s="234"/>
      <c r="V68" s="93"/>
      <c r="W68" s="255"/>
      <c r="X68" s="131"/>
      <c r="Y68" s="131"/>
      <c r="Z68" s="131"/>
      <c r="AA68" s="119"/>
      <c r="AB68" s="32"/>
    </row>
    <row r="69" spans="1:38" ht="12.6" customHeight="1" x14ac:dyDescent="0.2">
      <c r="A69" s="17"/>
      <c r="B69" s="1006" t="s">
        <v>311</v>
      </c>
      <c r="C69" s="1007"/>
      <c r="D69" s="1007"/>
      <c r="E69" s="1008"/>
      <c r="F69" s="256"/>
      <c r="G69" s="275"/>
      <c r="H69" s="250"/>
      <c r="I69" s="250"/>
      <c r="J69" s="82"/>
      <c r="K69" s="85"/>
      <c r="L69" s="546"/>
      <c r="M69" s="269"/>
      <c r="N69" s="92"/>
      <c r="O69" s="269"/>
      <c r="P69" s="92"/>
      <c r="Q69" s="256"/>
      <c r="R69" s="92"/>
      <c r="S69" s="269"/>
      <c r="T69" s="92"/>
      <c r="U69" s="269"/>
      <c r="V69" s="92"/>
      <c r="W69" s="256"/>
      <c r="X69" s="131"/>
      <c r="Y69" s="131"/>
      <c r="Z69" s="131"/>
      <c r="AA69" s="119"/>
      <c r="AB69" s="32"/>
    </row>
    <row r="70" spans="1:38" ht="12.6" customHeight="1" x14ac:dyDescent="0.2">
      <c r="A70" s="17"/>
      <c r="B70" s="757" t="s">
        <v>73</v>
      </c>
      <c r="C70" s="631"/>
      <c r="D70" s="631"/>
      <c r="E70" s="631"/>
      <c r="F70" s="255">
        <v>5970</v>
      </c>
      <c r="G70" s="276">
        <f t="shared" si="139"/>
        <v>5970</v>
      </c>
      <c r="H70" s="68">
        <f>F70+700</f>
        <v>6670</v>
      </c>
      <c r="I70" s="255">
        <f>+H70*$X$1</f>
        <v>6670</v>
      </c>
      <c r="J70" s="68">
        <f>F70+280</f>
        <v>6250</v>
      </c>
      <c r="K70" s="255">
        <f t="shared" ref="K70" si="200">+J70*$X$1</f>
        <v>6250</v>
      </c>
      <c r="L70" s="537">
        <f>F70+210</f>
        <v>6180</v>
      </c>
      <c r="M70" s="255">
        <f t="shared" ref="M70" si="201">+L70*$X$1</f>
        <v>6180</v>
      </c>
      <c r="N70" s="537">
        <f>F70+160</f>
        <v>6130</v>
      </c>
      <c r="O70" s="255">
        <f t="shared" ref="O70" si="202">+N70*$X$1</f>
        <v>6130</v>
      </c>
      <c r="P70" s="537">
        <f>F70+130</f>
        <v>6100</v>
      </c>
      <c r="Q70" s="255">
        <f t="shared" ref="Q70" si="203">+P70*$X$1</f>
        <v>6100</v>
      </c>
      <c r="R70" s="537">
        <f>F70+110</f>
        <v>6080</v>
      </c>
      <c r="S70" s="255">
        <f t="shared" ref="S70" si="204">+R70*$X$1</f>
        <v>6080</v>
      </c>
      <c r="T70" s="537">
        <f>F70+90</f>
        <v>6060</v>
      </c>
      <c r="U70" s="255">
        <f t="shared" ref="U70" si="205">+T70*$X$1</f>
        <v>6060</v>
      </c>
      <c r="V70" s="537">
        <f>F70+70</f>
        <v>6040</v>
      </c>
      <c r="W70" s="255">
        <f t="shared" ref="W70" si="206">+V70*$X$1</f>
        <v>6040</v>
      </c>
      <c r="X70" s="121"/>
      <c r="Y70" s="119"/>
      <c r="Z70" s="119"/>
      <c r="AA70" s="119"/>
      <c r="AB70" s="346">
        <v>92</v>
      </c>
    </row>
    <row r="71" spans="1:38" ht="12.6" customHeight="1" x14ac:dyDescent="0.25">
      <c r="A71" s="54"/>
      <c r="B71" s="763" t="s">
        <v>421</v>
      </c>
      <c r="C71" s="682"/>
      <c r="D71" s="682"/>
      <c r="E71" s="682"/>
      <c r="F71" s="256"/>
      <c r="G71" s="269"/>
      <c r="H71" s="226"/>
      <c r="I71" s="1034" t="s">
        <v>429</v>
      </c>
      <c r="J71" s="1035"/>
      <c r="K71" s="1035"/>
      <c r="L71" s="1036"/>
      <c r="M71" s="1037"/>
      <c r="N71" s="546">
        <v>1020</v>
      </c>
      <c r="O71" s="275">
        <f>+N71*$X$1</f>
        <v>1020</v>
      </c>
      <c r="P71" s="252">
        <v>980</v>
      </c>
      <c r="Q71" s="300">
        <f>+P71*$X$1</f>
        <v>980</v>
      </c>
      <c r="R71" s="546">
        <v>925</v>
      </c>
      <c r="S71" s="269">
        <f>+R71*$X$1</f>
        <v>925</v>
      </c>
      <c r="T71" s="546">
        <v>880</v>
      </c>
      <c r="U71" s="256">
        <f>+T71*$X$1</f>
        <v>880</v>
      </c>
      <c r="V71" s="546">
        <v>805</v>
      </c>
      <c r="W71" s="256">
        <f>+V71*$X$1</f>
        <v>805</v>
      </c>
      <c r="X71" s="710"/>
      <c r="Y71" s="710"/>
      <c r="Z71" s="710"/>
      <c r="AA71" s="710"/>
      <c r="AB71" s="178" t="s">
        <v>422</v>
      </c>
    </row>
    <row r="72" spans="1:38" ht="12.6" customHeight="1" x14ac:dyDescent="0.25">
      <c r="A72" s="54"/>
      <c r="B72" s="757" t="s">
        <v>301</v>
      </c>
      <c r="C72" s="703"/>
      <c r="D72" s="703"/>
      <c r="E72" s="703"/>
      <c r="F72" s="255"/>
      <c r="G72" s="234"/>
      <c r="H72" s="96"/>
      <c r="I72" s="1038" t="s">
        <v>429</v>
      </c>
      <c r="J72" s="1039"/>
      <c r="K72" s="1039"/>
      <c r="L72" s="1040"/>
      <c r="M72" s="1041"/>
      <c r="N72" s="537">
        <v>1120</v>
      </c>
      <c r="O72" s="276">
        <f>+N72*$X$1</f>
        <v>1120</v>
      </c>
      <c r="P72" s="261">
        <v>1080</v>
      </c>
      <c r="Q72" s="271">
        <f>+P72*$X$1</f>
        <v>1080</v>
      </c>
      <c r="R72" s="537">
        <v>990</v>
      </c>
      <c r="S72" s="234">
        <f>+R72*$X$1</f>
        <v>990</v>
      </c>
      <c r="T72" s="537">
        <v>960</v>
      </c>
      <c r="U72" s="255">
        <f>+T72*$X$1</f>
        <v>960</v>
      </c>
      <c r="V72" s="537">
        <v>870</v>
      </c>
      <c r="W72" s="255">
        <f>+V72*$X$1</f>
        <v>870</v>
      </c>
      <c r="X72" s="710"/>
      <c r="Y72" s="710"/>
      <c r="Z72" s="710"/>
      <c r="AA72" s="710"/>
      <c r="AB72" s="178" t="s">
        <v>74</v>
      </c>
    </row>
    <row r="73" spans="1:38" ht="12.6" customHeight="1" x14ac:dyDescent="0.25">
      <c r="A73" s="54"/>
      <c r="B73" s="763" t="s">
        <v>423</v>
      </c>
      <c r="C73" s="682"/>
      <c r="D73" s="682"/>
      <c r="E73" s="682"/>
      <c r="F73" s="256"/>
      <c r="G73" s="613"/>
      <c r="H73" s="614"/>
      <c r="I73" s="1034" t="s">
        <v>429</v>
      </c>
      <c r="J73" s="1035"/>
      <c r="K73" s="1035"/>
      <c r="L73" s="1036"/>
      <c r="M73" s="1037"/>
      <c r="N73" s="546">
        <v>1600</v>
      </c>
      <c r="O73" s="275">
        <f>+N73*$X$1</f>
        <v>1600</v>
      </c>
      <c r="P73" s="260">
        <v>1570</v>
      </c>
      <c r="Q73" s="300">
        <f>+P73*$X$1</f>
        <v>1570</v>
      </c>
      <c r="R73" s="546">
        <v>1500</v>
      </c>
      <c r="S73" s="269">
        <f>+R73*$X$1</f>
        <v>1500</v>
      </c>
      <c r="T73" s="546">
        <v>1475</v>
      </c>
      <c r="U73" s="256">
        <f>+T73*$X$1</f>
        <v>1475</v>
      </c>
      <c r="V73" s="546">
        <v>1390</v>
      </c>
      <c r="W73" s="256">
        <f>+V73*$X$1</f>
        <v>1390</v>
      </c>
      <c r="X73" s="710"/>
      <c r="Y73" s="710"/>
      <c r="Z73" s="710"/>
      <c r="AA73" s="710"/>
      <c r="AB73" s="178" t="s">
        <v>424</v>
      </c>
    </row>
    <row r="74" spans="1:38" s="6" customFormat="1" ht="12.6" customHeight="1" x14ac:dyDescent="0.25">
      <c r="A74" s="54"/>
      <c r="B74" s="1033" t="s">
        <v>356</v>
      </c>
      <c r="C74" s="684"/>
      <c r="D74" s="684"/>
      <c r="E74" s="685"/>
      <c r="F74" s="255"/>
      <c r="G74" s="255"/>
      <c r="H74" s="537"/>
      <c r="I74" s="255"/>
      <c r="J74" s="610"/>
      <c r="K74" s="611"/>
      <c r="L74" s="612">
        <v>2760</v>
      </c>
      <c r="M74" s="255">
        <f>+L74*$X$1</f>
        <v>2760</v>
      </c>
      <c r="N74" s="537">
        <v>2490</v>
      </c>
      <c r="O74" s="276">
        <f>+N74*$X$1</f>
        <v>2490</v>
      </c>
      <c r="P74" s="330">
        <v>2300</v>
      </c>
      <c r="Q74" s="271">
        <f>+P74*$X$1</f>
        <v>2300</v>
      </c>
      <c r="R74" s="537">
        <v>2270</v>
      </c>
      <c r="S74" s="234">
        <f>+R74*$X$1</f>
        <v>2270</v>
      </c>
      <c r="T74" s="537">
        <v>2185</v>
      </c>
      <c r="U74" s="255">
        <f>+T74*$X$1</f>
        <v>2185</v>
      </c>
      <c r="V74" s="602"/>
      <c r="W74" s="311"/>
      <c r="X74" s="224"/>
      <c r="Y74" s="225"/>
      <c r="Z74" s="225"/>
      <c r="AA74" s="225"/>
      <c r="AB74" s="178" t="s">
        <v>75</v>
      </c>
      <c r="AC74" s="8"/>
      <c r="AD74" s="8"/>
      <c r="AE74" s="8"/>
      <c r="AF74" s="8"/>
      <c r="AG74" s="8"/>
      <c r="AH74" s="53"/>
      <c r="AI74" s="22"/>
      <c r="AJ74" s="53"/>
      <c r="AK74" s="8"/>
      <c r="AL74" s="8"/>
    </row>
    <row r="75" spans="1:38" s="6" customFormat="1" ht="12.6" customHeight="1" x14ac:dyDescent="0.25">
      <c r="A75" s="54"/>
      <c r="B75" s="1117" t="s">
        <v>357</v>
      </c>
      <c r="C75" s="1118"/>
      <c r="D75" s="1118"/>
      <c r="E75" s="1119"/>
      <c r="F75" s="256"/>
      <c r="G75" s="615"/>
      <c r="H75" s="92"/>
      <c r="I75" s="616"/>
      <c r="J75" s="617"/>
      <c r="K75" s="618"/>
      <c r="L75" s="619">
        <v>3700</v>
      </c>
      <c r="M75" s="256">
        <f>+L75*$X$1</f>
        <v>3700</v>
      </c>
      <c r="N75" s="546">
        <v>3490</v>
      </c>
      <c r="O75" s="616">
        <f>+N75*$X$1</f>
        <v>3490</v>
      </c>
      <c r="P75" s="331">
        <v>3400</v>
      </c>
      <c r="Q75" s="300">
        <f>+P75*$X$1</f>
        <v>3400</v>
      </c>
      <c r="R75" s="546">
        <v>3370</v>
      </c>
      <c r="S75" s="615">
        <f>+R75*$X$1</f>
        <v>3370</v>
      </c>
      <c r="T75" s="546">
        <v>3150</v>
      </c>
      <c r="U75" s="256">
        <f>+T75*$X$1</f>
        <v>3150</v>
      </c>
      <c r="V75" s="601"/>
      <c r="W75" s="312"/>
      <c r="X75" s="1124"/>
      <c r="Y75" s="1125"/>
      <c r="Z75" s="1125"/>
      <c r="AA75" s="1125"/>
      <c r="AB75" s="178" t="s">
        <v>76</v>
      </c>
      <c r="AC75" s="8"/>
      <c r="AD75" s="8"/>
      <c r="AE75" s="8"/>
      <c r="AF75" s="8"/>
      <c r="AG75" s="8"/>
      <c r="AH75" s="53"/>
      <c r="AI75" s="53"/>
      <c r="AJ75" s="53"/>
      <c r="AK75" s="8"/>
      <c r="AL75" s="8"/>
    </row>
    <row r="76" spans="1:38" ht="12.6" customHeight="1" x14ac:dyDescent="0.2">
      <c r="A76" s="88"/>
      <c r="B76" s="98"/>
      <c r="C76" s="64"/>
      <c r="D76" s="64"/>
      <c r="E76" s="64"/>
      <c r="F76" s="169"/>
      <c r="G76" s="169"/>
      <c r="H76" s="169"/>
      <c r="I76" s="169"/>
      <c r="J76" s="169"/>
      <c r="K76" s="169"/>
      <c r="L76" s="99"/>
      <c r="M76" s="99"/>
      <c r="N76" s="100"/>
      <c r="O76" s="100"/>
      <c r="P76" s="100"/>
      <c r="Q76" s="101"/>
      <c r="R76" s="81"/>
      <c r="S76" s="60"/>
      <c r="T76" s="60"/>
      <c r="U76" s="60"/>
      <c r="V76" s="60"/>
      <c r="W76" s="60"/>
      <c r="X76" s="72"/>
      <c r="AB76" s="97"/>
    </row>
    <row r="77" spans="1:38" ht="12.6" customHeight="1" x14ac:dyDescent="0.2">
      <c r="A77" s="88"/>
      <c r="B77" s="98"/>
      <c r="C77" s="518"/>
      <c r="D77" s="518"/>
      <c r="E77" s="518"/>
      <c r="F77" s="217"/>
      <c r="G77" s="217"/>
      <c r="H77" s="217"/>
      <c r="I77" s="217"/>
      <c r="J77" s="217"/>
      <c r="K77" s="217"/>
      <c r="L77" s="99"/>
      <c r="M77" s="99"/>
      <c r="N77" s="100"/>
      <c r="O77" s="100"/>
      <c r="P77" s="100"/>
      <c r="Q77" s="101"/>
      <c r="R77" s="81"/>
      <c r="S77" s="60"/>
      <c r="T77" s="60"/>
      <c r="U77" s="60"/>
      <c r="V77" s="60"/>
      <c r="W77" s="60"/>
      <c r="X77" s="72"/>
      <c r="AB77" s="97"/>
    </row>
    <row r="78" spans="1:38" ht="12.6" customHeight="1" x14ac:dyDescent="0.2">
      <c r="A78" s="88"/>
      <c r="B78" s="98"/>
      <c r="C78" s="218"/>
      <c r="D78" s="218"/>
      <c r="E78" s="218"/>
      <c r="F78" s="217"/>
      <c r="G78" s="217"/>
      <c r="H78" s="217"/>
      <c r="I78" s="217"/>
      <c r="J78" s="217"/>
      <c r="K78" s="217"/>
      <c r="L78" s="99"/>
      <c r="M78" s="99"/>
      <c r="N78" s="100"/>
      <c r="O78" s="100"/>
      <c r="P78" s="100"/>
      <c r="Q78" s="101"/>
      <c r="R78" s="81"/>
      <c r="S78" s="60"/>
      <c r="T78" s="60"/>
      <c r="U78" s="60"/>
      <c r="V78" s="60"/>
      <c r="W78" s="60"/>
      <c r="X78" s="72"/>
      <c r="AB78" s="97"/>
    </row>
    <row r="79" spans="1:38" ht="15.75" customHeight="1" x14ac:dyDescent="0.2">
      <c r="A79" s="17"/>
      <c r="B79" s="729" t="s">
        <v>11</v>
      </c>
      <c r="C79" s="688" t="s">
        <v>12</v>
      </c>
      <c r="D79" s="689"/>
      <c r="E79" s="689"/>
      <c r="F79" s="644" t="s">
        <v>13</v>
      </c>
      <c r="G79" s="644" t="s">
        <v>13</v>
      </c>
      <c r="H79" s="632" t="s">
        <v>726</v>
      </c>
      <c r="I79" s="632"/>
      <c r="J79" s="633"/>
      <c r="K79" s="633"/>
      <c r="L79" s="633"/>
      <c r="M79" s="633"/>
      <c r="N79" s="633"/>
      <c r="O79" s="633"/>
      <c r="P79" s="633"/>
      <c r="Q79" s="633"/>
      <c r="R79" s="633"/>
      <c r="S79" s="633"/>
      <c r="T79" s="633"/>
      <c r="U79" s="633"/>
      <c r="V79" s="633"/>
      <c r="W79" s="633"/>
      <c r="X79" s="658" t="s">
        <v>14</v>
      </c>
      <c r="Y79" s="659"/>
      <c r="Z79" s="659"/>
      <c r="AA79" s="660"/>
      <c r="AB79" s="760" t="s">
        <v>15</v>
      </c>
      <c r="AF79" s="748" t="s">
        <v>3</v>
      </c>
      <c r="AG79" s="749"/>
      <c r="AH79" s="749"/>
    </row>
    <row r="80" spans="1:38" ht="12" customHeight="1" x14ac:dyDescent="0.2">
      <c r="A80" s="17"/>
      <c r="B80" s="729"/>
      <c r="C80" s="689"/>
      <c r="D80" s="689"/>
      <c r="E80" s="689"/>
      <c r="F80" s="645"/>
      <c r="G80" s="645"/>
      <c r="H80" s="407"/>
      <c r="I80" s="405" t="s">
        <v>261</v>
      </c>
      <c r="J80" s="407"/>
      <c r="K80" s="405" t="s">
        <v>17</v>
      </c>
      <c r="L80" s="408"/>
      <c r="M80" s="408" t="s">
        <v>18</v>
      </c>
      <c r="N80" s="408"/>
      <c r="O80" s="405" t="s">
        <v>19</v>
      </c>
      <c r="P80" s="408"/>
      <c r="Q80" s="408" t="s">
        <v>262</v>
      </c>
      <c r="R80" s="408"/>
      <c r="S80" s="408" t="s">
        <v>20</v>
      </c>
      <c r="T80" s="408"/>
      <c r="U80" s="408" t="s">
        <v>21</v>
      </c>
      <c r="V80" s="408"/>
      <c r="W80" s="408" t="s">
        <v>22</v>
      </c>
      <c r="X80" s="661"/>
      <c r="Y80" s="662"/>
      <c r="Z80" s="662"/>
      <c r="AA80" s="663"/>
      <c r="AB80" s="761"/>
    </row>
    <row r="81" spans="1:34" ht="12.6" customHeight="1" x14ac:dyDescent="0.2">
      <c r="A81" s="17"/>
      <c r="B81" s="699" t="s">
        <v>77</v>
      </c>
      <c r="C81" s="700"/>
      <c r="D81" s="700"/>
      <c r="E81" s="1110"/>
      <c r="F81" s="1112" t="s">
        <v>600</v>
      </c>
      <c r="G81" s="1113"/>
      <c r="H81" s="1113"/>
      <c r="I81" s="1113"/>
      <c r="J81" s="564"/>
      <c r="K81" s="414"/>
      <c r="L81" s="565"/>
      <c r="M81" s="270"/>
      <c r="N81" s="93"/>
      <c r="O81" s="299"/>
      <c r="P81" s="566"/>
      <c r="Q81" s="299"/>
      <c r="R81" s="93"/>
      <c r="S81" s="270"/>
      <c r="T81" s="93"/>
      <c r="U81" s="270"/>
      <c r="V81" s="93"/>
      <c r="W81" s="270"/>
      <c r="X81" s="119"/>
      <c r="Y81" s="119"/>
      <c r="Z81" s="119"/>
      <c r="AA81" s="119"/>
      <c r="AB81" s="353" t="s">
        <v>78</v>
      </c>
      <c r="AC81" s="349" t="s">
        <v>79</v>
      </c>
      <c r="AD81" s="349" t="s">
        <v>80</v>
      </c>
      <c r="AE81" s="349" t="s">
        <v>81</v>
      </c>
      <c r="AF81" s="349" t="s">
        <v>82</v>
      </c>
      <c r="AG81" s="349" t="s">
        <v>83</v>
      </c>
    </row>
    <row r="82" spans="1:34" ht="12.6" customHeight="1" x14ac:dyDescent="0.2">
      <c r="A82" s="17"/>
      <c r="B82" s="642" t="s">
        <v>84</v>
      </c>
      <c r="C82" s="643"/>
      <c r="D82" s="643"/>
      <c r="E82" s="1111"/>
      <c r="F82" s="1114"/>
      <c r="G82" s="1113"/>
      <c r="H82" s="1113"/>
      <c r="I82" s="1113"/>
      <c r="J82" s="237"/>
      <c r="K82" s="250"/>
      <c r="L82" s="266"/>
      <c r="M82" s="256"/>
      <c r="N82" s="92"/>
      <c r="O82" s="275"/>
      <c r="P82" s="252"/>
      <c r="Q82" s="300"/>
      <c r="R82" s="92"/>
      <c r="S82" s="269"/>
      <c r="T82" s="92"/>
      <c r="U82" s="256"/>
      <c r="V82" s="546"/>
      <c r="W82" s="256"/>
      <c r="X82" s="122"/>
      <c r="Y82" s="122"/>
      <c r="Z82" s="122"/>
      <c r="AA82" s="122"/>
      <c r="AB82" s="353" t="s">
        <v>85</v>
      </c>
      <c r="AC82" s="349" t="s">
        <v>86</v>
      </c>
      <c r="AD82" s="349" t="s">
        <v>87</v>
      </c>
      <c r="AE82" s="349" t="s">
        <v>88</v>
      </c>
      <c r="AF82" s="349" t="s">
        <v>89</v>
      </c>
      <c r="AG82" s="349" t="s">
        <v>90</v>
      </c>
      <c r="AH82" s="349" t="s">
        <v>91</v>
      </c>
    </row>
    <row r="83" spans="1:34" ht="12.6" customHeight="1" x14ac:dyDescent="0.25">
      <c r="A83" s="17"/>
      <c r="B83" s="630" t="s">
        <v>92</v>
      </c>
      <c r="C83" s="631"/>
      <c r="D83" s="631"/>
      <c r="E83" s="1104"/>
      <c r="F83" s="1114"/>
      <c r="G83" s="1113"/>
      <c r="H83" s="1113"/>
      <c r="I83" s="1113"/>
      <c r="J83" s="239"/>
      <c r="K83" s="251"/>
      <c r="L83" s="426"/>
      <c r="M83" s="255"/>
      <c r="N83" s="537"/>
      <c r="O83" s="276"/>
      <c r="P83" s="281"/>
      <c r="Q83" s="271"/>
      <c r="R83" s="537"/>
      <c r="S83" s="234"/>
      <c r="T83" s="537"/>
      <c r="U83" s="255"/>
      <c r="V83" s="537"/>
      <c r="W83" s="255"/>
      <c r="X83" s="1105"/>
      <c r="Y83" s="1106"/>
      <c r="Z83" s="1106"/>
      <c r="AA83" s="171"/>
      <c r="AB83" s="353" t="s">
        <v>93</v>
      </c>
      <c r="AC83" s="349" t="s">
        <v>94</v>
      </c>
      <c r="AD83" s="349" t="s">
        <v>95</v>
      </c>
      <c r="AE83" s="349" t="s">
        <v>96</v>
      </c>
      <c r="AF83" s="349" t="s">
        <v>97</v>
      </c>
      <c r="AG83" s="354" t="s">
        <v>98</v>
      </c>
      <c r="AH83" s="349" t="s">
        <v>99</v>
      </c>
    </row>
    <row r="84" spans="1:34" ht="12.6" customHeight="1" x14ac:dyDescent="0.25">
      <c r="A84" s="17"/>
      <c r="B84" s="642" t="s">
        <v>100</v>
      </c>
      <c r="C84" s="643"/>
      <c r="D84" s="643"/>
      <c r="E84" s="1111"/>
      <c r="F84" s="1114"/>
      <c r="G84" s="1113"/>
      <c r="H84" s="1113"/>
      <c r="I84" s="1113"/>
      <c r="J84" s="237"/>
      <c r="K84" s="250"/>
      <c r="L84" s="266"/>
      <c r="M84" s="256"/>
      <c r="N84" s="546"/>
      <c r="O84" s="275"/>
      <c r="P84" s="252"/>
      <c r="Q84" s="300"/>
      <c r="R84" s="546"/>
      <c r="S84" s="269"/>
      <c r="T84" s="546"/>
      <c r="U84" s="256"/>
      <c r="V84" s="546"/>
      <c r="W84" s="256"/>
      <c r="X84" s="1105"/>
      <c r="Y84" s="1106"/>
      <c r="Z84" s="1106"/>
      <c r="AA84" s="171"/>
      <c r="AB84" s="353" t="s">
        <v>101</v>
      </c>
      <c r="AC84" s="355" t="s">
        <v>102</v>
      </c>
      <c r="AD84" s="355" t="s">
        <v>103</v>
      </c>
      <c r="AE84" s="355" t="s">
        <v>104</v>
      </c>
      <c r="AF84" s="355" t="s">
        <v>105</v>
      </c>
      <c r="AG84" s="28"/>
    </row>
    <row r="85" spans="1:34" ht="12.6" customHeight="1" x14ac:dyDescent="0.2">
      <c r="A85" s="17"/>
      <c r="B85" s="630" t="s">
        <v>106</v>
      </c>
      <c r="C85" s="631"/>
      <c r="D85" s="631"/>
      <c r="E85" s="1104"/>
      <c r="F85" s="1114"/>
      <c r="G85" s="1113"/>
      <c r="H85" s="1113"/>
      <c r="I85" s="1113"/>
      <c r="J85" s="239"/>
      <c r="K85" s="251"/>
      <c r="L85" s="426"/>
      <c r="M85" s="255"/>
      <c r="N85" s="537"/>
      <c r="O85" s="276"/>
      <c r="P85" s="281"/>
      <c r="Q85" s="271"/>
      <c r="R85" s="537"/>
      <c r="S85" s="234"/>
      <c r="T85" s="537"/>
      <c r="U85" s="255"/>
      <c r="V85" s="537"/>
      <c r="W85" s="255"/>
      <c r="X85" s="136"/>
      <c r="Y85" s="136"/>
      <c r="Z85" s="136"/>
      <c r="AA85" s="136"/>
      <c r="AB85" s="29" t="s">
        <v>107</v>
      </c>
      <c r="AC85" s="349" t="s">
        <v>108</v>
      </c>
      <c r="AD85" s="349" t="s">
        <v>109</v>
      </c>
      <c r="AE85" s="349" t="s">
        <v>110</v>
      </c>
      <c r="AF85" s="349" t="s">
        <v>111</v>
      </c>
      <c r="AG85" s="349" t="s">
        <v>112</v>
      </c>
    </row>
    <row r="86" spans="1:34" ht="12.6" customHeight="1" x14ac:dyDescent="0.2">
      <c r="A86" s="17"/>
      <c r="B86" s="642" t="s">
        <v>113</v>
      </c>
      <c r="C86" s="643"/>
      <c r="D86" s="643"/>
      <c r="E86" s="1111"/>
      <c r="F86" s="1114"/>
      <c r="G86" s="1113"/>
      <c r="H86" s="1113"/>
      <c r="I86" s="1113"/>
      <c r="J86" s="237"/>
      <c r="K86" s="250"/>
      <c r="L86" s="266"/>
      <c r="M86" s="256"/>
      <c r="N86" s="546"/>
      <c r="O86" s="275"/>
      <c r="P86" s="252"/>
      <c r="Q86" s="300"/>
      <c r="R86" s="546"/>
      <c r="S86" s="269"/>
      <c r="T86" s="546"/>
      <c r="U86" s="256"/>
      <c r="V86" s="546"/>
      <c r="W86" s="256"/>
      <c r="X86" s="136"/>
      <c r="Y86" s="136"/>
      <c r="Z86" s="136"/>
      <c r="AA86" s="136"/>
      <c r="AB86" s="29" t="s">
        <v>114</v>
      </c>
      <c r="AC86" s="355" t="s">
        <v>115</v>
      </c>
      <c r="AD86" s="355" t="s">
        <v>116</v>
      </c>
      <c r="AE86" s="355" t="s">
        <v>117</v>
      </c>
    </row>
    <row r="87" spans="1:34" ht="12.6" customHeight="1" x14ac:dyDescent="0.25">
      <c r="A87" s="17"/>
      <c r="B87" s="630" t="s">
        <v>976</v>
      </c>
      <c r="C87" s="631"/>
      <c r="D87" s="631"/>
      <c r="E87" s="1104"/>
      <c r="F87" s="1114"/>
      <c r="G87" s="1113"/>
      <c r="H87" s="1113"/>
      <c r="I87" s="1113"/>
      <c r="J87" s="239"/>
      <c r="K87" s="251"/>
      <c r="L87" s="426"/>
      <c r="M87" s="255"/>
      <c r="N87" s="537"/>
      <c r="O87" s="276"/>
      <c r="P87" s="281"/>
      <c r="Q87" s="271"/>
      <c r="R87" s="537"/>
      <c r="S87" s="234"/>
      <c r="T87" s="537"/>
      <c r="U87" s="255"/>
      <c r="V87" s="537"/>
      <c r="W87" s="255"/>
      <c r="X87" s="1105"/>
      <c r="Y87" s="1106"/>
      <c r="Z87" s="1106"/>
      <c r="AA87" s="171"/>
      <c r="AB87" s="29" t="s">
        <v>118</v>
      </c>
      <c r="AC87" s="349" t="s">
        <v>119</v>
      </c>
      <c r="AD87" s="349" t="s">
        <v>120</v>
      </c>
      <c r="AE87" s="349" t="s">
        <v>121</v>
      </c>
      <c r="AF87" s="349" t="s">
        <v>122</v>
      </c>
      <c r="AG87" s="349" t="s">
        <v>123</v>
      </c>
      <c r="AH87" s="349" t="s">
        <v>124</v>
      </c>
    </row>
    <row r="88" spans="1:34" ht="12.6" customHeight="1" x14ac:dyDescent="0.25">
      <c r="A88" s="17"/>
      <c r="B88" s="642" t="s">
        <v>125</v>
      </c>
      <c r="C88" s="643"/>
      <c r="D88" s="643"/>
      <c r="E88" s="1111"/>
      <c r="F88" s="1114"/>
      <c r="G88" s="1113"/>
      <c r="H88" s="1113"/>
      <c r="I88" s="1113"/>
      <c r="J88" s="237"/>
      <c r="K88" s="250"/>
      <c r="L88" s="266"/>
      <c r="M88" s="256"/>
      <c r="N88" s="546"/>
      <c r="O88" s="275"/>
      <c r="P88" s="252"/>
      <c r="Q88" s="300"/>
      <c r="R88" s="546"/>
      <c r="S88" s="269"/>
      <c r="T88" s="546"/>
      <c r="U88" s="256"/>
      <c r="V88" s="546"/>
      <c r="W88" s="256"/>
      <c r="X88" s="1105"/>
      <c r="Y88" s="1106"/>
      <c r="Z88" s="1106"/>
      <c r="AA88" s="171"/>
      <c r="AB88" s="351" t="s">
        <v>126</v>
      </c>
      <c r="AC88" s="61"/>
      <c r="AD88" s="61"/>
      <c r="AE88" s="61"/>
      <c r="AF88" s="61"/>
      <c r="AG88" s="61"/>
    </row>
    <row r="89" spans="1:34" ht="12.6" customHeight="1" x14ac:dyDescent="0.2">
      <c r="A89" s="17"/>
      <c r="B89" s="630" t="s">
        <v>127</v>
      </c>
      <c r="C89" s="631"/>
      <c r="D89" s="631"/>
      <c r="E89" s="1104"/>
      <c r="F89" s="1114"/>
      <c r="G89" s="1113"/>
      <c r="H89" s="1113"/>
      <c r="I89" s="1113"/>
      <c r="J89" s="239"/>
      <c r="K89" s="251"/>
      <c r="L89" s="426"/>
      <c r="M89" s="255"/>
      <c r="N89" s="537"/>
      <c r="O89" s="276"/>
      <c r="P89" s="281"/>
      <c r="Q89" s="271"/>
      <c r="R89" s="537"/>
      <c r="S89" s="234"/>
      <c r="T89" s="537"/>
      <c r="U89" s="255"/>
      <c r="V89" s="537"/>
      <c r="W89" s="255"/>
      <c r="X89" s="135"/>
      <c r="Y89" s="135"/>
      <c r="Z89" s="135"/>
      <c r="AA89" s="135"/>
      <c r="AB89" s="349" t="s">
        <v>128</v>
      </c>
      <c r="AC89" s="61"/>
      <c r="AD89" s="61"/>
      <c r="AE89" s="61"/>
      <c r="AF89" s="61"/>
      <c r="AG89" s="61"/>
    </row>
    <row r="90" spans="1:34" ht="12.6" customHeight="1" x14ac:dyDescent="0.2">
      <c r="A90" s="17"/>
      <c r="B90" s="642" t="s">
        <v>129</v>
      </c>
      <c r="C90" s="643"/>
      <c r="D90" s="643"/>
      <c r="E90" s="1111"/>
      <c r="F90" s="1114"/>
      <c r="G90" s="1113"/>
      <c r="H90" s="1113"/>
      <c r="I90" s="1113"/>
      <c r="J90" s="237"/>
      <c r="K90" s="250"/>
      <c r="L90" s="266"/>
      <c r="M90" s="256"/>
      <c r="N90" s="546"/>
      <c r="O90" s="275"/>
      <c r="P90" s="252"/>
      <c r="Q90" s="275"/>
      <c r="R90" s="546"/>
      <c r="S90" s="275"/>
      <c r="T90" s="546"/>
      <c r="U90" s="256"/>
      <c r="V90" s="546"/>
      <c r="W90" s="256"/>
      <c r="X90" s="135"/>
      <c r="Y90" s="135"/>
      <c r="Z90" s="135"/>
      <c r="AA90" s="135"/>
      <c r="AB90" s="349" t="s">
        <v>130</v>
      </c>
      <c r="AC90" s="61"/>
      <c r="AD90" s="61"/>
      <c r="AE90" s="61"/>
      <c r="AF90" s="61"/>
      <c r="AG90" s="61"/>
    </row>
    <row r="91" spans="1:34" ht="12.6" customHeight="1" x14ac:dyDescent="0.2">
      <c r="A91" s="17"/>
      <c r="B91" s="630" t="s">
        <v>131</v>
      </c>
      <c r="C91" s="631"/>
      <c r="D91" s="631"/>
      <c r="E91" s="1104"/>
      <c r="F91" s="1115"/>
      <c r="G91" s="1116"/>
      <c r="H91" s="1116"/>
      <c r="I91" s="1116"/>
      <c r="J91" s="239"/>
      <c r="K91" s="251"/>
      <c r="L91" s="426"/>
      <c r="M91" s="255"/>
      <c r="N91" s="537"/>
      <c r="O91" s="307"/>
      <c r="P91" s="281"/>
      <c r="Q91" s="271"/>
      <c r="R91" s="102"/>
      <c r="S91" s="541"/>
      <c r="T91" s="537"/>
      <c r="U91" s="255"/>
      <c r="V91" s="537"/>
      <c r="W91" s="255"/>
      <c r="X91" s="119"/>
      <c r="Y91" s="119"/>
      <c r="Z91" s="119"/>
      <c r="AA91" s="119"/>
      <c r="AB91" s="352" t="s">
        <v>132</v>
      </c>
      <c r="AC91" s="349" t="s">
        <v>133</v>
      </c>
      <c r="AD91" s="349" t="s">
        <v>134</v>
      </c>
      <c r="AE91" s="349" t="s">
        <v>135</v>
      </c>
      <c r="AF91" s="349" t="s">
        <v>136</v>
      </c>
      <c r="AG91" s="349" t="s">
        <v>137</v>
      </c>
    </row>
    <row r="92" spans="1:34" ht="12.6" customHeight="1" x14ac:dyDescent="0.2">
      <c r="A92" s="17"/>
      <c r="B92" s="642" t="s">
        <v>417</v>
      </c>
      <c r="C92" s="643"/>
      <c r="D92" s="643"/>
      <c r="E92" s="643"/>
      <c r="F92" s="256"/>
      <c r="G92" s="300"/>
      <c r="H92" s="237"/>
      <c r="I92" s="563"/>
      <c r="J92" s="546"/>
      <c r="K92" s="256"/>
      <c r="L92" s="546"/>
      <c r="M92" s="256"/>
      <c r="N92" s="546"/>
      <c r="O92" s="256"/>
      <c r="P92" s="546"/>
      <c r="Q92" s="256"/>
      <c r="R92" s="546"/>
      <c r="S92" s="256"/>
      <c r="T92" s="546"/>
      <c r="U92" s="256"/>
      <c r="V92" s="82"/>
      <c r="W92" s="304"/>
      <c r="X92" s="146"/>
      <c r="Y92" s="122"/>
      <c r="Z92" s="122"/>
      <c r="AA92" s="125"/>
      <c r="AB92" s="350">
        <v>117</v>
      </c>
    </row>
    <row r="93" spans="1:34" ht="12.6" customHeight="1" x14ac:dyDescent="0.2">
      <c r="A93" s="17"/>
      <c r="B93" s="666" t="s">
        <v>435</v>
      </c>
      <c r="C93" s="684"/>
      <c r="D93" s="684"/>
      <c r="E93" s="685"/>
      <c r="F93" s="255"/>
      <c r="G93" s="271"/>
      <c r="H93" s="239"/>
      <c r="I93" s="251"/>
      <c r="J93" s="537"/>
      <c r="K93" s="255"/>
      <c r="L93" s="537"/>
      <c r="M93" s="255"/>
      <c r="N93" s="537"/>
      <c r="O93" s="255"/>
      <c r="P93" s="537"/>
      <c r="Q93" s="255"/>
      <c r="R93" s="537"/>
      <c r="S93" s="255"/>
      <c r="T93" s="537"/>
      <c r="U93" s="255"/>
      <c r="V93" s="68"/>
      <c r="W93" s="305"/>
      <c r="X93" s="146"/>
      <c r="Y93" s="122"/>
      <c r="Z93" s="122"/>
      <c r="AA93" s="125"/>
      <c r="AB93" s="350"/>
    </row>
    <row r="94" spans="1:34" ht="12.6" customHeight="1" x14ac:dyDescent="0.2">
      <c r="A94" s="17"/>
      <c r="B94" s="642" t="s">
        <v>418</v>
      </c>
      <c r="C94" s="643"/>
      <c r="D94" s="643"/>
      <c r="E94" s="643"/>
      <c r="F94" s="256"/>
      <c r="G94" s="300"/>
      <c r="H94" s="237"/>
      <c r="I94" s="250"/>
      <c r="J94" s="546"/>
      <c r="K94" s="256"/>
      <c r="L94" s="546"/>
      <c r="M94" s="256"/>
      <c r="N94" s="546"/>
      <c r="O94" s="256"/>
      <c r="P94" s="546"/>
      <c r="Q94" s="256"/>
      <c r="R94" s="546"/>
      <c r="S94" s="256"/>
      <c r="T94" s="546"/>
      <c r="U94" s="256"/>
      <c r="V94" s="82"/>
      <c r="W94" s="304"/>
      <c r="X94" s="146"/>
      <c r="Y94" s="122"/>
      <c r="Z94" s="122"/>
      <c r="AA94" s="125"/>
      <c r="AB94" s="350">
        <v>129</v>
      </c>
    </row>
    <row r="95" spans="1:34" ht="12.6" customHeight="1" x14ac:dyDescent="0.2">
      <c r="A95" s="94"/>
      <c r="B95" s="920" t="s">
        <v>350</v>
      </c>
      <c r="C95" s="973"/>
      <c r="D95" s="973"/>
      <c r="E95" s="973"/>
      <c r="F95" s="459">
        <v>790</v>
      </c>
      <c r="G95" s="465">
        <f t="shared" ref="G95:G99" si="207">+F95*$X$1</f>
        <v>790</v>
      </c>
      <c r="H95" s="461"/>
      <c r="I95" s="461"/>
      <c r="J95" s="530">
        <f t="shared" ref="J95:J104" si="208">F95+280</f>
        <v>1070</v>
      </c>
      <c r="K95" s="531">
        <f>+J95*$X$1</f>
        <v>1070</v>
      </c>
      <c r="L95" s="532">
        <f>F95+210</f>
        <v>1000</v>
      </c>
      <c r="M95" s="531">
        <f t="shared" ref="M95:M96" si="209">+L95*$X$1</f>
        <v>1000</v>
      </c>
      <c r="N95" s="466">
        <f>F95+7.2</f>
        <v>797.2</v>
      </c>
      <c r="O95" s="1120" t="s">
        <v>138</v>
      </c>
      <c r="P95" s="1121"/>
      <c r="Q95" s="1121"/>
      <c r="R95" s="1121"/>
      <c r="S95" s="1121"/>
      <c r="T95" s="1121"/>
      <c r="U95" s="1121"/>
      <c r="V95" s="1121"/>
      <c r="W95" s="1121"/>
      <c r="X95" s="147"/>
      <c r="Y95" s="122"/>
      <c r="Z95" s="122"/>
      <c r="AA95" s="125"/>
      <c r="AB95" s="356">
        <v>247</v>
      </c>
    </row>
    <row r="96" spans="1:34" ht="12.6" customHeight="1" x14ac:dyDescent="0.2">
      <c r="A96" s="88"/>
      <c r="B96" s="639" t="s">
        <v>449</v>
      </c>
      <c r="C96" s="649"/>
      <c r="D96" s="649"/>
      <c r="E96" s="650"/>
      <c r="F96" s="327">
        <f>2.631*X2</f>
        <v>4051.74</v>
      </c>
      <c r="G96" s="275">
        <f>+F96*$X$1</f>
        <v>4051.74</v>
      </c>
      <c r="H96" s="546"/>
      <c r="I96" s="256"/>
      <c r="J96" s="82">
        <f t="shared" si="208"/>
        <v>4331.74</v>
      </c>
      <c r="K96" s="256">
        <f t="shared" ref="K96" si="210">+J96*$X$1</f>
        <v>4331.74</v>
      </c>
      <c r="L96" s="546">
        <f>F96+210</f>
        <v>4261.74</v>
      </c>
      <c r="M96" s="256">
        <f t="shared" si="209"/>
        <v>4261.74</v>
      </c>
      <c r="N96" s="546">
        <f>F96+160</f>
        <v>4211.74</v>
      </c>
      <c r="O96" s="256">
        <f t="shared" ref="O96" si="211">+N96*$X$1</f>
        <v>4211.74</v>
      </c>
      <c r="P96" s="546">
        <f>F96+130</f>
        <v>4181.74</v>
      </c>
      <c r="Q96" s="256">
        <f t="shared" ref="Q96" si="212">+P96*$X$1</f>
        <v>4181.74</v>
      </c>
      <c r="R96" s="546">
        <f>F96+110</f>
        <v>4161.74</v>
      </c>
      <c r="S96" s="256">
        <f t="shared" ref="S96" si="213">+R96*$X$1</f>
        <v>4161.74</v>
      </c>
      <c r="T96" s="546">
        <f>F96+90</f>
        <v>4141.74</v>
      </c>
      <c r="U96" s="256">
        <f t="shared" ref="U96" si="214">+T96*$X$1</f>
        <v>4141.74</v>
      </c>
      <c r="V96" s="546">
        <f>F96+70</f>
        <v>4121.74</v>
      </c>
      <c r="W96" s="256">
        <f t="shared" ref="W96" si="215">+V96*$X$1</f>
        <v>4121.74</v>
      </c>
      <c r="X96" s="147"/>
      <c r="Y96" s="122"/>
      <c r="Z96" s="122"/>
      <c r="AA96" s="125"/>
      <c r="AB96" s="356">
        <v>249</v>
      </c>
    </row>
    <row r="97" spans="1:29" ht="12.6" customHeight="1" x14ac:dyDescent="0.2">
      <c r="A97" s="17"/>
      <c r="B97" s="630" t="s">
        <v>322</v>
      </c>
      <c r="C97" s="631"/>
      <c r="D97" s="631"/>
      <c r="E97" s="631"/>
      <c r="F97" s="255">
        <v>690</v>
      </c>
      <c r="G97" s="255">
        <f t="shared" si="207"/>
        <v>690</v>
      </c>
      <c r="H97" s="251"/>
      <c r="I97" s="251"/>
      <c r="J97" s="103">
        <f t="shared" si="208"/>
        <v>970</v>
      </c>
      <c r="K97" s="255">
        <f t="shared" ref="K97:K103" si="216">+J97*$X$1</f>
        <v>970</v>
      </c>
      <c r="L97" s="537"/>
      <c r="M97" s="537"/>
      <c r="N97" s="537">
        <f>F97+23</f>
        <v>713</v>
      </c>
      <c r="O97" s="537"/>
      <c r="P97" s="251"/>
      <c r="Q97" s="251"/>
      <c r="R97" s="537">
        <f>F97+15</f>
        <v>705</v>
      </c>
      <c r="S97" s="537"/>
      <c r="T97" s="537">
        <f>F97+12</f>
        <v>702</v>
      </c>
      <c r="U97" s="537"/>
      <c r="V97" s="537">
        <f>F97+10</f>
        <v>700</v>
      </c>
      <c r="W97" s="537"/>
      <c r="X97" s="148"/>
      <c r="Y97" s="122"/>
      <c r="Z97" s="122"/>
      <c r="AA97" s="125"/>
      <c r="AB97" s="357" t="s">
        <v>139</v>
      </c>
    </row>
    <row r="98" spans="1:29" ht="12.6" customHeight="1" x14ac:dyDescent="0.2">
      <c r="A98" s="17"/>
      <c r="B98" s="639" t="s">
        <v>439</v>
      </c>
      <c r="C98" s="640"/>
      <c r="D98" s="640"/>
      <c r="E98" s="641"/>
      <c r="F98" s="327">
        <f>12.04*X2</f>
        <v>18541.599999999999</v>
      </c>
      <c r="G98" s="256">
        <f t="shared" si="207"/>
        <v>18541.599999999999</v>
      </c>
      <c r="H98" s="546">
        <f>F98+700</f>
        <v>19241.599999999999</v>
      </c>
      <c r="I98" s="256">
        <f t="shared" ref="I98:I101" si="217">+H98*$X$1</f>
        <v>19241.599999999999</v>
      </c>
      <c r="J98" s="82">
        <f t="shared" si="208"/>
        <v>18821.599999999999</v>
      </c>
      <c r="K98" s="256">
        <f t="shared" ref="K98:K101" si="218">+J98*$X$1</f>
        <v>18821.599999999999</v>
      </c>
      <c r="L98" s="546">
        <f t="shared" ref="L98:L104" si="219">F98+210</f>
        <v>18751.599999999999</v>
      </c>
      <c r="M98" s="256">
        <f t="shared" ref="M98:M101" si="220">+L98*$X$1</f>
        <v>18751.599999999999</v>
      </c>
      <c r="N98" s="546">
        <f t="shared" ref="N98:N104" si="221">F98+160</f>
        <v>18701.599999999999</v>
      </c>
      <c r="O98" s="256">
        <f t="shared" ref="O98:O101" si="222">+N98*$X$1</f>
        <v>18701.599999999999</v>
      </c>
      <c r="P98" s="546">
        <f t="shared" ref="P98:P104" si="223">F98+130</f>
        <v>18671.599999999999</v>
      </c>
      <c r="Q98" s="256">
        <f t="shared" ref="Q98:Q101" si="224">+P98*$X$1</f>
        <v>18671.599999999999</v>
      </c>
      <c r="R98" s="546">
        <f t="shared" ref="R98:R104" si="225">F98+110</f>
        <v>18651.599999999999</v>
      </c>
      <c r="S98" s="256">
        <f t="shared" ref="S98:S101" si="226">+R98*$X$1</f>
        <v>18651.599999999999</v>
      </c>
      <c r="T98" s="546">
        <f t="shared" ref="T98:T104" si="227">F98+90</f>
        <v>18631.599999999999</v>
      </c>
      <c r="U98" s="256">
        <f t="shared" ref="U98:U101" si="228">+T98*$X$1</f>
        <v>18631.599999999999</v>
      </c>
      <c r="V98" s="546">
        <f t="shared" ref="V98:V104" si="229">F98+70</f>
        <v>18611.599999999999</v>
      </c>
      <c r="W98" s="256">
        <f t="shared" ref="W98:W101" si="230">+V98*$X$1</f>
        <v>18611.599999999999</v>
      </c>
      <c r="X98" s="149"/>
      <c r="Y98" s="122"/>
      <c r="Z98" s="122"/>
      <c r="AA98" s="125"/>
      <c r="AB98" s="357">
        <v>268</v>
      </c>
    </row>
    <row r="99" spans="1:29" ht="12.6" customHeight="1" x14ac:dyDescent="0.2">
      <c r="A99" s="17"/>
      <c r="B99" s="630" t="s">
        <v>591</v>
      </c>
      <c r="C99" s="631"/>
      <c r="D99" s="631"/>
      <c r="E99" s="631"/>
      <c r="F99" s="326">
        <f>4.49*X2</f>
        <v>6914.6</v>
      </c>
      <c r="G99" s="255">
        <f t="shared" si="207"/>
        <v>6914.6</v>
      </c>
      <c r="H99" s="537">
        <f>F99+700</f>
        <v>7614.6</v>
      </c>
      <c r="I99" s="255">
        <f t="shared" si="217"/>
        <v>7614.6</v>
      </c>
      <c r="J99" s="68">
        <f t="shared" si="208"/>
        <v>7194.6</v>
      </c>
      <c r="K99" s="255">
        <f t="shared" si="218"/>
        <v>7194.6</v>
      </c>
      <c r="L99" s="537">
        <f t="shared" si="219"/>
        <v>7124.6</v>
      </c>
      <c r="M99" s="255">
        <f t="shared" si="220"/>
        <v>7124.6</v>
      </c>
      <c r="N99" s="537">
        <f t="shared" si="221"/>
        <v>7074.6</v>
      </c>
      <c r="O99" s="255">
        <f t="shared" si="222"/>
        <v>7074.6</v>
      </c>
      <c r="P99" s="537">
        <f t="shared" si="223"/>
        <v>7044.6</v>
      </c>
      <c r="Q99" s="255">
        <f t="shared" si="224"/>
        <v>7044.6</v>
      </c>
      <c r="R99" s="537">
        <f t="shared" si="225"/>
        <v>7024.6</v>
      </c>
      <c r="S99" s="255">
        <f t="shared" si="226"/>
        <v>7024.6</v>
      </c>
      <c r="T99" s="537">
        <f t="shared" si="227"/>
        <v>7004.6</v>
      </c>
      <c r="U99" s="255">
        <f t="shared" si="228"/>
        <v>7004.6</v>
      </c>
      <c r="V99" s="537">
        <f t="shared" si="229"/>
        <v>6984.6</v>
      </c>
      <c r="W99" s="255">
        <f t="shared" si="230"/>
        <v>6984.6</v>
      </c>
      <c r="X99" s="149"/>
      <c r="Y99" s="126"/>
      <c r="Z99" s="122"/>
      <c r="AA99" s="125"/>
      <c r="AB99" s="357">
        <v>270</v>
      </c>
      <c r="AC99" s="28"/>
    </row>
    <row r="100" spans="1:29" ht="12.6" customHeight="1" x14ac:dyDescent="0.2">
      <c r="A100" s="17"/>
      <c r="B100" s="642" t="s">
        <v>140</v>
      </c>
      <c r="C100" s="643"/>
      <c r="D100" s="643"/>
      <c r="E100" s="643"/>
      <c r="F100" s="327">
        <f>13.1*X2</f>
        <v>20174</v>
      </c>
      <c r="G100" s="256">
        <f t="shared" ref="G100:G101" si="231">+F100*$X$1</f>
        <v>20174</v>
      </c>
      <c r="H100" s="546">
        <f>F100+700</f>
        <v>20874</v>
      </c>
      <c r="I100" s="256">
        <f t="shared" si="217"/>
        <v>20874</v>
      </c>
      <c r="J100" s="82">
        <f t="shared" si="208"/>
        <v>20454</v>
      </c>
      <c r="K100" s="256">
        <f t="shared" si="218"/>
        <v>20454</v>
      </c>
      <c r="L100" s="546">
        <f t="shared" si="219"/>
        <v>20384</v>
      </c>
      <c r="M100" s="256">
        <f t="shared" si="220"/>
        <v>20384</v>
      </c>
      <c r="N100" s="546">
        <f t="shared" si="221"/>
        <v>20334</v>
      </c>
      <c r="O100" s="256">
        <f t="shared" si="222"/>
        <v>20334</v>
      </c>
      <c r="P100" s="546">
        <f t="shared" si="223"/>
        <v>20304</v>
      </c>
      <c r="Q100" s="256">
        <f t="shared" si="224"/>
        <v>20304</v>
      </c>
      <c r="R100" s="546">
        <f t="shared" si="225"/>
        <v>20284</v>
      </c>
      <c r="S100" s="256">
        <f t="shared" si="226"/>
        <v>20284</v>
      </c>
      <c r="T100" s="546">
        <f t="shared" si="227"/>
        <v>20264</v>
      </c>
      <c r="U100" s="256">
        <f t="shared" si="228"/>
        <v>20264</v>
      </c>
      <c r="V100" s="546">
        <f t="shared" si="229"/>
        <v>20244</v>
      </c>
      <c r="W100" s="256">
        <f t="shared" si="230"/>
        <v>20244</v>
      </c>
      <c r="X100" s="148"/>
      <c r="Y100" s="122"/>
      <c r="Z100" s="122"/>
      <c r="AA100" s="125"/>
      <c r="AB100" s="357">
        <v>273</v>
      </c>
      <c r="AC100" s="28"/>
    </row>
    <row r="101" spans="1:29" ht="12.6" customHeight="1" x14ac:dyDescent="0.2">
      <c r="A101" s="17"/>
      <c r="B101" s="630" t="s">
        <v>141</v>
      </c>
      <c r="C101" s="631"/>
      <c r="D101" s="631"/>
      <c r="E101" s="631"/>
      <c r="F101" s="326">
        <f>8.7*X2</f>
        <v>13397.999999999998</v>
      </c>
      <c r="G101" s="255">
        <f t="shared" si="231"/>
        <v>13397.999999999998</v>
      </c>
      <c r="H101" s="537">
        <f>F101+700</f>
        <v>14097.999999999998</v>
      </c>
      <c r="I101" s="255">
        <f t="shared" si="217"/>
        <v>14097.999999999998</v>
      </c>
      <c r="J101" s="68">
        <f t="shared" si="208"/>
        <v>13677.999999999998</v>
      </c>
      <c r="K101" s="255">
        <f t="shared" si="218"/>
        <v>13677.999999999998</v>
      </c>
      <c r="L101" s="537">
        <f t="shared" si="219"/>
        <v>13607.999999999998</v>
      </c>
      <c r="M101" s="255">
        <f t="shared" si="220"/>
        <v>13607.999999999998</v>
      </c>
      <c r="N101" s="537">
        <f t="shared" si="221"/>
        <v>13557.999999999998</v>
      </c>
      <c r="O101" s="255">
        <f t="shared" si="222"/>
        <v>13557.999999999998</v>
      </c>
      <c r="P101" s="537">
        <f t="shared" si="223"/>
        <v>13527.999999999998</v>
      </c>
      <c r="Q101" s="255">
        <f t="shared" si="224"/>
        <v>13527.999999999998</v>
      </c>
      <c r="R101" s="537">
        <f t="shared" si="225"/>
        <v>13507.999999999998</v>
      </c>
      <c r="S101" s="255">
        <f t="shared" si="226"/>
        <v>13507.999999999998</v>
      </c>
      <c r="T101" s="537">
        <f t="shared" si="227"/>
        <v>13487.999999999998</v>
      </c>
      <c r="U101" s="255">
        <f t="shared" si="228"/>
        <v>13487.999999999998</v>
      </c>
      <c r="V101" s="537">
        <f t="shared" si="229"/>
        <v>13467.999999999998</v>
      </c>
      <c r="W101" s="255">
        <f t="shared" si="230"/>
        <v>13467.999999999998</v>
      </c>
      <c r="X101" s="149"/>
      <c r="Y101" s="126"/>
      <c r="Z101" s="122"/>
      <c r="AA101" s="125"/>
      <c r="AB101" s="357">
        <v>278</v>
      </c>
      <c r="AC101" s="28"/>
    </row>
    <row r="102" spans="1:29" ht="12.6" customHeight="1" x14ac:dyDescent="0.2">
      <c r="A102" s="17"/>
      <c r="B102" s="642" t="s">
        <v>858</v>
      </c>
      <c r="C102" s="643"/>
      <c r="D102" s="643"/>
      <c r="E102" s="643"/>
      <c r="F102" s="327">
        <f>1.55*X2</f>
        <v>2387</v>
      </c>
      <c r="G102" s="256">
        <f>+F102*$X$1</f>
        <v>2387</v>
      </c>
      <c r="H102" s="82"/>
      <c r="I102" s="256"/>
      <c r="J102" s="82">
        <f t="shared" si="208"/>
        <v>2667</v>
      </c>
      <c r="K102" s="256">
        <f t="shared" si="216"/>
        <v>2667</v>
      </c>
      <c r="L102" s="546">
        <f t="shared" si="219"/>
        <v>2597</v>
      </c>
      <c r="M102" s="256">
        <f t="shared" ref="M102:M103" si="232">+L102*$X$1</f>
        <v>2597</v>
      </c>
      <c r="N102" s="546">
        <f t="shared" si="221"/>
        <v>2547</v>
      </c>
      <c r="O102" s="256">
        <f t="shared" ref="O102:O103" si="233">+N102*$X$1</f>
        <v>2547</v>
      </c>
      <c r="P102" s="546">
        <f t="shared" si="223"/>
        <v>2517</v>
      </c>
      <c r="Q102" s="256">
        <f t="shared" ref="Q102:Q103" si="234">+P102*$X$1</f>
        <v>2517</v>
      </c>
      <c r="R102" s="546">
        <f t="shared" si="225"/>
        <v>2497</v>
      </c>
      <c r="S102" s="256">
        <f t="shared" ref="S102:S103" si="235">+R102*$X$1</f>
        <v>2497</v>
      </c>
      <c r="T102" s="546">
        <f t="shared" si="227"/>
        <v>2477</v>
      </c>
      <c r="U102" s="256">
        <f t="shared" ref="U102:U103" si="236">+T102*$X$1</f>
        <v>2477</v>
      </c>
      <c r="V102" s="546">
        <f t="shared" si="229"/>
        <v>2457</v>
      </c>
      <c r="W102" s="256">
        <f t="shared" ref="W102:W103" si="237">+V102*$X$1</f>
        <v>2457</v>
      </c>
      <c r="X102" s="146"/>
      <c r="Y102" s="126"/>
      <c r="Z102" s="122"/>
      <c r="AA102" s="125"/>
      <c r="AB102" s="357">
        <v>285</v>
      </c>
      <c r="AC102" s="28"/>
    </row>
    <row r="103" spans="1:29" ht="12.6" customHeight="1" x14ac:dyDescent="0.2">
      <c r="A103" s="17"/>
      <c r="B103" s="947" t="s">
        <v>142</v>
      </c>
      <c r="C103" s="948"/>
      <c r="D103" s="948"/>
      <c r="E103" s="948"/>
      <c r="F103" s="326">
        <f>2.03*X2</f>
        <v>3126.2</v>
      </c>
      <c r="G103" s="255">
        <f>+F103*$X$1</f>
        <v>3126.2</v>
      </c>
      <c r="H103" s="537">
        <f>F103+700</f>
        <v>3826.2</v>
      </c>
      <c r="I103" s="255">
        <f t="shared" ref="I103" si="238">+H103*$X$1</f>
        <v>3826.2</v>
      </c>
      <c r="J103" s="68">
        <f t="shared" si="208"/>
        <v>3406.2</v>
      </c>
      <c r="K103" s="255">
        <f t="shared" si="216"/>
        <v>3406.2</v>
      </c>
      <c r="L103" s="537">
        <f t="shared" si="219"/>
        <v>3336.2</v>
      </c>
      <c r="M103" s="255">
        <f t="shared" si="232"/>
        <v>3336.2</v>
      </c>
      <c r="N103" s="537">
        <f t="shared" si="221"/>
        <v>3286.2</v>
      </c>
      <c r="O103" s="255">
        <f t="shared" si="233"/>
        <v>3286.2</v>
      </c>
      <c r="P103" s="537">
        <f t="shared" si="223"/>
        <v>3256.2</v>
      </c>
      <c r="Q103" s="255">
        <f t="shared" si="234"/>
        <v>3256.2</v>
      </c>
      <c r="R103" s="537">
        <f t="shared" si="225"/>
        <v>3236.2</v>
      </c>
      <c r="S103" s="255">
        <f t="shared" si="235"/>
        <v>3236.2</v>
      </c>
      <c r="T103" s="537">
        <f t="shared" si="227"/>
        <v>3216.2</v>
      </c>
      <c r="U103" s="255">
        <f t="shared" si="236"/>
        <v>3216.2</v>
      </c>
      <c r="V103" s="537">
        <f t="shared" si="229"/>
        <v>3196.2</v>
      </c>
      <c r="W103" s="255">
        <f t="shared" si="237"/>
        <v>3196.2</v>
      </c>
      <c r="X103" s="146"/>
      <c r="Y103" s="126"/>
      <c r="Z103" s="122"/>
      <c r="AA103" s="125"/>
      <c r="AB103" s="357">
        <v>288</v>
      </c>
      <c r="AC103" s="28"/>
    </row>
    <row r="104" spans="1:29" ht="12.6" customHeight="1" x14ac:dyDescent="0.2">
      <c r="A104" s="17"/>
      <c r="B104" s="642" t="s">
        <v>143</v>
      </c>
      <c r="C104" s="643"/>
      <c r="D104" s="643"/>
      <c r="E104" s="643"/>
      <c r="F104" s="256">
        <v>525</v>
      </c>
      <c r="G104" s="256">
        <f>+F104*$X$1</f>
        <v>525</v>
      </c>
      <c r="H104" s="82"/>
      <c r="I104" s="256"/>
      <c r="J104" s="82">
        <f t="shared" si="208"/>
        <v>805</v>
      </c>
      <c r="K104" s="256">
        <f t="shared" ref="K104" si="239">+J104*$X$1</f>
        <v>805</v>
      </c>
      <c r="L104" s="546">
        <f t="shared" si="219"/>
        <v>735</v>
      </c>
      <c r="M104" s="256">
        <f t="shared" ref="M104" si="240">+L104*$X$1</f>
        <v>735</v>
      </c>
      <c r="N104" s="546">
        <f t="shared" si="221"/>
        <v>685</v>
      </c>
      <c r="O104" s="256">
        <f t="shared" ref="O104" si="241">+N104*$X$1</f>
        <v>685</v>
      </c>
      <c r="P104" s="546">
        <f t="shared" si="223"/>
        <v>655</v>
      </c>
      <c r="Q104" s="256">
        <f t="shared" ref="Q104" si="242">+P104*$X$1</f>
        <v>655</v>
      </c>
      <c r="R104" s="546">
        <f t="shared" si="225"/>
        <v>635</v>
      </c>
      <c r="S104" s="256">
        <f t="shared" ref="S104" si="243">+R104*$X$1</f>
        <v>635</v>
      </c>
      <c r="T104" s="546">
        <f t="shared" si="227"/>
        <v>615</v>
      </c>
      <c r="U104" s="256">
        <f t="shared" ref="U104" si="244">+T104*$X$1</f>
        <v>615</v>
      </c>
      <c r="V104" s="546">
        <f t="shared" si="229"/>
        <v>595</v>
      </c>
      <c r="W104" s="256">
        <f t="shared" ref="W104" si="245">+V104*$X$1</f>
        <v>595</v>
      </c>
      <c r="X104" s="146"/>
      <c r="Y104" s="126"/>
      <c r="Z104" s="122"/>
      <c r="AA104" s="125"/>
      <c r="AB104" s="357">
        <v>289</v>
      </c>
      <c r="AC104" s="28"/>
    </row>
    <row r="105" spans="1:29" ht="12.6" customHeight="1" x14ac:dyDescent="0.2">
      <c r="A105" s="17"/>
      <c r="B105" s="630" t="s">
        <v>144</v>
      </c>
      <c r="C105" s="631"/>
      <c r="D105" s="631"/>
      <c r="E105" s="631"/>
      <c r="F105" s="255"/>
      <c r="G105" s="704" t="s">
        <v>877</v>
      </c>
      <c r="H105" s="705"/>
      <c r="I105" s="705"/>
      <c r="J105" s="705"/>
      <c r="K105" s="705"/>
      <c r="L105" s="705"/>
      <c r="M105" s="705"/>
      <c r="N105" s="542">
        <v>750</v>
      </c>
      <c r="O105" s="255">
        <f t="shared" ref="O105:Q108" si="246">+N105*$X$1</f>
        <v>750</v>
      </c>
      <c r="P105" s="281">
        <v>724</v>
      </c>
      <c r="Q105" s="255">
        <f t="shared" si="246"/>
        <v>724</v>
      </c>
      <c r="R105" s="68">
        <v>664</v>
      </c>
      <c r="S105" s="255">
        <f t="shared" ref="S105:S108" si="247">+R105*$X$1</f>
        <v>664</v>
      </c>
      <c r="T105" s="537">
        <v>625</v>
      </c>
      <c r="U105" s="255">
        <f t="shared" ref="U105:U108" si="248">+T105*$X$1</f>
        <v>625</v>
      </c>
      <c r="V105" s="537">
        <v>534</v>
      </c>
      <c r="W105" s="255">
        <f t="shared" ref="W105:W108" si="249">+V105*$X$1</f>
        <v>534</v>
      </c>
      <c r="X105" s="961"/>
      <c r="Y105" s="962"/>
      <c r="Z105" s="962"/>
      <c r="AA105" s="963"/>
      <c r="AB105" s="357">
        <v>290</v>
      </c>
    </row>
    <row r="106" spans="1:29" ht="12.6" customHeight="1" x14ac:dyDescent="0.2">
      <c r="A106" s="17"/>
      <c r="B106" s="642" t="s">
        <v>361</v>
      </c>
      <c r="C106" s="643"/>
      <c r="D106" s="643"/>
      <c r="E106" s="643"/>
      <c r="F106" s="256"/>
      <c r="G106" s="704" t="s">
        <v>532</v>
      </c>
      <c r="H106" s="705"/>
      <c r="I106" s="705"/>
      <c r="J106" s="705"/>
      <c r="K106" s="705"/>
      <c r="L106" s="705"/>
      <c r="M106" s="706"/>
      <c r="N106" s="543">
        <v>910</v>
      </c>
      <c r="O106" s="256">
        <f t="shared" si="246"/>
        <v>910</v>
      </c>
      <c r="P106" s="252">
        <v>875</v>
      </c>
      <c r="Q106" s="256">
        <f t="shared" si="246"/>
        <v>875</v>
      </c>
      <c r="R106" s="82">
        <v>805</v>
      </c>
      <c r="S106" s="256">
        <f t="shared" si="247"/>
        <v>805</v>
      </c>
      <c r="T106" s="544">
        <v>757</v>
      </c>
      <c r="U106" s="256">
        <f t="shared" si="248"/>
        <v>757</v>
      </c>
      <c r="V106" s="544">
        <v>647</v>
      </c>
      <c r="W106" s="256">
        <f t="shared" si="249"/>
        <v>647</v>
      </c>
      <c r="X106" s="961"/>
      <c r="Y106" s="962"/>
      <c r="Z106" s="962"/>
      <c r="AA106" s="963"/>
      <c r="AB106" s="357" t="s">
        <v>145</v>
      </c>
    </row>
    <row r="107" spans="1:29" ht="12.6" customHeight="1" x14ac:dyDescent="0.2">
      <c r="A107" s="17"/>
      <c r="B107" s="630" t="s">
        <v>362</v>
      </c>
      <c r="C107" s="631"/>
      <c r="D107" s="631"/>
      <c r="E107" s="631"/>
      <c r="F107" s="255"/>
      <c r="G107" s="704" t="s">
        <v>531</v>
      </c>
      <c r="H107" s="705"/>
      <c r="I107" s="705"/>
      <c r="J107" s="705"/>
      <c r="K107" s="705"/>
      <c r="L107" s="705"/>
      <c r="M107" s="706"/>
      <c r="N107" s="281">
        <v>930</v>
      </c>
      <c r="O107" s="255">
        <f t="shared" ref="O107:O108" si="250">+N107*$X$1</f>
        <v>930</v>
      </c>
      <c r="P107" s="281">
        <v>903</v>
      </c>
      <c r="Q107" s="255">
        <f t="shared" si="246"/>
        <v>903</v>
      </c>
      <c r="R107" s="542">
        <v>831</v>
      </c>
      <c r="S107" s="255">
        <f t="shared" si="247"/>
        <v>831</v>
      </c>
      <c r="T107" s="537">
        <v>782</v>
      </c>
      <c r="U107" s="255">
        <f t="shared" si="248"/>
        <v>782</v>
      </c>
      <c r="V107" s="537">
        <v>667</v>
      </c>
      <c r="W107" s="255">
        <f t="shared" si="249"/>
        <v>667</v>
      </c>
      <c r="X107" s="961"/>
      <c r="Y107" s="962"/>
      <c r="Z107" s="962"/>
      <c r="AA107" s="963"/>
      <c r="AB107" s="357">
        <v>291</v>
      </c>
    </row>
    <row r="108" spans="1:29" ht="12.6" customHeight="1" x14ac:dyDescent="0.2">
      <c r="A108" s="17"/>
      <c r="B108" s="642" t="s">
        <v>363</v>
      </c>
      <c r="C108" s="643"/>
      <c r="D108" s="643"/>
      <c r="E108" s="643"/>
      <c r="F108" s="256"/>
      <c r="G108" s="704" t="s">
        <v>532</v>
      </c>
      <c r="H108" s="705"/>
      <c r="I108" s="705"/>
      <c r="J108" s="705"/>
      <c r="K108" s="705"/>
      <c r="L108" s="705"/>
      <c r="M108" s="706"/>
      <c r="N108" s="252">
        <v>1160</v>
      </c>
      <c r="O108" s="256">
        <f t="shared" si="250"/>
        <v>1160</v>
      </c>
      <c r="P108" s="252">
        <v>1130</v>
      </c>
      <c r="Q108" s="256">
        <f t="shared" si="246"/>
        <v>1130</v>
      </c>
      <c r="R108" s="82">
        <v>1042</v>
      </c>
      <c r="S108" s="256">
        <f t="shared" si="247"/>
        <v>1042</v>
      </c>
      <c r="T108" s="544">
        <v>981</v>
      </c>
      <c r="U108" s="256">
        <f t="shared" si="248"/>
        <v>981</v>
      </c>
      <c r="V108" s="544">
        <v>837</v>
      </c>
      <c r="W108" s="256">
        <f t="shared" si="249"/>
        <v>837</v>
      </c>
      <c r="X108" s="961"/>
      <c r="Y108" s="962"/>
      <c r="Z108" s="962"/>
      <c r="AA108" s="963"/>
      <c r="AB108" s="357" t="s">
        <v>146</v>
      </c>
    </row>
    <row r="109" spans="1:29" ht="12.6" customHeight="1" x14ac:dyDescent="0.2">
      <c r="A109" s="17"/>
      <c r="B109" s="690" t="s">
        <v>878</v>
      </c>
      <c r="C109" s="900"/>
      <c r="D109" s="900"/>
      <c r="E109" s="900"/>
      <c r="F109" s="255"/>
      <c r="G109" s="704" t="s">
        <v>531</v>
      </c>
      <c r="H109" s="705"/>
      <c r="I109" s="705"/>
      <c r="J109" s="705"/>
      <c r="K109" s="705"/>
      <c r="L109" s="705"/>
      <c r="M109" s="706"/>
      <c r="N109" s="281">
        <v>590</v>
      </c>
      <c r="O109" s="255">
        <f t="shared" ref="O109" si="251">+N109*$X$1</f>
        <v>590</v>
      </c>
      <c r="P109" s="281">
        <v>550</v>
      </c>
      <c r="Q109" s="255">
        <f t="shared" ref="Q109" si="252">+P109*$X$1</f>
        <v>550</v>
      </c>
      <c r="R109" s="542">
        <v>498</v>
      </c>
      <c r="S109" s="255">
        <f t="shared" ref="S109" si="253">+R109*$X$1</f>
        <v>498</v>
      </c>
      <c r="T109" s="537">
        <v>468</v>
      </c>
      <c r="U109" s="255">
        <f t="shared" ref="U109" si="254">+T109*$X$1</f>
        <v>468</v>
      </c>
      <c r="V109" s="537">
        <v>399</v>
      </c>
      <c r="W109" s="255">
        <f t="shared" ref="W109" si="255">+V109*$X$1</f>
        <v>399</v>
      </c>
      <c r="X109" s="961"/>
      <c r="Y109" s="962"/>
      <c r="Z109" s="962"/>
      <c r="AA109" s="963"/>
      <c r="AB109" s="357">
        <v>292</v>
      </c>
    </row>
    <row r="110" spans="1:29" ht="12.6" customHeight="1" x14ac:dyDescent="0.2">
      <c r="A110" s="17"/>
      <c r="B110" s="690" t="s">
        <v>924</v>
      </c>
      <c r="C110" s="900"/>
      <c r="D110" s="900"/>
      <c r="E110" s="900"/>
      <c r="F110" s="256"/>
      <c r="G110" s="704" t="s">
        <v>532</v>
      </c>
      <c r="H110" s="705"/>
      <c r="I110" s="705"/>
      <c r="J110" s="705"/>
      <c r="K110" s="705"/>
      <c r="L110" s="705"/>
      <c r="M110" s="706"/>
      <c r="N110" s="252">
        <v>670</v>
      </c>
      <c r="O110" s="256">
        <f t="shared" ref="O110:O111" si="256">+N110*$X$1</f>
        <v>670</v>
      </c>
      <c r="P110" s="252">
        <v>620</v>
      </c>
      <c r="Q110" s="256">
        <f t="shared" ref="Q110:Q111" si="257">+P110*$X$1</f>
        <v>620</v>
      </c>
      <c r="R110" s="543">
        <v>570</v>
      </c>
      <c r="S110" s="256">
        <f t="shared" ref="S110:S111" si="258">+R110*$X$1</f>
        <v>570</v>
      </c>
      <c r="T110" s="544">
        <v>535</v>
      </c>
      <c r="U110" s="256">
        <f t="shared" ref="U110:U111" si="259">+T110*$X$1</f>
        <v>535</v>
      </c>
      <c r="V110" s="544">
        <v>455</v>
      </c>
      <c r="W110" s="256">
        <f t="shared" ref="W110:W111" si="260">+V110*$X$1</f>
        <v>455</v>
      </c>
      <c r="X110" s="961"/>
      <c r="Y110" s="962"/>
      <c r="Z110" s="962"/>
      <c r="AA110" s="963"/>
      <c r="AB110" s="357" t="s">
        <v>922</v>
      </c>
    </row>
    <row r="111" spans="1:29" ht="12.6" customHeight="1" x14ac:dyDescent="0.2">
      <c r="A111" s="17"/>
      <c r="B111" s="690" t="s">
        <v>879</v>
      </c>
      <c r="C111" s="900"/>
      <c r="D111" s="900"/>
      <c r="E111" s="900"/>
      <c r="F111" s="255"/>
      <c r="G111" s="704" t="s">
        <v>531</v>
      </c>
      <c r="H111" s="705"/>
      <c r="I111" s="705"/>
      <c r="J111" s="705"/>
      <c r="K111" s="705"/>
      <c r="L111" s="705"/>
      <c r="M111" s="706"/>
      <c r="N111" s="281">
        <v>1150</v>
      </c>
      <c r="O111" s="255">
        <f t="shared" si="256"/>
        <v>1150</v>
      </c>
      <c r="P111" s="281">
        <v>1110</v>
      </c>
      <c r="Q111" s="255">
        <f t="shared" si="257"/>
        <v>1110</v>
      </c>
      <c r="R111" s="542">
        <v>1010</v>
      </c>
      <c r="S111" s="255">
        <f t="shared" si="258"/>
        <v>1010</v>
      </c>
      <c r="T111" s="537">
        <v>950</v>
      </c>
      <c r="U111" s="255">
        <f t="shared" si="259"/>
        <v>950</v>
      </c>
      <c r="V111" s="537">
        <v>810</v>
      </c>
      <c r="W111" s="255">
        <f t="shared" si="260"/>
        <v>810</v>
      </c>
      <c r="X111" s="961"/>
      <c r="Y111" s="962"/>
      <c r="Z111" s="962"/>
      <c r="AA111" s="963"/>
      <c r="AB111" s="357">
        <v>293</v>
      </c>
    </row>
    <row r="112" spans="1:29" ht="12.6" customHeight="1" x14ac:dyDescent="0.2">
      <c r="A112" s="17"/>
      <c r="B112" s="690" t="s">
        <v>925</v>
      </c>
      <c r="C112" s="900"/>
      <c r="D112" s="900"/>
      <c r="E112" s="900"/>
      <c r="F112" s="256"/>
      <c r="G112" s="704" t="s">
        <v>532</v>
      </c>
      <c r="H112" s="705"/>
      <c r="I112" s="712"/>
      <c r="J112" s="712"/>
      <c r="K112" s="712"/>
      <c r="L112" s="712"/>
      <c r="M112" s="713"/>
      <c r="N112" s="252">
        <v>1260</v>
      </c>
      <c r="O112" s="256">
        <f t="shared" ref="O112:W116" si="261">+N112*$X$1</f>
        <v>1260</v>
      </c>
      <c r="P112" s="252">
        <v>1200</v>
      </c>
      <c r="Q112" s="256">
        <f t="shared" ref="Q112" si="262">+P112*$X$1</f>
        <v>1200</v>
      </c>
      <c r="R112" s="543">
        <v>1080</v>
      </c>
      <c r="S112" s="256">
        <f t="shared" ref="S112" si="263">+R112*$X$1</f>
        <v>1080</v>
      </c>
      <c r="T112" s="544">
        <v>1015</v>
      </c>
      <c r="U112" s="256">
        <f t="shared" ref="U112" si="264">+T112*$X$1</f>
        <v>1015</v>
      </c>
      <c r="V112" s="544">
        <v>866</v>
      </c>
      <c r="W112" s="256">
        <f t="shared" ref="W112" si="265">+V112*$X$1</f>
        <v>866</v>
      </c>
      <c r="X112" s="961"/>
      <c r="Y112" s="962"/>
      <c r="Z112" s="962"/>
      <c r="AA112" s="963"/>
      <c r="AB112" s="357" t="s">
        <v>923</v>
      </c>
    </row>
    <row r="113" spans="1:28" ht="12.6" customHeight="1" x14ac:dyDescent="0.2">
      <c r="A113" s="17"/>
      <c r="B113" s="690" t="s">
        <v>926</v>
      </c>
      <c r="C113" s="900"/>
      <c r="D113" s="900"/>
      <c r="E113" s="900"/>
      <c r="F113" s="255"/>
      <c r="G113" s="704" t="s">
        <v>531</v>
      </c>
      <c r="H113" s="705"/>
      <c r="I113" s="705"/>
      <c r="J113" s="705"/>
      <c r="K113" s="705"/>
      <c r="L113" s="705"/>
      <c r="M113" s="706"/>
      <c r="N113" s="281">
        <v>770</v>
      </c>
      <c r="O113" s="255">
        <f t="shared" si="261"/>
        <v>770</v>
      </c>
      <c r="P113" s="281">
        <v>690</v>
      </c>
      <c r="Q113" s="255">
        <f t="shared" si="261"/>
        <v>690</v>
      </c>
      <c r="R113" s="542">
        <v>639</v>
      </c>
      <c r="S113" s="255">
        <f t="shared" si="261"/>
        <v>639</v>
      </c>
      <c r="T113" s="537">
        <v>601</v>
      </c>
      <c r="U113" s="255">
        <f t="shared" si="261"/>
        <v>601</v>
      </c>
      <c r="V113" s="537">
        <v>512</v>
      </c>
      <c r="W113" s="255">
        <f t="shared" si="261"/>
        <v>512</v>
      </c>
      <c r="X113" s="961"/>
      <c r="Y113" s="962"/>
      <c r="Z113" s="962"/>
      <c r="AA113" s="963"/>
      <c r="AB113" s="357">
        <v>294</v>
      </c>
    </row>
    <row r="114" spans="1:28" ht="12.6" customHeight="1" x14ac:dyDescent="0.2">
      <c r="A114" s="17"/>
      <c r="B114" s="690" t="s">
        <v>927</v>
      </c>
      <c r="C114" s="900"/>
      <c r="D114" s="900"/>
      <c r="E114" s="900"/>
      <c r="F114" s="256"/>
      <c r="G114" s="704" t="s">
        <v>532</v>
      </c>
      <c r="H114" s="705"/>
      <c r="I114" s="712"/>
      <c r="J114" s="712"/>
      <c r="K114" s="712"/>
      <c r="L114" s="712"/>
      <c r="M114" s="713"/>
      <c r="N114" s="252">
        <v>840</v>
      </c>
      <c r="O114" s="256">
        <f t="shared" si="261"/>
        <v>840</v>
      </c>
      <c r="P114" s="252">
        <v>770</v>
      </c>
      <c r="Q114" s="256">
        <f t="shared" si="261"/>
        <v>770</v>
      </c>
      <c r="R114" s="543">
        <v>709</v>
      </c>
      <c r="S114" s="256">
        <f t="shared" si="261"/>
        <v>709</v>
      </c>
      <c r="T114" s="544">
        <v>667</v>
      </c>
      <c r="U114" s="256">
        <f t="shared" si="261"/>
        <v>667</v>
      </c>
      <c r="V114" s="544">
        <v>570</v>
      </c>
      <c r="W114" s="256">
        <f t="shared" si="261"/>
        <v>570</v>
      </c>
      <c r="X114" s="961"/>
      <c r="Y114" s="962"/>
      <c r="Z114" s="962"/>
      <c r="AA114" s="963"/>
      <c r="AB114" s="357" t="s">
        <v>928</v>
      </c>
    </row>
    <row r="115" spans="1:28" ht="12.6" customHeight="1" x14ac:dyDescent="0.2">
      <c r="A115" s="17"/>
      <c r="B115" s="690" t="s">
        <v>930</v>
      </c>
      <c r="C115" s="900"/>
      <c r="D115" s="900"/>
      <c r="E115" s="900"/>
      <c r="F115" s="255"/>
      <c r="G115" s="704" t="s">
        <v>531</v>
      </c>
      <c r="H115" s="705"/>
      <c r="I115" s="705"/>
      <c r="J115" s="705"/>
      <c r="K115" s="705"/>
      <c r="L115" s="705"/>
      <c r="M115" s="706"/>
      <c r="N115" s="281">
        <v>1998</v>
      </c>
      <c r="O115" s="255">
        <f t="shared" si="261"/>
        <v>1998</v>
      </c>
      <c r="P115" s="281">
        <v>1911</v>
      </c>
      <c r="Q115" s="255">
        <f t="shared" si="261"/>
        <v>1911</v>
      </c>
      <c r="R115" s="542">
        <v>1764</v>
      </c>
      <c r="S115" s="255">
        <f t="shared" si="261"/>
        <v>1764</v>
      </c>
      <c r="T115" s="537">
        <v>1670</v>
      </c>
      <c r="U115" s="255">
        <f t="shared" si="261"/>
        <v>1670</v>
      </c>
      <c r="V115" s="537">
        <v>1415</v>
      </c>
      <c r="W115" s="255">
        <f t="shared" si="261"/>
        <v>1415</v>
      </c>
      <c r="X115" s="961"/>
      <c r="Y115" s="962"/>
      <c r="Z115" s="962"/>
      <c r="AA115" s="963"/>
      <c r="AB115" s="357">
        <v>295</v>
      </c>
    </row>
    <row r="116" spans="1:28" ht="12.6" customHeight="1" x14ac:dyDescent="0.2">
      <c r="A116" s="17"/>
      <c r="B116" s="690" t="s">
        <v>929</v>
      </c>
      <c r="C116" s="900"/>
      <c r="D116" s="900"/>
      <c r="E116" s="900"/>
      <c r="F116" s="256"/>
      <c r="G116" s="704" t="s">
        <v>532</v>
      </c>
      <c r="H116" s="705"/>
      <c r="I116" s="712"/>
      <c r="J116" s="712"/>
      <c r="K116" s="712"/>
      <c r="L116" s="712"/>
      <c r="M116" s="713"/>
      <c r="N116" s="252">
        <v>2070</v>
      </c>
      <c r="O116" s="256">
        <f t="shared" si="261"/>
        <v>2070</v>
      </c>
      <c r="P116" s="252">
        <v>1991</v>
      </c>
      <c r="Q116" s="256">
        <f t="shared" si="261"/>
        <v>1991</v>
      </c>
      <c r="R116" s="543">
        <v>1833</v>
      </c>
      <c r="S116" s="256">
        <f t="shared" si="261"/>
        <v>1833</v>
      </c>
      <c r="T116" s="544">
        <v>1725</v>
      </c>
      <c r="U116" s="256">
        <f t="shared" si="261"/>
        <v>1725</v>
      </c>
      <c r="V116" s="544">
        <v>1471</v>
      </c>
      <c r="W116" s="256">
        <f t="shared" si="261"/>
        <v>1471</v>
      </c>
      <c r="X116" s="961"/>
      <c r="Y116" s="962"/>
      <c r="Z116" s="962"/>
      <c r="AA116" s="963"/>
      <c r="AB116" s="357" t="s">
        <v>1005</v>
      </c>
    </row>
    <row r="117" spans="1:28" ht="12.6" customHeight="1" x14ac:dyDescent="0.2">
      <c r="A117" s="17"/>
      <c r="B117" s="690" t="s">
        <v>931</v>
      </c>
      <c r="C117" s="900"/>
      <c r="D117" s="900"/>
      <c r="E117" s="900"/>
      <c r="F117" s="255"/>
      <c r="G117" s="704" t="s">
        <v>531</v>
      </c>
      <c r="H117" s="705"/>
      <c r="I117" s="705"/>
      <c r="J117" s="705"/>
      <c r="K117" s="705"/>
      <c r="L117" s="705"/>
      <c r="M117" s="706"/>
      <c r="N117" s="281">
        <v>1998</v>
      </c>
      <c r="O117" s="255">
        <f t="shared" ref="O117:O118" si="266">+N117*$X$1</f>
        <v>1998</v>
      </c>
      <c r="P117" s="281">
        <v>1911</v>
      </c>
      <c r="Q117" s="255">
        <f t="shared" ref="Q117:Q118" si="267">+P117*$X$1</f>
        <v>1911</v>
      </c>
      <c r="R117" s="577">
        <v>1764</v>
      </c>
      <c r="S117" s="255">
        <f t="shared" ref="S117:S118" si="268">+R117*$X$1</f>
        <v>1764</v>
      </c>
      <c r="T117" s="537">
        <v>1670</v>
      </c>
      <c r="U117" s="255">
        <f t="shared" ref="U117:U118" si="269">+T117*$X$1</f>
        <v>1670</v>
      </c>
      <c r="V117" s="537">
        <v>1415</v>
      </c>
      <c r="W117" s="255">
        <f t="shared" ref="W117:W118" si="270">+V117*$X$1</f>
        <v>1415</v>
      </c>
      <c r="X117" s="961"/>
      <c r="Y117" s="962"/>
      <c r="Z117" s="962"/>
      <c r="AA117" s="963"/>
      <c r="AB117" s="357">
        <v>298</v>
      </c>
    </row>
    <row r="118" spans="1:28" ht="12.6" customHeight="1" x14ac:dyDescent="0.2">
      <c r="A118" s="17"/>
      <c r="B118" s="690" t="s">
        <v>933</v>
      </c>
      <c r="C118" s="900"/>
      <c r="D118" s="900"/>
      <c r="E118" s="900"/>
      <c r="F118" s="256"/>
      <c r="G118" s="704" t="s">
        <v>532</v>
      </c>
      <c r="H118" s="705"/>
      <c r="I118" s="712"/>
      <c r="J118" s="712"/>
      <c r="K118" s="712"/>
      <c r="L118" s="712"/>
      <c r="M118" s="713"/>
      <c r="N118" s="252">
        <v>2070</v>
      </c>
      <c r="O118" s="256">
        <f t="shared" si="266"/>
        <v>2070</v>
      </c>
      <c r="P118" s="252">
        <v>1991</v>
      </c>
      <c r="Q118" s="256">
        <f t="shared" si="267"/>
        <v>1991</v>
      </c>
      <c r="R118" s="576">
        <v>1833</v>
      </c>
      <c r="S118" s="256">
        <f t="shared" si="268"/>
        <v>1833</v>
      </c>
      <c r="T118" s="546">
        <v>1725</v>
      </c>
      <c r="U118" s="256">
        <f t="shared" si="269"/>
        <v>1725</v>
      </c>
      <c r="V118" s="546">
        <v>1471</v>
      </c>
      <c r="W118" s="256">
        <f t="shared" si="270"/>
        <v>1471</v>
      </c>
      <c r="X118" s="961"/>
      <c r="Y118" s="962"/>
      <c r="Z118" s="962"/>
      <c r="AA118" s="963"/>
      <c r="AB118" s="357" t="s">
        <v>932</v>
      </c>
    </row>
    <row r="119" spans="1:28" ht="12.6" customHeight="1" x14ac:dyDescent="0.2">
      <c r="A119" s="17"/>
      <c r="B119" s="699" t="s">
        <v>913</v>
      </c>
      <c r="C119" s="700"/>
      <c r="D119" s="700"/>
      <c r="E119" s="700"/>
      <c r="F119" s="270">
        <v>460</v>
      </c>
      <c r="G119" s="255">
        <f>+F119*$X$1</f>
        <v>460</v>
      </c>
      <c r="H119" s="84"/>
      <c r="I119" s="1159" t="s">
        <v>912</v>
      </c>
      <c r="J119" s="1160"/>
      <c r="K119" s="1160"/>
      <c r="L119" s="1160"/>
      <c r="M119" s="1160"/>
      <c r="N119" s="1160"/>
      <c r="O119" s="1160"/>
      <c r="P119" s="1160"/>
      <c r="Q119" s="1160"/>
      <c r="R119" s="1160"/>
      <c r="S119" s="1160"/>
      <c r="T119" s="1160"/>
      <c r="U119" s="1160"/>
      <c r="V119" s="1160"/>
      <c r="W119" s="1161"/>
      <c r="X119" s="635"/>
      <c r="Y119" s="636"/>
      <c r="Z119" s="636"/>
      <c r="AA119" s="637"/>
      <c r="AB119" s="357" t="s">
        <v>919</v>
      </c>
    </row>
    <row r="120" spans="1:28" ht="12.6" customHeight="1" x14ac:dyDescent="0.2">
      <c r="A120" s="17"/>
      <c r="B120" s="656" t="s">
        <v>914</v>
      </c>
      <c r="C120" s="747"/>
      <c r="D120" s="747"/>
      <c r="E120" s="747"/>
      <c r="F120" s="280">
        <v>260</v>
      </c>
      <c r="G120" s="256">
        <f t="shared" ref="G120" si="271">+F120*$X$1</f>
        <v>260</v>
      </c>
      <c r="H120" s="107"/>
      <c r="I120" s="1162"/>
      <c r="J120" s="1163"/>
      <c r="K120" s="1163"/>
      <c r="L120" s="1163"/>
      <c r="M120" s="1163"/>
      <c r="N120" s="1163"/>
      <c r="O120" s="1163"/>
      <c r="P120" s="1163"/>
      <c r="Q120" s="1163"/>
      <c r="R120" s="1163"/>
      <c r="S120" s="1163"/>
      <c r="T120" s="1163"/>
      <c r="U120" s="1163"/>
      <c r="V120" s="1163"/>
      <c r="W120" s="1164"/>
      <c r="X120" s="635"/>
      <c r="Y120" s="636"/>
      <c r="Z120" s="636"/>
      <c r="AA120" s="637"/>
      <c r="AB120" s="357" t="s">
        <v>920</v>
      </c>
    </row>
    <row r="121" spans="1:28" ht="12.6" customHeight="1" x14ac:dyDescent="0.2">
      <c r="A121" s="17"/>
      <c r="B121" s="699" t="s">
        <v>911</v>
      </c>
      <c r="C121" s="700"/>
      <c r="D121" s="700"/>
      <c r="E121" s="700"/>
      <c r="F121" s="270">
        <v>345</v>
      </c>
      <c r="G121" s="255">
        <f>+F121*$X$1</f>
        <v>345</v>
      </c>
      <c r="H121" s="107"/>
      <c r="I121" s="1165"/>
      <c r="J121" s="1166"/>
      <c r="K121" s="1166"/>
      <c r="L121" s="1166"/>
      <c r="M121" s="1166"/>
      <c r="N121" s="1166"/>
      <c r="O121" s="1166"/>
      <c r="P121" s="1166"/>
      <c r="Q121" s="1166"/>
      <c r="R121" s="1166"/>
      <c r="S121" s="1166"/>
      <c r="T121" s="1166"/>
      <c r="U121" s="1166"/>
      <c r="V121" s="1166"/>
      <c r="W121" s="1167"/>
      <c r="X121" s="635"/>
      <c r="Y121" s="636"/>
      <c r="Z121" s="636"/>
      <c r="AA121" s="637"/>
      <c r="AB121" s="357" t="s">
        <v>921</v>
      </c>
    </row>
    <row r="122" spans="1:28" ht="12.6" customHeight="1" x14ac:dyDescent="0.2">
      <c r="A122" s="17"/>
      <c r="B122" s="642" t="s">
        <v>694</v>
      </c>
      <c r="C122" s="643"/>
      <c r="D122" s="643"/>
      <c r="E122" s="643"/>
      <c r="F122" s="309"/>
      <c r="G122" s="704" t="s">
        <v>360</v>
      </c>
      <c r="H122" s="705"/>
      <c r="I122" s="705"/>
      <c r="J122" s="705"/>
      <c r="K122" s="706"/>
      <c r="L122" s="519">
        <v>2140</v>
      </c>
      <c r="M122" s="256">
        <f t="shared" ref="M122:O135" si="272">+L122*$X$1</f>
        <v>2140</v>
      </c>
      <c r="N122" s="113">
        <v>1896</v>
      </c>
      <c r="O122" s="256">
        <f t="shared" si="272"/>
        <v>1896</v>
      </c>
      <c r="P122" s="332">
        <v>1891</v>
      </c>
      <c r="Q122" s="256">
        <f t="shared" ref="Q122:Q134" si="273">+P122*$X$1</f>
        <v>1891</v>
      </c>
      <c r="R122" s="398">
        <v>1741</v>
      </c>
      <c r="S122" s="256">
        <f t="shared" ref="S122:S135" si="274">+R122*$X$1</f>
        <v>1741</v>
      </c>
      <c r="T122" s="398">
        <v>1639</v>
      </c>
      <c r="U122" s="280">
        <f t="shared" ref="U122:U128" si="275">+T122*$X$1</f>
        <v>1639</v>
      </c>
      <c r="V122" s="398">
        <v>857</v>
      </c>
      <c r="W122" s="280">
        <f t="shared" ref="W122:W132" si="276">+V122*$X$1</f>
        <v>857</v>
      </c>
      <c r="X122" s="961"/>
      <c r="Y122" s="962"/>
      <c r="Z122" s="962"/>
      <c r="AA122" s="963"/>
      <c r="AB122" s="357">
        <v>301</v>
      </c>
    </row>
    <row r="123" spans="1:28" ht="12.6" customHeight="1" x14ac:dyDescent="0.2">
      <c r="A123" s="17"/>
      <c r="B123" s="630" t="s">
        <v>695</v>
      </c>
      <c r="C123" s="631"/>
      <c r="D123" s="631"/>
      <c r="E123" s="631"/>
      <c r="F123" s="310"/>
      <c r="G123" s="704" t="s">
        <v>360</v>
      </c>
      <c r="H123" s="705"/>
      <c r="I123" s="705"/>
      <c r="J123" s="705"/>
      <c r="K123" s="706"/>
      <c r="L123" s="267">
        <v>2350</v>
      </c>
      <c r="M123" s="499">
        <f t="shared" si="272"/>
        <v>2350</v>
      </c>
      <c r="N123" s="344">
        <v>2053</v>
      </c>
      <c r="O123" s="499">
        <f t="shared" si="272"/>
        <v>2053</v>
      </c>
      <c r="P123" s="268">
        <v>2045</v>
      </c>
      <c r="Q123" s="255">
        <f t="shared" si="273"/>
        <v>2045</v>
      </c>
      <c r="R123" s="107">
        <v>1882</v>
      </c>
      <c r="S123" s="499">
        <f t="shared" si="274"/>
        <v>1882</v>
      </c>
      <c r="T123" s="517">
        <v>1771</v>
      </c>
      <c r="U123" s="270">
        <f t="shared" si="275"/>
        <v>1771</v>
      </c>
      <c r="V123" s="517">
        <v>1004</v>
      </c>
      <c r="W123" s="270">
        <f t="shared" si="276"/>
        <v>1004</v>
      </c>
      <c r="X123" s="961"/>
      <c r="Y123" s="962"/>
      <c r="Z123" s="962"/>
      <c r="AA123" s="963"/>
      <c r="AB123" s="357" t="s">
        <v>147</v>
      </c>
    </row>
    <row r="124" spans="1:28" ht="12.6" customHeight="1" x14ac:dyDescent="0.2">
      <c r="A124" s="17"/>
      <c r="B124" s="642" t="s">
        <v>696</v>
      </c>
      <c r="C124" s="643"/>
      <c r="D124" s="643"/>
      <c r="E124" s="643"/>
      <c r="F124" s="309"/>
      <c r="G124" s="704" t="s">
        <v>360</v>
      </c>
      <c r="H124" s="705"/>
      <c r="I124" s="705"/>
      <c r="J124" s="705"/>
      <c r="K124" s="706"/>
      <c r="L124" s="519">
        <v>3720</v>
      </c>
      <c r="M124" s="256">
        <f t="shared" ref="M124" si="277">+L124*$X$1</f>
        <v>3720</v>
      </c>
      <c r="N124" s="113">
        <v>3271</v>
      </c>
      <c r="O124" s="256">
        <f t="shared" ref="O124" si="278">+N124*$X$1</f>
        <v>3271</v>
      </c>
      <c r="P124" s="332">
        <v>3265</v>
      </c>
      <c r="Q124" s="256">
        <f t="shared" ref="Q124" si="279">+P124*$X$1</f>
        <v>3265</v>
      </c>
      <c r="R124" s="398">
        <v>3005</v>
      </c>
      <c r="S124" s="256">
        <f t="shared" ref="S124" si="280">+R124*$X$1</f>
        <v>3005</v>
      </c>
      <c r="T124" s="398">
        <v>2829</v>
      </c>
      <c r="U124" s="280">
        <f t="shared" ref="U124" si="281">+T124*$X$1</f>
        <v>2829</v>
      </c>
      <c r="V124" s="398">
        <v>1927</v>
      </c>
      <c r="W124" s="280">
        <f t="shared" ref="W124" si="282">+V124*$X$1</f>
        <v>1927</v>
      </c>
      <c r="X124" s="961"/>
      <c r="Y124" s="962"/>
      <c r="Z124" s="962"/>
      <c r="AA124" s="963"/>
      <c r="AB124" s="357" t="s">
        <v>148</v>
      </c>
    </row>
    <row r="125" spans="1:28" ht="12.6" customHeight="1" x14ac:dyDescent="0.2">
      <c r="A125" s="17"/>
      <c r="B125" s="630" t="s">
        <v>715</v>
      </c>
      <c r="C125" s="762"/>
      <c r="D125" s="762"/>
      <c r="E125" s="762"/>
      <c r="F125" s="310"/>
      <c r="G125" s="704" t="s">
        <v>360</v>
      </c>
      <c r="H125" s="705"/>
      <c r="I125" s="705"/>
      <c r="J125" s="705"/>
      <c r="K125" s="706"/>
      <c r="L125" s="516">
        <v>3720</v>
      </c>
      <c r="M125" s="255">
        <f t="shared" ref="M125" si="283">+L125*$X$1</f>
        <v>3720</v>
      </c>
      <c r="N125" s="344">
        <v>3271</v>
      </c>
      <c r="O125" s="255">
        <f t="shared" ref="O125" si="284">+N125*$X$1</f>
        <v>3271</v>
      </c>
      <c r="P125" s="489">
        <v>3265</v>
      </c>
      <c r="Q125" s="255">
        <f t="shared" ref="Q125" si="285">+P125*$X$1</f>
        <v>3265</v>
      </c>
      <c r="R125" s="517">
        <v>3005</v>
      </c>
      <c r="S125" s="255">
        <f t="shared" ref="S125" si="286">+R125*$X$1</f>
        <v>3005</v>
      </c>
      <c r="T125" s="517">
        <v>2829</v>
      </c>
      <c r="U125" s="270">
        <f t="shared" ref="U125" si="287">+T125*$X$1</f>
        <v>2829</v>
      </c>
      <c r="V125" s="517">
        <v>1927</v>
      </c>
      <c r="W125" s="270">
        <f t="shared" ref="W125" si="288">+V125*$X$1</f>
        <v>1927</v>
      </c>
      <c r="X125" s="961"/>
      <c r="Y125" s="962"/>
      <c r="Z125" s="962"/>
      <c r="AA125" s="963"/>
      <c r="AB125" s="357" t="s">
        <v>718</v>
      </c>
    </row>
    <row r="126" spans="1:28" ht="12.6" customHeight="1" x14ac:dyDescent="0.2">
      <c r="A126" s="17"/>
      <c r="B126" s="642" t="s">
        <v>717</v>
      </c>
      <c r="C126" s="914"/>
      <c r="D126" s="914"/>
      <c r="E126" s="914"/>
      <c r="F126" s="309"/>
      <c r="G126" s="704" t="s">
        <v>360</v>
      </c>
      <c r="H126" s="705"/>
      <c r="I126" s="705"/>
      <c r="J126" s="705"/>
      <c r="K126" s="706"/>
      <c r="L126" s="519">
        <v>2795</v>
      </c>
      <c r="M126" s="256">
        <f t="shared" ref="M126" si="289">+L126*$X$1</f>
        <v>2795</v>
      </c>
      <c r="N126" s="82">
        <v>2453</v>
      </c>
      <c r="O126" s="256">
        <f t="shared" ref="O126" si="290">+N126*$X$1</f>
        <v>2453</v>
      </c>
      <c r="P126" s="252">
        <v>2447</v>
      </c>
      <c r="Q126" s="256">
        <f t="shared" ref="Q126" si="291">+P126*$X$1</f>
        <v>2447</v>
      </c>
      <c r="R126" s="398">
        <v>2252</v>
      </c>
      <c r="S126" s="256">
        <f t="shared" ref="S126" si="292">+R126*$X$1</f>
        <v>2252</v>
      </c>
      <c r="T126" s="398">
        <v>2119</v>
      </c>
      <c r="U126" s="256">
        <f t="shared" ref="U126" si="293">+T126*$X$1</f>
        <v>2119</v>
      </c>
      <c r="V126" s="398">
        <v>1307</v>
      </c>
      <c r="W126" s="256">
        <f t="shared" ref="W126" si="294">+V126*$X$1</f>
        <v>1307</v>
      </c>
      <c r="X126" s="961"/>
      <c r="Y126" s="962"/>
      <c r="Z126" s="962"/>
      <c r="AA126" s="963"/>
      <c r="AB126" s="357" t="s">
        <v>721</v>
      </c>
    </row>
    <row r="127" spans="1:28" ht="12.6" customHeight="1" x14ac:dyDescent="0.2">
      <c r="A127" s="17"/>
      <c r="B127" s="630" t="s">
        <v>364</v>
      </c>
      <c r="C127" s="631"/>
      <c r="D127" s="631"/>
      <c r="E127" s="631"/>
      <c r="F127" s="305"/>
      <c r="G127" s="704" t="s">
        <v>359</v>
      </c>
      <c r="H127" s="705"/>
      <c r="I127" s="705"/>
      <c r="J127" s="705"/>
      <c r="K127" s="706"/>
      <c r="L127" s="516">
        <v>1660</v>
      </c>
      <c r="M127" s="255">
        <f t="shared" si="272"/>
        <v>1660</v>
      </c>
      <c r="N127" s="68">
        <v>1441</v>
      </c>
      <c r="O127" s="255">
        <f t="shared" si="272"/>
        <v>1441</v>
      </c>
      <c r="P127" s="281">
        <v>1436</v>
      </c>
      <c r="Q127" s="255">
        <f t="shared" si="273"/>
        <v>1436</v>
      </c>
      <c r="R127" s="517">
        <v>1321</v>
      </c>
      <c r="S127" s="255">
        <f t="shared" si="274"/>
        <v>1321</v>
      </c>
      <c r="T127" s="517">
        <v>1245</v>
      </c>
      <c r="U127" s="255">
        <f t="shared" si="275"/>
        <v>1245</v>
      </c>
      <c r="V127" s="517">
        <v>685</v>
      </c>
      <c r="W127" s="255">
        <f t="shared" si="276"/>
        <v>685</v>
      </c>
      <c r="X127" s="961"/>
      <c r="Y127" s="962"/>
      <c r="Z127" s="962"/>
      <c r="AA127" s="963"/>
      <c r="AB127" s="357">
        <v>302</v>
      </c>
    </row>
    <row r="128" spans="1:28" ht="12.6" customHeight="1" x14ac:dyDescent="0.2">
      <c r="A128" s="17"/>
      <c r="B128" s="642" t="s">
        <v>365</v>
      </c>
      <c r="C128" s="643"/>
      <c r="D128" s="643"/>
      <c r="E128" s="643"/>
      <c r="F128" s="256"/>
      <c r="G128" s="704" t="s">
        <v>359</v>
      </c>
      <c r="H128" s="705"/>
      <c r="I128" s="705"/>
      <c r="J128" s="705"/>
      <c r="K128" s="706"/>
      <c r="L128" s="519">
        <v>1825</v>
      </c>
      <c r="M128" s="256">
        <f t="shared" si="272"/>
        <v>1825</v>
      </c>
      <c r="N128" s="82">
        <v>1595</v>
      </c>
      <c r="O128" s="256">
        <f t="shared" si="272"/>
        <v>1595</v>
      </c>
      <c r="P128" s="252">
        <v>1590</v>
      </c>
      <c r="Q128" s="256">
        <f t="shared" si="273"/>
        <v>1590</v>
      </c>
      <c r="R128" s="398">
        <v>1462</v>
      </c>
      <c r="S128" s="256">
        <f t="shared" si="274"/>
        <v>1462</v>
      </c>
      <c r="T128" s="398">
        <v>1376</v>
      </c>
      <c r="U128" s="256">
        <f t="shared" si="275"/>
        <v>1376</v>
      </c>
      <c r="V128" s="398">
        <v>801</v>
      </c>
      <c r="W128" s="256">
        <f t="shared" si="276"/>
        <v>801</v>
      </c>
      <c r="X128" s="961"/>
      <c r="Y128" s="962"/>
      <c r="Z128" s="962"/>
      <c r="AA128" s="963"/>
      <c r="AB128" s="357" t="s">
        <v>149</v>
      </c>
    </row>
    <row r="129" spans="1:28" ht="12.6" customHeight="1" x14ac:dyDescent="0.2">
      <c r="A129" s="17"/>
      <c r="B129" s="630" t="s">
        <v>336</v>
      </c>
      <c r="C129" s="631"/>
      <c r="D129" s="631"/>
      <c r="E129" s="631"/>
      <c r="F129" s="305"/>
      <c r="G129" s="704" t="s">
        <v>359</v>
      </c>
      <c r="H129" s="705"/>
      <c r="I129" s="705"/>
      <c r="J129" s="705"/>
      <c r="K129" s="706"/>
      <c r="L129" s="516">
        <v>3200</v>
      </c>
      <c r="M129" s="255">
        <f t="shared" ref="M129" si="295">+L129*$X$1</f>
        <v>3200</v>
      </c>
      <c r="N129" s="68">
        <v>2816</v>
      </c>
      <c r="O129" s="255">
        <f t="shared" ref="O129" si="296">+N129*$X$1</f>
        <v>2816</v>
      </c>
      <c r="P129" s="281">
        <v>2810</v>
      </c>
      <c r="Q129" s="255">
        <f t="shared" ref="Q129" si="297">+P129*$X$1</f>
        <v>2810</v>
      </c>
      <c r="R129" s="517">
        <v>2586</v>
      </c>
      <c r="S129" s="255">
        <f t="shared" ref="S129" si="298">+R129*$X$1</f>
        <v>2586</v>
      </c>
      <c r="T129" s="517">
        <v>2434</v>
      </c>
      <c r="U129" s="255">
        <f t="shared" ref="U129" si="299">+T129*$X$1</f>
        <v>2434</v>
      </c>
      <c r="V129" s="517">
        <v>1724</v>
      </c>
      <c r="W129" s="255">
        <f t="shared" ref="W129" si="300">+V129*$X$1</f>
        <v>1724</v>
      </c>
      <c r="X129" s="961"/>
      <c r="Y129" s="962"/>
      <c r="Z129" s="962"/>
      <c r="AA129" s="963"/>
      <c r="AB129" s="357" t="s">
        <v>150</v>
      </c>
    </row>
    <row r="130" spans="1:28" ht="12.6" customHeight="1" x14ac:dyDescent="0.2">
      <c r="A130" s="17"/>
      <c r="B130" s="642" t="s">
        <v>716</v>
      </c>
      <c r="C130" s="914"/>
      <c r="D130" s="914"/>
      <c r="E130" s="914"/>
      <c r="F130" s="304"/>
      <c r="G130" s="704" t="s">
        <v>359</v>
      </c>
      <c r="H130" s="705"/>
      <c r="I130" s="705"/>
      <c r="J130" s="705"/>
      <c r="K130" s="706"/>
      <c r="L130" s="519">
        <v>3200</v>
      </c>
      <c r="M130" s="256">
        <f t="shared" ref="M130" si="301">+L130*$X$1</f>
        <v>3200</v>
      </c>
      <c r="N130" s="82">
        <v>2816</v>
      </c>
      <c r="O130" s="256">
        <f t="shared" ref="O130" si="302">+N130*$X$1</f>
        <v>2816</v>
      </c>
      <c r="P130" s="252">
        <v>2810</v>
      </c>
      <c r="Q130" s="256">
        <f t="shared" ref="Q130" si="303">+P130*$X$1</f>
        <v>2810</v>
      </c>
      <c r="R130" s="398">
        <v>2586</v>
      </c>
      <c r="S130" s="256">
        <f t="shared" ref="S130" si="304">+R130*$X$1</f>
        <v>2586</v>
      </c>
      <c r="T130" s="398">
        <v>2434</v>
      </c>
      <c r="U130" s="256">
        <f t="shared" ref="U130" si="305">+T130*$X$1</f>
        <v>2434</v>
      </c>
      <c r="V130" s="398">
        <v>1724</v>
      </c>
      <c r="W130" s="256">
        <f t="shared" ref="W130" si="306">+V130*$X$1</f>
        <v>1724</v>
      </c>
      <c r="X130" s="961"/>
      <c r="Y130" s="962"/>
      <c r="Z130" s="962"/>
      <c r="AA130" s="963"/>
      <c r="AB130" s="357" t="s">
        <v>719</v>
      </c>
    </row>
    <row r="131" spans="1:28" ht="12.6" customHeight="1" x14ac:dyDescent="0.2">
      <c r="A131" s="17"/>
      <c r="B131" s="630" t="s">
        <v>720</v>
      </c>
      <c r="C131" s="762"/>
      <c r="D131" s="762"/>
      <c r="E131" s="762"/>
      <c r="F131" s="305"/>
      <c r="G131" s="704" t="s">
        <v>359</v>
      </c>
      <c r="H131" s="705"/>
      <c r="I131" s="705"/>
      <c r="J131" s="705"/>
      <c r="K131" s="706"/>
      <c r="L131" s="516">
        <v>2280</v>
      </c>
      <c r="M131" s="255">
        <f t="shared" ref="M131" si="307">+L131*$X$1</f>
        <v>2280</v>
      </c>
      <c r="N131" s="68">
        <v>1998</v>
      </c>
      <c r="O131" s="255">
        <f t="shared" ref="O131" si="308">+N131*$X$1</f>
        <v>1998</v>
      </c>
      <c r="P131" s="281">
        <v>1990</v>
      </c>
      <c r="Q131" s="255">
        <f t="shared" ref="Q131" si="309">+P131*$X$1</f>
        <v>1990</v>
      </c>
      <c r="R131" s="517">
        <v>1832</v>
      </c>
      <c r="S131" s="255">
        <f t="shared" ref="S131" si="310">+R131*$X$1</f>
        <v>1832</v>
      </c>
      <c r="T131" s="517">
        <v>1724</v>
      </c>
      <c r="U131" s="255">
        <f t="shared" ref="U131" si="311">+T131*$X$1</f>
        <v>1724</v>
      </c>
      <c r="V131" s="517">
        <v>1103</v>
      </c>
      <c r="W131" s="255">
        <v>1105</v>
      </c>
      <c r="X131" s="961"/>
      <c r="Y131" s="962"/>
      <c r="Z131" s="962"/>
      <c r="AA131" s="963"/>
      <c r="AB131" s="357" t="s">
        <v>722</v>
      </c>
    </row>
    <row r="132" spans="1:28" ht="12.6" customHeight="1" x14ac:dyDescent="0.2">
      <c r="A132" s="17"/>
      <c r="B132" s="656" t="s">
        <v>573</v>
      </c>
      <c r="C132" s="747"/>
      <c r="D132" s="747"/>
      <c r="E132" s="747"/>
      <c r="F132" s="280"/>
      <c r="G132" s="704" t="s">
        <v>360</v>
      </c>
      <c r="H132" s="705"/>
      <c r="I132" s="705"/>
      <c r="J132" s="705"/>
      <c r="K132" s="706"/>
      <c r="L132" s="519">
        <v>2370</v>
      </c>
      <c r="M132" s="256">
        <f t="shared" si="272"/>
        <v>2370</v>
      </c>
      <c r="N132" s="500">
        <v>2053</v>
      </c>
      <c r="O132" s="256">
        <f t="shared" si="272"/>
        <v>2053</v>
      </c>
      <c r="P132" s="332">
        <v>2046</v>
      </c>
      <c r="Q132" s="256">
        <f t="shared" si="273"/>
        <v>2046</v>
      </c>
      <c r="R132" s="398">
        <v>1882</v>
      </c>
      <c r="S132" s="256">
        <f t="shared" si="274"/>
        <v>1882</v>
      </c>
      <c r="T132" s="398">
        <v>1614</v>
      </c>
      <c r="U132" s="256">
        <v>1771</v>
      </c>
      <c r="V132" s="398">
        <v>1512</v>
      </c>
      <c r="W132" s="256">
        <f t="shared" si="276"/>
        <v>1512</v>
      </c>
      <c r="X132" s="961"/>
      <c r="Y132" s="962"/>
      <c r="Z132" s="962"/>
      <c r="AA132" s="963"/>
      <c r="AB132" s="357">
        <v>303</v>
      </c>
    </row>
    <row r="133" spans="1:28" ht="12.6" customHeight="1" x14ac:dyDescent="0.2">
      <c r="A133" s="17"/>
      <c r="B133" s="630" t="s">
        <v>761</v>
      </c>
      <c r="C133" s="631"/>
      <c r="D133" s="631"/>
      <c r="E133" s="631"/>
      <c r="F133" s="255">
        <v>1930</v>
      </c>
      <c r="G133" s="255">
        <f>+F133*$X$1</f>
        <v>1930</v>
      </c>
      <c r="H133" s="68"/>
      <c r="I133" s="255"/>
      <c r="J133" s="68">
        <f>F133+200</f>
        <v>2130</v>
      </c>
      <c r="K133" s="255">
        <f t="shared" ref="K133" si="312">+J133*$X$1</f>
        <v>2130</v>
      </c>
      <c r="L133" s="537">
        <f t="shared" ref="L133" si="313">F133+150</f>
        <v>2080</v>
      </c>
      <c r="M133" s="255">
        <f t="shared" si="272"/>
        <v>2080</v>
      </c>
      <c r="N133" s="537">
        <f t="shared" ref="N133" si="314">F133+110</f>
        <v>2040</v>
      </c>
      <c r="O133" s="255">
        <f t="shared" si="272"/>
        <v>2040</v>
      </c>
      <c r="P133" s="537">
        <f t="shared" ref="P133" si="315">F133+100</f>
        <v>2030</v>
      </c>
      <c r="Q133" s="255">
        <f t="shared" si="273"/>
        <v>2030</v>
      </c>
      <c r="R133" s="537"/>
      <c r="S133" s="255"/>
      <c r="T133" s="537"/>
      <c r="U133" s="255"/>
      <c r="V133" s="537"/>
      <c r="W133" s="255"/>
      <c r="X133" s="635"/>
      <c r="Y133" s="636"/>
      <c r="Z133" s="636"/>
      <c r="AA133" s="637"/>
      <c r="AB133" s="357">
        <v>304</v>
      </c>
    </row>
    <row r="134" spans="1:28" ht="12.6" customHeight="1" x14ac:dyDescent="0.2">
      <c r="A134" s="17"/>
      <c r="B134" s="642" t="s">
        <v>693</v>
      </c>
      <c r="C134" s="643"/>
      <c r="D134" s="643"/>
      <c r="E134" s="643"/>
      <c r="F134" s="290">
        <v>2610</v>
      </c>
      <c r="G134" s="256">
        <f t="shared" ref="G134" si="316">+F134*$X$1</f>
        <v>2610</v>
      </c>
      <c r="H134" s="546"/>
      <c r="I134" s="256"/>
      <c r="J134" s="546"/>
      <c r="K134" s="256"/>
      <c r="L134" s="546">
        <f>F134+150</f>
        <v>2760</v>
      </c>
      <c r="M134" s="256">
        <f t="shared" si="272"/>
        <v>2760</v>
      </c>
      <c r="N134" s="546">
        <f>F134+100</f>
        <v>2710</v>
      </c>
      <c r="O134" s="256">
        <f>+N134*$X$1</f>
        <v>2710</v>
      </c>
      <c r="P134" s="546">
        <f>F134+90</f>
        <v>2700</v>
      </c>
      <c r="Q134" s="256">
        <f t="shared" si="273"/>
        <v>2700</v>
      </c>
      <c r="R134" s="546">
        <f>F134+70</f>
        <v>2680</v>
      </c>
      <c r="S134" s="256">
        <f>+R134*$X$1</f>
        <v>2680</v>
      </c>
      <c r="T134" s="546">
        <f>F134+56</f>
        <v>2666</v>
      </c>
      <c r="U134" s="256">
        <f t="shared" ref="U134:U135" si="317">+T134*$X$1</f>
        <v>2666</v>
      </c>
      <c r="V134" s="546">
        <f>F134+49</f>
        <v>2659</v>
      </c>
      <c r="W134" s="256">
        <f t="shared" ref="W134:W135" si="318">+V134*$X$1</f>
        <v>2659</v>
      </c>
      <c r="X134" s="635"/>
      <c r="Y134" s="636"/>
      <c r="Z134" s="636"/>
      <c r="AA134" s="637"/>
      <c r="AB134" s="357">
        <v>307</v>
      </c>
    </row>
    <row r="135" spans="1:28" ht="12.6" customHeight="1" x14ac:dyDescent="0.2">
      <c r="A135" s="17"/>
      <c r="B135" s="630" t="s">
        <v>495</v>
      </c>
      <c r="C135" s="631"/>
      <c r="D135" s="631"/>
      <c r="E135" s="631"/>
      <c r="F135" s="270">
        <v>1921</v>
      </c>
      <c r="G135" s="255">
        <f>+F135*$X$1</f>
        <v>1921</v>
      </c>
      <c r="H135" s="251"/>
      <c r="I135" s="302"/>
      <c r="J135" s="537"/>
      <c r="K135" s="255"/>
      <c r="L135" s="537">
        <v>3750</v>
      </c>
      <c r="M135" s="255">
        <f>+L135*$X$1</f>
        <v>3750</v>
      </c>
      <c r="N135" s="537">
        <v>3105</v>
      </c>
      <c r="O135" s="255">
        <f t="shared" si="272"/>
        <v>3105</v>
      </c>
      <c r="P135" s="281">
        <v>2873</v>
      </c>
      <c r="Q135" s="255">
        <f t="shared" ref="Q135" si="319">+P135*$X$1</f>
        <v>2873</v>
      </c>
      <c r="R135" s="537">
        <v>2647</v>
      </c>
      <c r="S135" s="255">
        <f t="shared" si="274"/>
        <v>2647</v>
      </c>
      <c r="T135" s="537">
        <v>2480</v>
      </c>
      <c r="U135" s="255">
        <f t="shared" si="317"/>
        <v>2480</v>
      </c>
      <c r="V135" s="537">
        <v>2362</v>
      </c>
      <c r="W135" s="255">
        <f t="shared" si="318"/>
        <v>2362</v>
      </c>
      <c r="X135" s="635"/>
      <c r="Y135" s="636"/>
      <c r="Z135" s="636"/>
      <c r="AA135" s="637"/>
      <c r="AB135" s="357">
        <v>308</v>
      </c>
    </row>
    <row r="136" spans="1:28" ht="12.6" customHeight="1" x14ac:dyDescent="0.2">
      <c r="A136" s="17"/>
      <c r="B136" s="642" t="s">
        <v>494</v>
      </c>
      <c r="C136" s="643"/>
      <c r="D136" s="643"/>
      <c r="E136" s="643"/>
      <c r="F136" s="280">
        <v>1921</v>
      </c>
      <c r="G136" s="256">
        <f>+F136*$X$1</f>
        <v>1921</v>
      </c>
      <c r="H136" s="250"/>
      <c r="I136" s="303"/>
      <c r="J136" s="546"/>
      <c r="K136" s="256"/>
      <c r="L136" s="546">
        <v>3750</v>
      </c>
      <c r="M136" s="256">
        <f>+L136*$X$1</f>
        <v>3750</v>
      </c>
      <c r="N136" s="546">
        <v>3105</v>
      </c>
      <c r="O136" s="256">
        <f t="shared" ref="O136" si="320">+N136*$X$1</f>
        <v>3105</v>
      </c>
      <c r="P136" s="252">
        <v>2873</v>
      </c>
      <c r="Q136" s="256">
        <f t="shared" ref="Q136" si="321">+P136*$X$1</f>
        <v>2873</v>
      </c>
      <c r="R136" s="546">
        <v>2647</v>
      </c>
      <c r="S136" s="256">
        <f t="shared" ref="S136" si="322">+R136*$X$1</f>
        <v>2647</v>
      </c>
      <c r="T136" s="546">
        <v>2480</v>
      </c>
      <c r="U136" s="256">
        <f t="shared" ref="U136" si="323">+T136*$X$1</f>
        <v>2480</v>
      </c>
      <c r="V136" s="546">
        <v>2362</v>
      </c>
      <c r="W136" s="256">
        <f t="shared" ref="W136" si="324">+V136*$X$1</f>
        <v>2362</v>
      </c>
      <c r="X136" s="635"/>
      <c r="Y136" s="636"/>
      <c r="Z136" s="636"/>
      <c r="AA136" s="637"/>
      <c r="AB136" s="357">
        <v>309</v>
      </c>
    </row>
    <row r="137" spans="1:28" ht="12.6" customHeight="1" x14ac:dyDescent="0.2">
      <c r="A137" s="17"/>
      <c r="B137" s="630" t="s">
        <v>774</v>
      </c>
      <c r="C137" s="631"/>
      <c r="D137" s="631"/>
      <c r="E137" s="631"/>
      <c r="F137" s="326">
        <f>0.73*X2</f>
        <v>1124.2</v>
      </c>
      <c r="G137" s="255">
        <f>+F137*$X$1</f>
        <v>1124.2</v>
      </c>
      <c r="H137" s="537"/>
      <c r="I137" s="255"/>
      <c r="J137" s="537">
        <f>F137+200</f>
        <v>1324.2</v>
      </c>
      <c r="K137" s="255">
        <f t="shared" ref="K137" si="325">+J137*$X$1</f>
        <v>1324.2</v>
      </c>
      <c r="L137" s="537">
        <f>F137+150</f>
        <v>1274.2</v>
      </c>
      <c r="M137" s="255">
        <f t="shared" ref="M137:M139" si="326">+L137*$X$1</f>
        <v>1274.2</v>
      </c>
      <c r="N137" s="537">
        <f>F137+100</f>
        <v>1224.2</v>
      </c>
      <c r="O137" s="255">
        <f>+N137*$X$1</f>
        <v>1224.2</v>
      </c>
      <c r="P137" s="537">
        <f>F137+90</f>
        <v>1214.2</v>
      </c>
      <c r="Q137" s="255">
        <f t="shared" ref="Q137:Q139" si="327">+P137*$X$1</f>
        <v>1214.2</v>
      </c>
      <c r="R137" s="537">
        <f>F137+70</f>
        <v>1194.2</v>
      </c>
      <c r="S137" s="255">
        <f>+R137*$X$1</f>
        <v>1194.2</v>
      </c>
      <c r="T137" s="537">
        <f>F137+56</f>
        <v>1180.2</v>
      </c>
      <c r="U137" s="255">
        <f t="shared" ref="U137:U139" si="328">+T137*$X$1</f>
        <v>1180.2</v>
      </c>
      <c r="V137" s="537">
        <f>F137+49</f>
        <v>1173.2</v>
      </c>
      <c r="W137" s="255">
        <f t="shared" ref="W137:W139" si="329">+V137*$X$1</f>
        <v>1173.2</v>
      </c>
      <c r="X137" s="635"/>
      <c r="Y137" s="636"/>
      <c r="Z137" s="636"/>
      <c r="AA137" s="637"/>
      <c r="AB137" s="357">
        <v>310</v>
      </c>
    </row>
    <row r="138" spans="1:28" ht="12.6" customHeight="1" x14ac:dyDescent="0.2">
      <c r="A138" s="17"/>
      <c r="B138" s="642" t="s">
        <v>729</v>
      </c>
      <c r="C138" s="643"/>
      <c r="D138" s="643"/>
      <c r="E138" s="643"/>
      <c r="F138" s="327">
        <f>0.64*X2</f>
        <v>985.6</v>
      </c>
      <c r="G138" s="256">
        <f>+F138*$X$1</f>
        <v>985.6</v>
      </c>
      <c r="H138" s="546"/>
      <c r="I138" s="256"/>
      <c r="J138" s="546">
        <f>F138+200</f>
        <v>1185.5999999999999</v>
      </c>
      <c r="K138" s="256">
        <f t="shared" ref="K138" si="330">+J138*$X$1</f>
        <v>1185.5999999999999</v>
      </c>
      <c r="L138" s="546">
        <f>F138+150</f>
        <v>1135.5999999999999</v>
      </c>
      <c r="M138" s="256">
        <f t="shared" si="326"/>
        <v>1135.5999999999999</v>
      </c>
      <c r="N138" s="546">
        <f>F138+100</f>
        <v>1085.5999999999999</v>
      </c>
      <c r="O138" s="256">
        <f>+N138*$X$1</f>
        <v>1085.5999999999999</v>
      </c>
      <c r="P138" s="546">
        <f>F138+90</f>
        <v>1075.5999999999999</v>
      </c>
      <c r="Q138" s="256">
        <f t="shared" si="327"/>
        <v>1075.5999999999999</v>
      </c>
      <c r="R138" s="546">
        <f>F138+70</f>
        <v>1055.5999999999999</v>
      </c>
      <c r="S138" s="256">
        <f>+R138*$X$1</f>
        <v>1055.5999999999999</v>
      </c>
      <c r="T138" s="546">
        <f>F138+56</f>
        <v>1041.5999999999999</v>
      </c>
      <c r="U138" s="256">
        <f t="shared" si="328"/>
        <v>1041.5999999999999</v>
      </c>
      <c r="V138" s="546">
        <f>F138+49</f>
        <v>1034.5999999999999</v>
      </c>
      <c r="W138" s="256">
        <f t="shared" si="329"/>
        <v>1034.5999999999999</v>
      </c>
      <c r="X138" s="635"/>
      <c r="Y138" s="636"/>
      <c r="Z138" s="636"/>
      <c r="AA138" s="637"/>
      <c r="AB138" s="357">
        <v>311</v>
      </c>
    </row>
    <row r="139" spans="1:28" ht="12.6" customHeight="1" x14ac:dyDescent="0.2">
      <c r="A139" s="17"/>
      <c r="B139" s="630" t="s">
        <v>434</v>
      </c>
      <c r="C139" s="631"/>
      <c r="D139" s="631"/>
      <c r="E139" s="631"/>
      <c r="F139" s="326">
        <f>0.78*X2</f>
        <v>1201.2</v>
      </c>
      <c r="G139" s="255">
        <f t="shared" ref="G139" si="331">+F139*$X$1</f>
        <v>1201.2</v>
      </c>
      <c r="H139" s="537"/>
      <c r="I139" s="255"/>
      <c r="J139" s="537">
        <f>F139+200</f>
        <v>1401.2</v>
      </c>
      <c r="K139" s="255">
        <f t="shared" ref="K139" si="332">+J139*$X$1</f>
        <v>1401.2</v>
      </c>
      <c r="L139" s="537">
        <f>F139+150</f>
        <v>1351.2</v>
      </c>
      <c r="M139" s="255">
        <f t="shared" si="326"/>
        <v>1351.2</v>
      </c>
      <c r="N139" s="537">
        <f>F139+100</f>
        <v>1301.2</v>
      </c>
      <c r="O139" s="255">
        <f>+N139*$X$1</f>
        <v>1301.2</v>
      </c>
      <c r="P139" s="537">
        <f>F139+90</f>
        <v>1291.2</v>
      </c>
      <c r="Q139" s="255">
        <f t="shared" si="327"/>
        <v>1291.2</v>
      </c>
      <c r="R139" s="537">
        <f>F139+70</f>
        <v>1271.2</v>
      </c>
      <c r="S139" s="255">
        <f>+R139*$X$1</f>
        <v>1271.2</v>
      </c>
      <c r="T139" s="537">
        <f>F139+56</f>
        <v>1257.2</v>
      </c>
      <c r="U139" s="255">
        <f t="shared" si="328"/>
        <v>1257.2</v>
      </c>
      <c r="V139" s="537">
        <f>F139+49</f>
        <v>1250.2</v>
      </c>
      <c r="W139" s="255">
        <f t="shared" si="329"/>
        <v>1250.2</v>
      </c>
      <c r="X139" s="635"/>
      <c r="Y139" s="636"/>
      <c r="Z139" s="636"/>
      <c r="AA139" s="637"/>
      <c r="AB139" s="357">
        <v>312</v>
      </c>
    </row>
    <row r="140" spans="1:28" ht="12.6" customHeight="1" x14ac:dyDescent="0.2">
      <c r="A140" s="17"/>
      <c r="B140" s="639" t="s">
        <v>151</v>
      </c>
      <c r="C140" s="649"/>
      <c r="D140" s="649"/>
      <c r="E140" s="650"/>
      <c r="F140" s="256"/>
      <c r="G140" s="256"/>
      <c r="H140" s="398"/>
      <c r="I140" s="256"/>
      <c r="J140" s="82"/>
      <c r="K140" s="256"/>
      <c r="L140" s="398"/>
      <c r="M140" s="256"/>
      <c r="N140" s="398"/>
      <c r="O140" s="256"/>
      <c r="P140" s="398"/>
      <c r="Q140" s="256"/>
      <c r="R140" s="398"/>
      <c r="S140" s="256"/>
      <c r="T140" s="398"/>
      <c r="U140" s="256"/>
      <c r="V140" s="398"/>
      <c r="W140" s="256"/>
      <c r="X140" s="635"/>
      <c r="Y140" s="636"/>
      <c r="Z140" s="636"/>
      <c r="AA140" s="637"/>
      <c r="AB140" s="357" t="s">
        <v>152</v>
      </c>
    </row>
    <row r="141" spans="1:28" ht="12.6" customHeight="1" x14ac:dyDescent="0.2">
      <c r="A141" s="17"/>
      <c r="B141" s="971" t="s">
        <v>153</v>
      </c>
      <c r="C141" s="902"/>
      <c r="D141" s="902"/>
      <c r="E141" s="903"/>
      <c r="F141" s="270"/>
      <c r="G141" s="255"/>
      <c r="H141" s="447"/>
      <c r="I141" s="255"/>
      <c r="J141" s="68"/>
      <c r="K141" s="255"/>
      <c r="L141" s="447"/>
      <c r="M141" s="255"/>
      <c r="N141" s="447"/>
      <c r="O141" s="255"/>
      <c r="P141" s="447"/>
      <c r="Q141" s="255"/>
      <c r="R141" s="447"/>
      <c r="S141" s="255"/>
      <c r="T141" s="447"/>
      <c r="U141" s="255"/>
      <c r="V141" s="447"/>
      <c r="W141" s="255"/>
      <c r="X141" s="646"/>
      <c r="Y141" s="647"/>
      <c r="Z141" s="647"/>
      <c r="AA141" s="648"/>
      <c r="AB141" s="390" t="s">
        <v>154</v>
      </c>
    </row>
    <row r="142" spans="1:28" ht="12.6" customHeight="1" x14ac:dyDescent="0.2">
      <c r="A142" s="17"/>
      <c r="B142" s="639" t="s">
        <v>155</v>
      </c>
      <c r="C142" s="649"/>
      <c r="D142" s="649"/>
      <c r="E142" s="650"/>
      <c r="F142" s="256"/>
      <c r="G142" s="256"/>
      <c r="H142" s="398"/>
      <c r="I142" s="256"/>
      <c r="J142" s="82"/>
      <c r="K142" s="256"/>
      <c r="L142" s="398"/>
      <c r="M142" s="256"/>
      <c r="N142" s="398"/>
      <c r="O142" s="256"/>
      <c r="P142" s="398"/>
      <c r="Q142" s="256"/>
      <c r="R142" s="398"/>
      <c r="S142" s="256"/>
      <c r="T142" s="398"/>
      <c r="U142" s="256"/>
      <c r="V142" s="398"/>
      <c r="W142" s="256"/>
      <c r="X142" s="647"/>
      <c r="Y142" s="647"/>
      <c r="Z142" s="647"/>
      <c r="AA142" s="647"/>
      <c r="AB142" s="178" t="s">
        <v>156</v>
      </c>
    </row>
    <row r="143" spans="1:28" ht="12.6" customHeight="1" x14ac:dyDescent="0.2">
      <c r="A143" s="17"/>
      <c r="B143" s="666" t="s">
        <v>157</v>
      </c>
      <c r="C143" s="684"/>
      <c r="D143" s="684"/>
      <c r="E143" s="685"/>
      <c r="F143" s="255"/>
      <c r="G143" s="255"/>
      <c r="H143" s="447"/>
      <c r="I143" s="255"/>
      <c r="J143" s="68"/>
      <c r="K143" s="255"/>
      <c r="L143" s="447"/>
      <c r="M143" s="255"/>
      <c r="N143" s="447"/>
      <c r="O143" s="255"/>
      <c r="P143" s="447"/>
      <c r="Q143" s="255"/>
      <c r="R143" s="447"/>
      <c r="S143" s="255"/>
      <c r="T143" s="447"/>
      <c r="U143" s="255"/>
      <c r="V143" s="447"/>
      <c r="W143" s="255"/>
      <c r="X143" s="647"/>
      <c r="Y143" s="647"/>
      <c r="Z143" s="647"/>
      <c r="AA143" s="647"/>
      <c r="AB143" s="178" t="s">
        <v>158</v>
      </c>
    </row>
    <row r="144" spans="1:28" ht="12.6" customHeight="1" x14ac:dyDescent="0.2">
      <c r="A144" s="88"/>
      <c r="B144" s="639" t="s">
        <v>326</v>
      </c>
      <c r="C144" s="664"/>
      <c r="D144" s="664"/>
      <c r="E144" s="665"/>
      <c r="F144" s="256"/>
      <c r="G144" s="256"/>
      <c r="H144" s="82"/>
      <c r="I144" s="398"/>
      <c r="J144" s="398"/>
      <c r="K144" s="398"/>
      <c r="L144" s="398"/>
      <c r="M144" s="256"/>
      <c r="N144" s="398"/>
      <c r="O144" s="256"/>
      <c r="P144" s="398"/>
      <c r="Q144" s="256"/>
      <c r="R144" s="398"/>
      <c r="S144" s="256"/>
      <c r="T144" s="398"/>
      <c r="U144" s="256"/>
      <c r="V144" s="398"/>
      <c r="W144" s="256"/>
      <c r="X144" s="964"/>
      <c r="Y144" s="1122"/>
      <c r="Z144" s="1122"/>
      <c r="AA144" s="1123"/>
      <c r="AB144" s="178"/>
    </row>
    <row r="145" spans="1:34" ht="12.6" customHeight="1" x14ac:dyDescent="0.2">
      <c r="A145" s="88"/>
      <c r="B145" s="630" t="s">
        <v>159</v>
      </c>
      <c r="C145" s="631"/>
      <c r="D145" s="631"/>
      <c r="E145" s="631"/>
      <c r="F145" s="255"/>
      <c r="G145" s="255"/>
      <c r="H145" s="68"/>
      <c r="I145" s="447"/>
      <c r="J145" s="447"/>
      <c r="K145" s="447"/>
      <c r="L145" s="447"/>
      <c r="M145" s="255"/>
      <c r="N145" s="447"/>
      <c r="O145" s="255"/>
      <c r="P145" s="447"/>
      <c r="Q145" s="255"/>
      <c r="R145" s="447"/>
      <c r="S145" s="255"/>
      <c r="T145" s="447"/>
      <c r="U145" s="255"/>
      <c r="V145" s="447"/>
      <c r="W145" s="255"/>
      <c r="X145" s="964"/>
      <c r="Y145" s="965"/>
      <c r="Z145" s="965"/>
      <c r="AA145" s="966"/>
      <c r="AB145" s="178">
        <v>316</v>
      </c>
      <c r="AC145" s="57"/>
      <c r="AD145" s="57"/>
      <c r="AE145" s="57"/>
      <c r="AF145" s="57"/>
    </row>
    <row r="146" spans="1:34" ht="12.6" customHeight="1" x14ac:dyDescent="0.2">
      <c r="A146" s="88"/>
      <c r="B146" s="642" t="s">
        <v>160</v>
      </c>
      <c r="C146" s="643"/>
      <c r="D146" s="643"/>
      <c r="E146" s="643"/>
      <c r="F146" s="256"/>
      <c r="G146" s="451"/>
      <c r="H146" s="82"/>
      <c r="I146" s="452"/>
      <c r="J146" s="398"/>
      <c r="K146" s="452"/>
      <c r="L146" s="398"/>
      <c r="M146" s="453"/>
      <c r="N146" s="398"/>
      <c r="O146" s="453"/>
      <c r="P146" s="398"/>
      <c r="Q146" s="453"/>
      <c r="R146" s="398"/>
      <c r="S146" s="453"/>
      <c r="T146" s="398"/>
      <c r="U146" s="256"/>
      <c r="V146" s="398"/>
      <c r="W146" s="256"/>
      <c r="X146" s="964"/>
      <c r="Y146" s="965"/>
      <c r="Z146" s="965"/>
      <c r="AA146" s="966"/>
      <c r="AB146" s="178">
        <v>318</v>
      </c>
      <c r="AC146" s="57"/>
      <c r="AD146" s="57"/>
      <c r="AE146" s="57"/>
      <c r="AF146" s="57"/>
    </row>
    <row r="147" spans="1:34" ht="12.6" customHeight="1" x14ac:dyDescent="0.2">
      <c r="A147" s="17"/>
      <c r="B147" s="928" t="s">
        <v>298</v>
      </c>
      <c r="C147" s="970"/>
      <c r="D147" s="970"/>
      <c r="E147" s="970"/>
      <c r="F147" s="255">
        <v>1147</v>
      </c>
      <c r="G147" s="276">
        <f>+F147*$X$1</f>
        <v>1147</v>
      </c>
      <c r="H147" s="179" t="s">
        <v>161</v>
      </c>
      <c r="I147" s="181"/>
      <c r="J147" s="78"/>
      <c r="K147" s="78"/>
      <c r="L147" s="153"/>
      <c r="M147" s="78"/>
      <c r="N147" s="78"/>
      <c r="O147" s="78"/>
      <c r="P147" s="76">
        <v>90</v>
      </c>
      <c r="Q147" s="180">
        <f>+P147*$X$1</f>
        <v>90</v>
      </c>
      <c r="R147" s="448"/>
      <c r="S147" s="449"/>
      <c r="T147" s="68"/>
      <c r="U147" s="255"/>
      <c r="V147" s="447"/>
      <c r="W147" s="255"/>
      <c r="X147" s="964"/>
      <c r="Y147" s="965"/>
      <c r="Z147" s="965"/>
      <c r="AA147" s="966"/>
      <c r="AB147" s="360"/>
      <c r="AC147" s="1128"/>
      <c r="AD147" s="1129"/>
      <c r="AE147" s="1129"/>
      <c r="AF147" s="1129"/>
      <c r="AG147" s="4"/>
    </row>
    <row r="148" spans="1:34" ht="12.6" customHeight="1" x14ac:dyDescent="0.2">
      <c r="A148" s="17"/>
      <c r="B148" s="980" t="s">
        <v>299</v>
      </c>
      <c r="C148" s="981"/>
      <c r="D148" s="981"/>
      <c r="E148" s="981"/>
      <c r="F148" s="256">
        <v>1297</v>
      </c>
      <c r="G148" s="308">
        <f>+F148*$X$1</f>
        <v>1297</v>
      </c>
      <c r="H148" s="240" t="s">
        <v>161</v>
      </c>
      <c r="I148" s="241"/>
      <c r="J148" s="242"/>
      <c r="K148" s="242"/>
      <c r="L148" s="243"/>
      <c r="M148" s="242"/>
      <c r="N148" s="242"/>
      <c r="O148" s="242"/>
      <c r="P148" s="244">
        <v>90</v>
      </c>
      <c r="Q148" s="245">
        <f>+P148*$X$1</f>
        <v>90</v>
      </c>
      <c r="R148" s="456"/>
      <c r="S148" s="454"/>
      <c r="T148" s="455"/>
      <c r="U148" s="258"/>
      <c r="V148" s="86"/>
      <c r="W148" s="258"/>
      <c r="X148" s="964"/>
      <c r="Y148" s="965"/>
      <c r="Z148" s="965"/>
      <c r="AA148" s="966"/>
      <c r="AB148" s="360"/>
    </row>
    <row r="149" spans="1:34" ht="12.6" customHeight="1" x14ac:dyDescent="0.2">
      <c r="A149" s="17"/>
      <c r="B149" s="928" t="s">
        <v>751</v>
      </c>
      <c r="C149" s="970"/>
      <c r="D149" s="970"/>
      <c r="E149" s="970"/>
      <c r="F149" s="255"/>
      <c r="G149" s="255"/>
      <c r="H149" s="247"/>
      <c r="I149" s="255"/>
      <c r="J149" s="537">
        <f>F148+380</f>
        <v>1677</v>
      </c>
      <c r="K149" s="255">
        <f t="shared" ref="K149:K150" si="333">+J149*$X$1</f>
        <v>1677</v>
      </c>
      <c r="L149" s="537">
        <f>F148+330</f>
        <v>1627</v>
      </c>
      <c r="M149" s="255">
        <f>+L149*$X$1</f>
        <v>1627</v>
      </c>
      <c r="N149" s="537">
        <f>F148+275</f>
        <v>1572</v>
      </c>
      <c r="O149" s="255">
        <f>+N149*$X$1</f>
        <v>1572</v>
      </c>
      <c r="P149" s="537">
        <f>F148+260</f>
        <v>1557</v>
      </c>
      <c r="Q149" s="255">
        <f t="shared" ref="Q149:Q150" si="334">+P149*$X$1</f>
        <v>1557</v>
      </c>
      <c r="R149" s="537">
        <f>F148+240</f>
        <v>1537</v>
      </c>
      <c r="S149" s="255">
        <f>+R149*$X$1</f>
        <v>1537</v>
      </c>
      <c r="T149" s="537">
        <f>F148+190</f>
        <v>1487</v>
      </c>
      <c r="U149" s="255">
        <f t="shared" ref="U149:U150" si="335">+T149*$X$1</f>
        <v>1487</v>
      </c>
      <c r="V149" s="537">
        <f>F148+170</f>
        <v>1467</v>
      </c>
      <c r="W149" s="255">
        <f>+V149*$X$1</f>
        <v>1467</v>
      </c>
      <c r="X149" s="964"/>
      <c r="Y149" s="965"/>
      <c r="Z149" s="965"/>
      <c r="AA149" s="966"/>
      <c r="AB149" s="357">
        <v>321</v>
      </c>
    </row>
    <row r="150" spans="1:34" ht="12.6" customHeight="1" x14ac:dyDescent="0.2">
      <c r="A150" s="17"/>
      <c r="B150" s="980" t="s">
        <v>490</v>
      </c>
      <c r="C150" s="981"/>
      <c r="D150" s="981"/>
      <c r="E150" s="981"/>
      <c r="F150" s="256"/>
      <c r="G150" s="256"/>
      <c r="H150" s="264"/>
      <c r="I150" s="256"/>
      <c r="J150" s="546">
        <f>F148+440</f>
        <v>1737</v>
      </c>
      <c r="K150" s="256">
        <f t="shared" si="333"/>
        <v>1737</v>
      </c>
      <c r="L150" s="546">
        <f>F148+385</f>
        <v>1682</v>
      </c>
      <c r="M150" s="256">
        <f>+L150*$X$1</f>
        <v>1682</v>
      </c>
      <c r="N150" s="546">
        <f>F148+330</f>
        <v>1627</v>
      </c>
      <c r="O150" s="256">
        <f>+N150*$X$1</f>
        <v>1627</v>
      </c>
      <c r="P150" s="546">
        <f>F148+286</f>
        <v>1583</v>
      </c>
      <c r="Q150" s="256">
        <f t="shared" si="334"/>
        <v>1583</v>
      </c>
      <c r="R150" s="546">
        <f>F148+264</f>
        <v>1561</v>
      </c>
      <c r="S150" s="256">
        <f>+R150*$X$1</f>
        <v>1561</v>
      </c>
      <c r="T150" s="546">
        <f>F148+242</f>
        <v>1539</v>
      </c>
      <c r="U150" s="256">
        <f t="shared" si="335"/>
        <v>1539</v>
      </c>
      <c r="V150" s="546">
        <f>F148+220</f>
        <v>1517</v>
      </c>
      <c r="W150" s="256">
        <f>+V150*$X$1</f>
        <v>1517</v>
      </c>
      <c r="X150" s="964"/>
      <c r="Y150" s="965"/>
      <c r="Z150" s="965"/>
      <c r="AA150" s="966"/>
      <c r="AB150" s="357">
        <v>322</v>
      </c>
    </row>
    <row r="151" spans="1:34" ht="12.6" customHeight="1" x14ac:dyDescent="0.2">
      <c r="A151" s="17"/>
      <c r="B151" s="928" t="s">
        <v>300</v>
      </c>
      <c r="C151" s="970"/>
      <c r="D151" s="970"/>
      <c r="E151" s="970"/>
      <c r="F151" s="255">
        <v>1435</v>
      </c>
      <c r="G151" s="276">
        <f>+F151*$X$1</f>
        <v>1435</v>
      </c>
      <c r="H151" s="397" t="s">
        <v>161</v>
      </c>
      <c r="I151" s="523"/>
      <c r="J151" s="524"/>
      <c r="K151" s="524"/>
      <c r="L151" s="524"/>
      <c r="M151" s="524"/>
      <c r="N151" s="524"/>
      <c r="O151" s="524"/>
      <c r="P151" s="77">
        <v>130</v>
      </c>
      <c r="Q151" s="246">
        <f>+P151*$X$1</f>
        <v>130</v>
      </c>
      <c r="R151" s="279"/>
      <c r="S151" s="302"/>
      <c r="T151" s="525"/>
      <c r="U151" s="526"/>
      <c r="V151" s="79"/>
      <c r="W151" s="450"/>
      <c r="X151" s="964"/>
      <c r="Y151" s="965"/>
      <c r="Z151" s="965"/>
      <c r="AA151" s="966"/>
      <c r="AB151" s="360"/>
    </row>
    <row r="152" spans="1:34" ht="12.6" customHeight="1" x14ac:dyDescent="0.2">
      <c r="A152" s="17"/>
      <c r="B152" s="642" t="s">
        <v>162</v>
      </c>
      <c r="C152" s="643"/>
      <c r="D152" s="643"/>
      <c r="E152" s="643"/>
      <c r="F152" s="258">
        <v>1585</v>
      </c>
      <c r="G152" s="308">
        <f>+F152*$X$1</f>
        <v>1585</v>
      </c>
      <c r="H152" s="240" t="s">
        <v>161</v>
      </c>
      <c r="I152" s="527"/>
      <c r="J152" s="524"/>
      <c r="K152" s="524"/>
      <c r="L152" s="524"/>
      <c r="M152" s="524"/>
      <c r="N152" s="524"/>
      <c r="O152" s="524"/>
      <c r="P152" s="77">
        <v>130</v>
      </c>
      <c r="Q152" s="180">
        <f>+P152*$X$1</f>
        <v>130</v>
      </c>
      <c r="R152" s="254"/>
      <c r="S152" s="303"/>
      <c r="T152" s="528"/>
      <c r="U152" s="529"/>
      <c r="V152" s="82"/>
      <c r="W152" s="280"/>
      <c r="X152" s="964"/>
      <c r="Y152" s="965"/>
      <c r="Z152" s="965"/>
      <c r="AA152" s="966"/>
      <c r="AB152" s="360"/>
    </row>
    <row r="153" spans="1:34" ht="12.6" customHeight="1" x14ac:dyDescent="0.2">
      <c r="A153" s="17"/>
      <c r="B153" s="630" t="s">
        <v>750</v>
      </c>
      <c r="C153" s="631"/>
      <c r="D153" s="631"/>
      <c r="E153" s="631"/>
      <c r="F153" s="305"/>
      <c r="G153" s="305"/>
      <c r="H153" s="251"/>
      <c r="I153" s="302"/>
      <c r="J153" s="537">
        <f>F152+380</f>
        <v>1965</v>
      </c>
      <c r="K153" s="255">
        <f t="shared" ref="K153:K154" si="336">+J153*$X$1</f>
        <v>1965</v>
      </c>
      <c r="L153" s="537">
        <f>F152+330</f>
        <v>1915</v>
      </c>
      <c r="M153" s="255">
        <f>+L153*$X$1</f>
        <v>1915</v>
      </c>
      <c r="N153" s="537">
        <f>F152+275</f>
        <v>1860</v>
      </c>
      <c r="O153" s="255">
        <f>+N153*$X$1</f>
        <v>1860</v>
      </c>
      <c r="P153" s="537">
        <f>F152+260</f>
        <v>1845</v>
      </c>
      <c r="Q153" s="255">
        <f t="shared" ref="Q153:Q154" si="337">+P153*$X$1</f>
        <v>1845</v>
      </c>
      <c r="R153" s="537">
        <f>F152+240</f>
        <v>1825</v>
      </c>
      <c r="S153" s="255">
        <f>+R153*$X$1</f>
        <v>1825</v>
      </c>
      <c r="T153" s="537">
        <f>F152+190</f>
        <v>1775</v>
      </c>
      <c r="U153" s="255">
        <f t="shared" ref="U153:U154" si="338">+T153*$X$1</f>
        <v>1775</v>
      </c>
      <c r="V153" s="537">
        <f>F152+170</f>
        <v>1755</v>
      </c>
      <c r="W153" s="255">
        <f>+V153*$X$1</f>
        <v>1755</v>
      </c>
      <c r="X153" s="964"/>
      <c r="Y153" s="965"/>
      <c r="Z153" s="965"/>
      <c r="AA153" s="966"/>
      <c r="AB153" s="357">
        <v>325</v>
      </c>
    </row>
    <row r="154" spans="1:34" ht="12.6" customHeight="1" x14ac:dyDescent="0.2">
      <c r="A154" s="17"/>
      <c r="B154" s="642" t="s">
        <v>489</v>
      </c>
      <c r="C154" s="643"/>
      <c r="D154" s="643"/>
      <c r="E154" s="643"/>
      <c r="F154" s="304"/>
      <c r="G154" s="304"/>
      <c r="H154" s="250"/>
      <c r="I154" s="303"/>
      <c r="J154" s="546">
        <f>F152+440</f>
        <v>2025</v>
      </c>
      <c r="K154" s="256">
        <f t="shared" si="336"/>
        <v>2025</v>
      </c>
      <c r="L154" s="546">
        <f>F152+385</f>
        <v>1970</v>
      </c>
      <c r="M154" s="256">
        <f>+L154*$X$1</f>
        <v>1970</v>
      </c>
      <c r="N154" s="546">
        <f>F152+330</f>
        <v>1915</v>
      </c>
      <c r="O154" s="256">
        <f>+N154*$X$1</f>
        <v>1915</v>
      </c>
      <c r="P154" s="546">
        <f>F152+286</f>
        <v>1871</v>
      </c>
      <c r="Q154" s="256">
        <f t="shared" si="337"/>
        <v>1871</v>
      </c>
      <c r="R154" s="546">
        <f>F152+264</f>
        <v>1849</v>
      </c>
      <c r="S154" s="256">
        <f>+R154*$X$1</f>
        <v>1849</v>
      </c>
      <c r="T154" s="546">
        <f>F152+242</f>
        <v>1827</v>
      </c>
      <c r="U154" s="256">
        <f t="shared" si="338"/>
        <v>1827</v>
      </c>
      <c r="V154" s="546">
        <f>F152+220</f>
        <v>1805</v>
      </c>
      <c r="W154" s="256">
        <f>+V154*$X$1</f>
        <v>1805</v>
      </c>
      <c r="X154" s="964"/>
      <c r="Y154" s="965"/>
      <c r="Z154" s="965"/>
      <c r="AA154" s="966"/>
      <c r="AB154" s="357">
        <v>326</v>
      </c>
    </row>
    <row r="155" spans="1:34" ht="12.6" customHeight="1" x14ac:dyDescent="0.2">
      <c r="A155" s="17"/>
      <c r="B155" s="630" t="s">
        <v>316</v>
      </c>
      <c r="C155" s="631"/>
      <c r="D155" s="631"/>
      <c r="E155" s="631"/>
      <c r="F155" s="326">
        <f>8.34*X2</f>
        <v>12843.6</v>
      </c>
      <c r="G155" s="255">
        <f>+F155*$X$1</f>
        <v>12843.6</v>
      </c>
      <c r="H155" s="537">
        <f>F155+600</f>
        <v>13443.6</v>
      </c>
      <c r="I155" s="255">
        <f>+H155*$X$1</f>
        <v>13443.6</v>
      </c>
      <c r="J155" s="537">
        <f>F155+200</f>
        <v>13043.6</v>
      </c>
      <c r="K155" s="255">
        <f>+J155*$X$1</f>
        <v>13043.6</v>
      </c>
      <c r="L155" s="537">
        <f>F155+150</f>
        <v>12993.6</v>
      </c>
      <c r="M155" s="255">
        <f>+L155*$X$1</f>
        <v>12993.6</v>
      </c>
      <c r="N155" s="537">
        <f>F155+100</f>
        <v>12943.6</v>
      </c>
      <c r="O155" s="255">
        <f>+N155*$X$1</f>
        <v>12943.6</v>
      </c>
      <c r="P155" s="537">
        <f>F155+90</f>
        <v>12933.6</v>
      </c>
      <c r="Q155" s="255">
        <f>+P155*$X$1</f>
        <v>12933.6</v>
      </c>
      <c r="R155" s="537">
        <f>F155+70</f>
        <v>12913.6</v>
      </c>
      <c r="S155" s="255">
        <f>+R155*$X$1</f>
        <v>12913.6</v>
      </c>
      <c r="T155" s="537">
        <f>F155+56</f>
        <v>12899.6</v>
      </c>
      <c r="U155" s="255">
        <f>+T155*$X$1</f>
        <v>12899.6</v>
      </c>
      <c r="V155" s="537">
        <f>F155+49</f>
        <v>12892.6</v>
      </c>
      <c r="W155" s="255">
        <f>+V155*$X$1</f>
        <v>12892.6</v>
      </c>
      <c r="X155" s="627"/>
      <c r="Y155" s="634"/>
      <c r="Z155" s="634"/>
      <c r="AA155" s="629"/>
      <c r="AB155" s="178">
        <v>332</v>
      </c>
    </row>
    <row r="156" spans="1:34" ht="12.75" customHeight="1" x14ac:dyDescent="0.2">
      <c r="A156" s="17"/>
      <c r="B156" s="3"/>
      <c r="C156" s="3"/>
      <c r="D156" s="3"/>
      <c r="E156" s="3"/>
      <c r="F156" s="116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7"/>
      <c r="B157" s="3"/>
      <c r="C157" s="3"/>
      <c r="D157" s="3"/>
      <c r="E157" s="62"/>
      <c r="F157" s="116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2.75" customHeight="1" x14ac:dyDescent="0.2">
      <c r="A158" s="17"/>
      <c r="B158" s="3"/>
      <c r="C158" s="3"/>
      <c r="D158" s="3"/>
      <c r="E158" s="3"/>
      <c r="F158" s="89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7"/>
      <c r="W158" s="7"/>
      <c r="Y158" s="4"/>
      <c r="Z158" s="4"/>
      <c r="AA158" s="4"/>
      <c r="AB158" s="4"/>
      <c r="AC158" s="4"/>
      <c r="AD158" s="4"/>
    </row>
    <row r="159" spans="1:34" ht="14.25" customHeight="1" x14ac:dyDescent="0.2">
      <c r="A159" s="17"/>
      <c r="B159" s="729" t="s">
        <v>11</v>
      </c>
      <c r="C159" s="688" t="s">
        <v>12</v>
      </c>
      <c r="D159" s="689"/>
      <c r="E159" s="689"/>
      <c r="F159" s="644" t="s">
        <v>13</v>
      </c>
      <c r="G159" s="644" t="s">
        <v>13</v>
      </c>
      <c r="H159" s="632" t="s">
        <v>726</v>
      </c>
      <c r="I159" s="632"/>
      <c r="J159" s="633"/>
      <c r="K159" s="633"/>
      <c r="L159" s="633"/>
      <c r="M159" s="633"/>
      <c r="N159" s="633"/>
      <c r="O159" s="633"/>
      <c r="P159" s="633"/>
      <c r="Q159" s="633"/>
      <c r="R159" s="633"/>
      <c r="S159" s="633"/>
      <c r="T159" s="633"/>
      <c r="U159" s="633"/>
      <c r="V159" s="633"/>
      <c r="W159" s="633"/>
      <c r="X159" s="658" t="s">
        <v>14</v>
      </c>
      <c r="Y159" s="659"/>
      <c r="Z159" s="659"/>
      <c r="AA159" s="660"/>
      <c r="AB159" s="760" t="s">
        <v>15</v>
      </c>
      <c r="AF159" s="748" t="s">
        <v>3</v>
      </c>
      <c r="AG159" s="749"/>
      <c r="AH159" s="749"/>
    </row>
    <row r="160" spans="1:34" ht="12.6" customHeight="1" x14ac:dyDescent="0.2">
      <c r="A160" s="17"/>
      <c r="B160" s="729"/>
      <c r="C160" s="689"/>
      <c r="D160" s="689"/>
      <c r="E160" s="689"/>
      <c r="F160" s="645"/>
      <c r="G160" s="645"/>
      <c r="H160" s="407"/>
      <c r="I160" s="405" t="s">
        <v>261</v>
      </c>
      <c r="J160" s="407"/>
      <c r="K160" s="405" t="s">
        <v>17</v>
      </c>
      <c r="L160" s="408"/>
      <c r="M160" s="408" t="s">
        <v>18</v>
      </c>
      <c r="N160" s="408"/>
      <c r="O160" s="405" t="s">
        <v>19</v>
      </c>
      <c r="P160" s="408"/>
      <c r="Q160" s="408" t="s">
        <v>262</v>
      </c>
      <c r="R160" s="408"/>
      <c r="S160" s="408" t="s">
        <v>20</v>
      </c>
      <c r="T160" s="408"/>
      <c r="U160" s="408" t="s">
        <v>21</v>
      </c>
      <c r="V160" s="408"/>
      <c r="W160" s="408" t="s">
        <v>22</v>
      </c>
      <c r="X160" s="661"/>
      <c r="Y160" s="662"/>
      <c r="Z160" s="662"/>
      <c r="AA160" s="663"/>
      <c r="AB160" s="761"/>
      <c r="AG160" s="31"/>
    </row>
    <row r="161" spans="1:38" ht="12.6" customHeight="1" x14ac:dyDescent="0.2">
      <c r="A161" s="19"/>
      <c r="B161" s="1178" t="s">
        <v>163</v>
      </c>
      <c r="C161" s="1179"/>
      <c r="D161" s="1179"/>
      <c r="E161" s="1179"/>
      <c r="F161" s="255">
        <v>530</v>
      </c>
      <c r="G161" s="255">
        <f t="shared" ref="G161" si="339">+F161*$X$1</f>
        <v>530</v>
      </c>
      <c r="H161" s="1180"/>
      <c r="I161" s="1180"/>
      <c r="J161" s="537">
        <f>F161+400</f>
        <v>930</v>
      </c>
      <c r="K161" s="255">
        <f t="shared" ref="K161" si="340">+J161*$X$1</f>
        <v>930</v>
      </c>
      <c r="L161" s="537">
        <f>F161+360</f>
        <v>890</v>
      </c>
      <c r="M161" s="255">
        <f>+L161*$X$1</f>
        <v>890</v>
      </c>
      <c r="N161" s="537">
        <f>F161+340</f>
        <v>870</v>
      </c>
      <c r="O161" s="255">
        <f>+N161*$X$1</f>
        <v>870</v>
      </c>
      <c r="P161" s="537">
        <f>F161+300</f>
        <v>830</v>
      </c>
      <c r="Q161" s="255">
        <f t="shared" ref="Q161" si="341">+P161*$X$1</f>
        <v>830</v>
      </c>
      <c r="R161" s="537">
        <f>F161+260</f>
        <v>790</v>
      </c>
      <c r="S161" s="255">
        <f>+R161*$X$1</f>
        <v>790</v>
      </c>
      <c r="T161" s="537"/>
      <c r="U161" s="255"/>
      <c r="V161" s="537"/>
      <c r="W161" s="255"/>
      <c r="X161" s="135"/>
      <c r="Y161" s="135"/>
      <c r="Z161" s="135"/>
      <c r="AA161" s="135"/>
      <c r="AB161" s="178">
        <v>347</v>
      </c>
    </row>
    <row r="162" spans="1:38" ht="12.6" customHeight="1" x14ac:dyDescent="0.25">
      <c r="A162" s="19"/>
      <c r="B162" s="642" t="s">
        <v>570</v>
      </c>
      <c r="C162" s="643"/>
      <c r="D162" s="643"/>
      <c r="E162" s="643"/>
      <c r="F162" s="262"/>
      <c r="G162" s="622"/>
      <c r="H162" s="546">
        <v>6200</v>
      </c>
      <c r="I162" s="256">
        <f t="shared" ref="I162:W166" si="342">+H162*$X$1</f>
        <v>6200</v>
      </c>
      <c r="J162" s="546">
        <v>5870</v>
      </c>
      <c r="K162" s="256">
        <f t="shared" si="342"/>
        <v>5870</v>
      </c>
      <c r="L162" s="260">
        <v>5811</v>
      </c>
      <c r="M162" s="256">
        <f t="shared" si="342"/>
        <v>5811</v>
      </c>
      <c r="N162" s="593">
        <v>5780</v>
      </c>
      <c r="O162" s="256">
        <f t="shared" si="342"/>
        <v>5780</v>
      </c>
      <c r="P162" s="260">
        <v>5684</v>
      </c>
      <c r="Q162" s="256">
        <f t="shared" si="342"/>
        <v>5684</v>
      </c>
      <c r="R162" s="546">
        <v>5460</v>
      </c>
      <c r="S162" s="256">
        <f t="shared" si="342"/>
        <v>5460</v>
      </c>
      <c r="T162" s="546">
        <v>5238</v>
      </c>
      <c r="U162" s="256">
        <f t="shared" si="342"/>
        <v>5238</v>
      </c>
      <c r="V162" s="546">
        <v>4825</v>
      </c>
      <c r="W162" s="256">
        <f t="shared" si="342"/>
        <v>4825</v>
      </c>
      <c r="X162" s="135"/>
      <c r="Y162" s="135"/>
      <c r="Z162" s="135"/>
      <c r="AA162" s="135"/>
      <c r="AB162" s="178">
        <v>348</v>
      </c>
    </row>
    <row r="163" spans="1:38" ht="12.6" customHeight="1" x14ac:dyDescent="0.25">
      <c r="A163" s="19"/>
      <c r="B163" s="630" t="s">
        <v>164</v>
      </c>
      <c r="C163" s="631"/>
      <c r="D163" s="631"/>
      <c r="E163" s="631"/>
      <c r="F163" s="263"/>
      <c r="G163" s="591"/>
      <c r="H163" s="537">
        <v>6200</v>
      </c>
      <c r="I163" s="255">
        <f t="shared" ref="I163" si="343">+H163*$X$1</f>
        <v>6200</v>
      </c>
      <c r="J163" s="537">
        <v>5870</v>
      </c>
      <c r="K163" s="255">
        <f t="shared" ref="K163" si="344">+J163*$X$1</f>
        <v>5870</v>
      </c>
      <c r="L163" s="261">
        <v>5811</v>
      </c>
      <c r="M163" s="255">
        <f t="shared" ref="M163" si="345">+L163*$X$1</f>
        <v>5811</v>
      </c>
      <c r="N163" s="592">
        <v>5780</v>
      </c>
      <c r="O163" s="255">
        <f t="shared" ref="O163" si="346">+N163*$X$1</f>
        <v>5780</v>
      </c>
      <c r="P163" s="261">
        <v>5684</v>
      </c>
      <c r="Q163" s="255">
        <f t="shared" ref="Q163" si="347">+P163*$X$1</f>
        <v>5684</v>
      </c>
      <c r="R163" s="537">
        <v>5460</v>
      </c>
      <c r="S163" s="255">
        <f t="shared" ref="S163" si="348">+R163*$X$1</f>
        <v>5460</v>
      </c>
      <c r="T163" s="537">
        <v>5238</v>
      </c>
      <c r="U163" s="255">
        <f t="shared" ref="U163" si="349">+T163*$X$1</f>
        <v>5238</v>
      </c>
      <c r="V163" s="537">
        <v>4825</v>
      </c>
      <c r="W163" s="255">
        <f t="shared" ref="W163" si="350">+V163*$X$1</f>
        <v>4825</v>
      </c>
      <c r="X163" s="135"/>
      <c r="Y163" s="135"/>
      <c r="Z163" s="135"/>
      <c r="AA163" s="135"/>
      <c r="AB163" s="178">
        <v>349</v>
      </c>
    </row>
    <row r="164" spans="1:38" ht="12.6" customHeight="1" x14ac:dyDescent="0.25">
      <c r="A164" s="19"/>
      <c r="B164" s="642" t="s">
        <v>165</v>
      </c>
      <c r="C164" s="643"/>
      <c r="D164" s="643"/>
      <c r="E164" s="643"/>
      <c r="F164" s="262"/>
      <c r="G164" s="622"/>
      <c r="H164" s="546">
        <v>5600</v>
      </c>
      <c r="I164" s="256">
        <f t="shared" si="342"/>
        <v>5600</v>
      </c>
      <c r="J164" s="546">
        <v>5250</v>
      </c>
      <c r="K164" s="256">
        <f t="shared" si="342"/>
        <v>5250</v>
      </c>
      <c r="L164" s="260">
        <v>5220</v>
      </c>
      <c r="M164" s="256">
        <f t="shared" si="342"/>
        <v>5220</v>
      </c>
      <c r="N164" s="593">
        <v>5140</v>
      </c>
      <c r="O164" s="256">
        <f t="shared" si="342"/>
        <v>5140</v>
      </c>
      <c r="P164" s="260">
        <v>4900</v>
      </c>
      <c r="Q164" s="256">
        <f t="shared" si="342"/>
        <v>4900</v>
      </c>
      <c r="R164" s="546">
        <v>4680</v>
      </c>
      <c r="S164" s="256">
        <f t="shared" si="342"/>
        <v>4680</v>
      </c>
      <c r="T164" s="546">
        <v>4560</v>
      </c>
      <c r="U164" s="256">
        <f t="shared" si="342"/>
        <v>4560</v>
      </c>
      <c r="V164" s="546">
        <v>4439</v>
      </c>
      <c r="W164" s="256">
        <f t="shared" si="342"/>
        <v>4439</v>
      </c>
      <c r="X164" s="135"/>
      <c r="Y164" s="135"/>
      <c r="Z164" s="135"/>
      <c r="AA164" s="135"/>
      <c r="AB164" s="178">
        <v>350</v>
      </c>
    </row>
    <row r="165" spans="1:38" ht="12.6" customHeight="1" x14ac:dyDescent="0.25">
      <c r="A165" s="19"/>
      <c r="B165" s="630" t="s">
        <v>166</v>
      </c>
      <c r="C165" s="631"/>
      <c r="D165" s="631"/>
      <c r="E165" s="631"/>
      <c r="F165" s="263"/>
      <c r="G165" s="591"/>
      <c r="H165" s="537">
        <v>6200</v>
      </c>
      <c r="I165" s="255">
        <f t="shared" ref="I165" si="351">+H165*$X$1</f>
        <v>6200</v>
      </c>
      <c r="J165" s="537">
        <v>5870</v>
      </c>
      <c r="K165" s="255">
        <f t="shared" ref="K165" si="352">+J165*$X$1</f>
        <v>5870</v>
      </c>
      <c r="L165" s="261">
        <v>5811</v>
      </c>
      <c r="M165" s="255">
        <f t="shared" ref="M165" si="353">+L165*$X$1</f>
        <v>5811</v>
      </c>
      <c r="N165" s="592">
        <v>5780</v>
      </c>
      <c r="O165" s="255">
        <f t="shared" ref="O165" si="354">+N165*$X$1</f>
        <v>5780</v>
      </c>
      <c r="P165" s="261">
        <v>5684</v>
      </c>
      <c r="Q165" s="255">
        <f t="shared" ref="Q165" si="355">+P165*$X$1</f>
        <v>5684</v>
      </c>
      <c r="R165" s="537">
        <v>5460</v>
      </c>
      <c r="S165" s="255">
        <f t="shared" ref="S165" si="356">+R165*$X$1</f>
        <v>5460</v>
      </c>
      <c r="T165" s="537">
        <v>5238</v>
      </c>
      <c r="U165" s="255">
        <f t="shared" ref="U165" si="357">+T165*$X$1</f>
        <v>5238</v>
      </c>
      <c r="V165" s="537">
        <v>4825</v>
      </c>
      <c r="W165" s="255">
        <f t="shared" ref="W165" si="358">+V165*$X$1</f>
        <v>4825</v>
      </c>
      <c r="X165" s="135"/>
      <c r="Y165" s="135"/>
      <c r="Z165" s="135"/>
      <c r="AA165" s="135"/>
      <c r="AB165" s="178">
        <v>351</v>
      </c>
    </row>
    <row r="166" spans="1:38" ht="12.6" customHeight="1" x14ac:dyDescent="0.25">
      <c r="A166" s="19"/>
      <c r="B166" s="642" t="s">
        <v>167</v>
      </c>
      <c r="C166" s="643"/>
      <c r="D166" s="643"/>
      <c r="E166" s="643"/>
      <c r="F166" s="262"/>
      <c r="G166" s="622"/>
      <c r="H166" s="546">
        <v>10200</v>
      </c>
      <c r="I166" s="256">
        <f t="shared" ref="I166" si="359">+H166*$X$1</f>
        <v>10200</v>
      </c>
      <c r="J166" s="546">
        <v>9600</v>
      </c>
      <c r="K166" s="256">
        <f t="shared" ref="K166" si="360">+J166*$X$1</f>
        <v>9600</v>
      </c>
      <c r="L166" s="95">
        <v>9500</v>
      </c>
      <c r="M166" s="256">
        <f t="shared" ref="M166" si="361">+L166*$X$1</f>
        <v>9500</v>
      </c>
      <c r="N166" s="92">
        <v>9300</v>
      </c>
      <c r="O166" s="256">
        <f t="shared" si="342"/>
        <v>9300</v>
      </c>
      <c r="P166" s="260">
        <v>8970</v>
      </c>
      <c r="Q166" s="256">
        <f t="shared" ref="Q166" si="362">+P166*$X$1</f>
        <v>8970</v>
      </c>
      <c r="R166" s="546">
        <v>8670</v>
      </c>
      <c r="S166" s="256">
        <f t="shared" ref="S166" si="363">+R166*$X$1</f>
        <v>8670</v>
      </c>
      <c r="T166" s="92">
        <v>8350</v>
      </c>
      <c r="U166" s="256">
        <f t="shared" ref="U166" si="364">+T166*$X$1</f>
        <v>8350</v>
      </c>
      <c r="V166" s="92">
        <v>7954</v>
      </c>
      <c r="W166" s="256">
        <f t="shared" ref="W166" si="365">+V166*$X$1</f>
        <v>7954</v>
      </c>
      <c r="X166" s="135"/>
      <c r="Y166" s="135"/>
      <c r="Z166" s="135"/>
      <c r="AA166" s="135"/>
      <c r="AB166" s="178">
        <v>352</v>
      </c>
    </row>
    <row r="167" spans="1:38" ht="12.6" customHeight="1" x14ac:dyDescent="0.25">
      <c r="A167" s="19"/>
      <c r="B167" s="690" t="s">
        <v>1025</v>
      </c>
      <c r="C167" s="900"/>
      <c r="D167" s="900"/>
      <c r="E167" s="900"/>
      <c r="F167" s="263"/>
      <c r="G167" s="591"/>
      <c r="H167" s="537">
        <v>14900</v>
      </c>
      <c r="I167" s="255">
        <f t="shared" ref="I167" si="366">+H167*$X$1</f>
        <v>14900</v>
      </c>
      <c r="J167" s="537">
        <v>14130</v>
      </c>
      <c r="K167" s="255">
        <f t="shared" ref="K167" si="367">+J167*$X$1</f>
        <v>14130</v>
      </c>
      <c r="L167" s="261">
        <v>13987</v>
      </c>
      <c r="M167" s="255">
        <f t="shared" ref="M167:M168" si="368">+L167*$X$1</f>
        <v>13987</v>
      </c>
      <c r="N167" s="93">
        <v>13916</v>
      </c>
      <c r="O167" s="255">
        <f t="shared" ref="O167:O168" si="369">+N167*$X$1</f>
        <v>13916</v>
      </c>
      <c r="P167" s="261">
        <v>13720</v>
      </c>
      <c r="Q167" s="255">
        <f t="shared" ref="Q167:Q168" si="370">+P167*$X$1</f>
        <v>13720</v>
      </c>
      <c r="R167" s="537">
        <v>13650</v>
      </c>
      <c r="S167" s="255">
        <f t="shared" ref="S167:S168" si="371">+R167*$X$1</f>
        <v>13650</v>
      </c>
      <c r="T167" s="93">
        <v>13580</v>
      </c>
      <c r="U167" s="255">
        <f t="shared" ref="U167:U168" si="372">+T167*$X$1</f>
        <v>13580</v>
      </c>
      <c r="V167" s="93">
        <v>13124</v>
      </c>
      <c r="W167" s="255">
        <f t="shared" ref="W167:W168" si="373">+V167*$X$1</f>
        <v>13124</v>
      </c>
      <c r="X167" s="135"/>
      <c r="Y167" s="135"/>
      <c r="Z167" s="135"/>
      <c r="AA167" s="135"/>
      <c r="AB167" s="178">
        <v>352</v>
      </c>
    </row>
    <row r="168" spans="1:38" ht="12.6" customHeight="1" x14ac:dyDescent="0.2">
      <c r="A168" s="19"/>
      <c r="B168" s="639" t="s">
        <v>333</v>
      </c>
      <c r="C168" s="649"/>
      <c r="D168" s="649"/>
      <c r="E168" s="650"/>
      <c r="F168" s="328">
        <f>0.41*X2</f>
        <v>631.4</v>
      </c>
      <c r="G168" s="269">
        <f t="shared" ref="G168" si="374">+F168*$X$1</f>
        <v>631.4</v>
      </c>
      <c r="H168" s="546"/>
      <c r="I168" s="256"/>
      <c r="J168" s="82"/>
      <c r="K168" s="256"/>
      <c r="L168" s="546">
        <f>F168+210</f>
        <v>841.4</v>
      </c>
      <c r="M168" s="256">
        <f t="shared" si="368"/>
        <v>841.4</v>
      </c>
      <c r="N168" s="546">
        <f>F168+160</f>
        <v>791.4</v>
      </c>
      <c r="O168" s="256">
        <f t="shared" si="369"/>
        <v>791.4</v>
      </c>
      <c r="P168" s="546">
        <f>F168+130</f>
        <v>761.4</v>
      </c>
      <c r="Q168" s="256">
        <f t="shared" si="370"/>
        <v>761.4</v>
      </c>
      <c r="R168" s="546">
        <f>F168+110</f>
        <v>741.4</v>
      </c>
      <c r="S168" s="256">
        <f t="shared" si="371"/>
        <v>741.4</v>
      </c>
      <c r="T168" s="546">
        <f>F168+90</f>
        <v>721.4</v>
      </c>
      <c r="U168" s="256">
        <f t="shared" si="372"/>
        <v>721.4</v>
      </c>
      <c r="V168" s="546">
        <f>F168+70</f>
        <v>701.4</v>
      </c>
      <c r="W168" s="256">
        <f t="shared" si="373"/>
        <v>701.4</v>
      </c>
      <c r="X168" s="646"/>
      <c r="Y168" s="945"/>
      <c r="Z168" s="945"/>
      <c r="AA168" s="946"/>
      <c r="AB168" s="178">
        <v>370</v>
      </c>
    </row>
    <row r="169" spans="1:38" ht="12.6" customHeight="1" x14ac:dyDescent="0.2">
      <c r="A169" s="19"/>
      <c r="B169" s="971" t="s">
        <v>493</v>
      </c>
      <c r="C169" s="902"/>
      <c r="D169" s="902"/>
      <c r="E169" s="903"/>
      <c r="F169" s="444">
        <v>890</v>
      </c>
      <c r="G169" s="234">
        <f t="shared" ref="G169" si="375">+F169*$X$1</f>
        <v>890</v>
      </c>
      <c r="H169" s="537"/>
      <c r="I169" s="255"/>
      <c r="J169" s="68">
        <f>F169+280</f>
        <v>1170</v>
      </c>
      <c r="K169" s="255">
        <f t="shared" ref="K169" si="376">+J169*$X$1</f>
        <v>1170</v>
      </c>
      <c r="L169" s="537">
        <f>F169+210</f>
        <v>1100</v>
      </c>
      <c r="M169" s="255">
        <f t="shared" ref="M169" si="377">+L169*$X$1</f>
        <v>1100</v>
      </c>
      <c r="N169" s="537">
        <f>F169+160</f>
        <v>1050</v>
      </c>
      <c r="O169" s="255">
        <f t="shared" ref="O169" si="378">+N169*$X$1</f>
        <v>1050</v>
      </c>
      <c r="P169" s="537">
        <f>F169+130</f>
        <v>1020</v>
      </c>
      <c r="Q169" s="255">
        <f t="shared" ref="Q169" si="379">+P169*$X$1</f>
        <v>1020</v>
      </c>
      <c r="R169" s="537">
        <f>F169+110</f>
        <v>1000</v>
      </c>
      <c r="S169" s="255">
        <f t="shared" ref="S169" si="380">+R169*$X$1</f>
        <v>1000</v>
      </c>
      <c r="T169" s="537">
        <f>F169+90</f>
        <v>980</v>
      </c>
      <c r="U169" s="255">
        <f t="shared" ref="U169" si="381">+T169*$X$1</f>
        <v>980</v>
      </c>
      <c r="V169" s="537">
        <f>F169+70</f>
        <v>960</v>
      </c>
      <c r="W169" s="255">
        <f t="shared" ref="W169" si="382">+V169*$X$1</f>
        <v>960</v>
      </c>
      <c r="X169" s="646"/>
      <c r="Y169" s="945"/>
      <c r="Z169" s="945"/>
      <c r="AA169" s="946"/>
      <c r="AB169" s="346">
        <v>373</v>
      </c>
    </row>
    <row r="170" spans="1:38" ht="12.6" customHeight="1" x14ac:dyDescent="0.2">
      <c r="A170" s="19"/>
      <c r="B170" s="639" t="s">
        <v>168</v>
      </c>
      <c r="C170" s="649"/>
      <c r="D170" s="649"/>
      <c r="E170" s="650"/>
      <c r="F170" s="327">
        <f>1.36*X2</f>
        <v>2094.4</v>
      </c>
      <c r="G170" s="269">
        <f>+F170*$X$1</f>
        <v>2094.4</v>
      </c>
      <c r="H170" s="546"/>
      <c r="I170" s="256"/>
      <c r="J170" s="82">
        <f>F170+280</f>
        <v>2374.4</v>
      </c>
      <c r="K170" s="256">
        <f t="shared" ref="K170" si="383">+J170*$X$1</f>
        <v>2374.4</v>
      </c>
      <c r="L170" s="546">
        <f>F170+210</f>
        <v>2304.4</v>
      </c>
      <c r="M170" s="256">
        <f t="shared" ref="M170" si="384">+L170*$X$1</f>
        <v>2304.4</v>
      </c>
      <c r="N170" s="546">
        <f>F170+160</f>
        <v>2254.4</v>
      </c>
      <c r="O170" s="256">
        <f t="shared" ref="O170" si="385">+N170*$X$1</f>
        <v>2254.4</v>
      </c>
      <c r="P170" s="546">
        <f>F170+130</f>
        <v>2224.4</v>
      </c>
      <c r="Q170" s="256">
        <f t="shared" ref="Q170" si="386">+P170*$X$1</f>
        <v>2224.4</v>
      </c>
      <c r="R170" s="546">
        <f>F170+110</f>
        <v>2204.4</v>
      </c>
      <c r="S170" s="256">
        <f t="shared" ref="S170" si="387">+R170*$X$1</f>
        <v>2204.4</v>
      </c>
      <c r="T170" s="546">
        <f>F170+90</f>
        <v>2184.4</v>
      </c>
      <c r="U170" s="256">
        <f t="shared" ref="U170" si="388">+T170*$X$1</f>
        <v>2184.4</v>
      </c>
      <c r="V170" s="546">
        <f>F170+70</f>
        <v>2164.4</v>
      </c>
      <c r="W170" s="256">
        <f t="shared" ref="W170" si="389">+V170*$X$1</f>
        <v>2164.4</v>
      </c>
      <c r="X170" s="646"/>
      <c r="Y170" s="945"/>
      <c r="Z170" s="945"/>
      <c r="AA170" s="946"/>
      <c r="AB170" s="178">
        <v>375</v>
      </c>
    </row>
    <row r="171" spans="1:38" ht="12.6" customHeight="1" x14ac:dyDescent="0.2">
      <c r="A171" s="19"/>
      <c r="B171" s="666" t="s">
        <v>169</v>
      </c>
      <c r="C171" s="684"/>
      <c r="D171" s="684"/>
      <c r="E171" s="685"/>
      <c r="F171" s="326">
        <f>4.67*X2</f>
        <v>7191.8</v>
      </c>
      <c r="G171" s="234">
        <f>+F171*$X$1</f>
        <v>7191.8</v>
      </c>
      <c r="H171" s="537">
        <f>F171+600</f>
        <v>7791.8</v>
      </c>
      <c r="I171" s="255">
        <f t="shared" ref="I171:I178" si="390">+H171*$X$1</f>
        <v>7791.8</v>
      </c>
      <c r="J171" s="537">
        <f>F171+200</f>
        <v>7391.8</v>
      </c>
      <c r="K171" s="255">
        <f t="shared" ref="K171:K178" si="391">+J171*$X$1</f>
        <v>7391.8</v>
      </c>
      <c r="L171" s="537">
        <f>F171+150</f>
        <v>7341.8</v>
      </c>
      <c r="M171" s="255">
        <f t="shared" ref="M171:M178" si="392">+L171*$X$1</f>
        <v>7341.8</v>
      </c>
      <c r="N171" s="537">
        <f>F171+100</f>
        <v>7291.8</v>
      </c>
      <c r="O171" s="255">
        <f>+N171*$X$1</f>
        <v>7291.8</v>
      </c>
      <c r="P171" s="537">
        <f>F171+90</f>
        <v>7281.8</v>
      </c>
      <c r="Q171" s="255">
        <f t="shared" ref="Q171:Q178" si="393">+P171*$X$1</f>
        <v>7281.8</v>
      </c>
      <c r="R171" s="537">
        <f>F171+70</f>
        <v>7261.8</v>
      </c>
      <c r="S171" s="255">
        <f>+R171*$X$1</f>
        <v>7261.8</v>
      </c>
      <c r="T171" s="537">
        <f>F171+56</f>
        <v>7247.8</v>
      </c>
      <c r="U171" s="255">
        <f t="shared" ref="U171:U178" si="394">+T171*$X$1</f>
        <v>7247.8</v>
      </c>
      <c r="V171" s="537">
        <f>F171+49</f>
        <v>7240.8</v>
      </c>
      <c r="W171" s="255">
        <f t="shared" ref="W171:W178" si="395">+V171*$X$1</f>
        <v>7240.8</v>
      </c>
      <c r="X171" s="627"/>
      <c r="Y171" s="634"/>
      <c r="Z171" s="634"/>
      <c r="AA171" s="629"/>
      <c r="AB171" s="178">
        <v>376</v>
      </c>
    </row>
    <row r="172" spans="1:38" s="1" customFormat="1" ht="12.6" customHeight="1" x14ac:dyDescent="0.2">
      <c r="A172" s="18"/>
      <c r="B172" s="639" t="s">
        <v>972</v>
      </c>
      <c r="C172" s="649"/>
      <c r="D172" s="649"/>
      <c r="E172" s="650"/>
      <c r="F172" s="492">
        <f>3.8*X2</f>
        <v>5852</v>
      </c>
      <c r="G172" s="256">
        <f t="shared" ref="G172" si="396">+F172*$X$1</f>
        <v>5852</v>
      </c>
      <c r="H172" s="82">
        <f>F172+500</f>
        <v>6352</v>
      </c>
      <c r="I172" s="256">
        <f t="shared" si="390"/>
        <v>6352</v>
      </c>
      <c r="J172" s="546">
        <f>F172+210</f>
        <v>6062</v>
      </c>
      <c r="K172" s="256">
        <f t="shared" si="391"/>
        <v>6062</v>
      </c>
      <c r="L172" s="546">
        <f>F172+150</f>
        <v>6002</v>
      </c>
      <c r="M172" s="256">
        <f t="shared" si="392"/>
        <v>6002</v>
      </c>
      <c r="N172" s="546">
        <f>F172+120</f>
        <v>5972</v>
      </c>
      <c r="O172" s="256">
        <f t="shared" ref="O172:O178" si="397">+N172*$X$1</f>
        <v>5972</v>
      </c>
      <c r="P172" s="546">
        <f>F172+95</f>
        <v>5947</v>
      </c>
      <c r="Q172" s="256">
        <f t="shared" si="393"/>
        <v>5947</v>
      </c>
      <c r="R172" s="546">
        <f>F172+85</f>
        <v>5937</v>
      </c>
      <c r="S172" s="256">
        <f t="shared" ref="S172:S178" si="398">+R172*$X$1</f>
        <v>5937</v>
      </c>
      <c r="T172" s="546">
        <f>F172+77</f>
        <v>5929</v>
      </c>
      <c r="U172" s="256">
        <f t="shared" si="394"/>
        <v>5929</v>
      </c>
      <c r="V172" s="546">
        <f>F172+68</f>
        <v>5920</v>
      </c>
      <c r="W172" s="256">
        <f t="shared" si="395"/>
        <v>5920</v>
      </c>
      <c r="X172" s="557"/>
      <c r="Y172" s="558"/>
      <c r="Z172" s="558"/>
      <c r="AA172" s="559"/>
      <c r="AB172" s="178">
        <v>380</v>
      </c>
      <c r="AC172" s="4"/>
      <c r="AD172" s="4"/>
      <c r="AE172" s="4"/>
      <c r="AF172" s="4"/>
      <c r="AG172" s="4"/>
      <c r="AH172" s="425"/>
      <c r="AI172" s="4"/>
      <c r="AJ172" s="4"/>
      <c r="AK172" s="4"/>
      <c r="AL172" s="4"/>
    </row>
    <row r="173" spans="1:38" ht="12.6" customHeight="1" x14ac:dyDescent="0.2">
      <c r="A173" s="94"/>
      <c r="B173" s="666" t="s">
        <v>836</v>
      </c>
      <c r="C173" s="684"/>
      <c r="D173" s="684"/>
      <c r="E173" s="685"/>
      <c r="F173" s="326">
        <f>2.58*X2</f>
        <v>3973.2000000000003</v>
      </c>
      <c r="G173" s="255">
        <f t="shared" ref="G173" si="399">+F173*$X$1</f>
        <v>3973.2000000000003</v>
      </c>
      <c r="H173" s="537">
        <f t="shared" ref="H173:H179" si="400">F173+700</f>
        <v>4673.2000000000007</v>
      </c>
      <c r="I173" s="255">
        <f t="shared" si="390"/>
        <v>4673.2000000000007</v>
      </c>
      <c r="J173" s="68">
        <f t="shared" ref="J173:J179" si="401">F173+280</f>
        <v>4253.2000000000007</v>
      </c>
      <c r="K173" s="255">
        <f t="shared" si="391"/>
        <v>4253.2000000000007</v>
      </c>
      <c r="L173" s="537">
        <f t="shared" ref="L173:L179" si="402">F173+210</f>
        <v>4183.2000000000007</v>
      </c>
      <c r="M173" s="255">
        <f t="shared" si="392"/>
        <v>4183.2000000000007</v>
      </c>
      <c r="N173" s="537">
        <f t="shared" ref="N173:N179" si="403">F173+160</f>
        <v>4133.2000000000007</v>
      </c>
      <c r="O173" s="255">
        <f t="shared" si="397"/>
        <v>4133.2000000000007</v>
      </c>
      <c r="P173" s="537">
        <f t="shared" ref="P173:P179" si="404">F173+130</f>
        <v>4103.2000000000007</v>
      </c>
      <c r="Q173" s="255">
        <f t="shared" si="393"/>
        <v>4103.2000000000007</v>
      </c>
      <c r="R173" s="537">
        <f t="shared" ref="R173:R179" si="405">F173+110</f>
        <v>4083.2000000000003</v>
      </c>
      <c r="S173" s="255">
        <f t="shared" si="398"/>
        <v>4083.2000000000003</v>
      </c>
      <c r="T173" s="537">
        <f t="shared" ref="T173:T179" si="406">F173+90</f>
        <v>4063.2000000000003</v>
      </c>
      <c r="U173" s="255">
        <f t="shared" si="394"/>
        <v>4063.2000000000003</v>
      </c>
      <c r="V173" s="537">
        <f t="shared" ref="V173:V179" si="407">F173+70</f>
        <v>4043.2000000000003</v>
      </c>
      <c r="W173" s="255">
        <f t="shared" si="395"/>
        <v>4043.2000000000003</v>
      </c>
      <c r="X173" s="646"/>
      <c r="Y173" s="945"/>
      <c r="Z173" s="945"/>
      <c r="AA173" s="946"/>
      <c r="AB173" s="178">
        <v>381</v>
      </c>
    </row>
    <row r="174" spans="1:38" ht="12.6" customHeight="1" x14ac:dyDescent="0.2">
      <c r="A174" s="94"/>
      <c r="B174" s="639" t="s">
        <v>351</v>
      </c>
      <c r="C174" s="649"/>
      <c r="D174" s="649"/>
      <c r="E174" s="650"/>
      <c r="F174" s="327">
        <f>1.71*X2</f>
        <v>2633.4</v>
      </c>
      <c r="G174" s="269">
        <f t="shared" ref="G174:G175" si="408">+F174*$X$1</f>
        <v>2633.4</v>
      </c>
      <c r="H174" s="546">
        <f t="shared" si="400"/>
        <v>3333.4</v>
      </c>
      <c r="I174" s="256">
        <f t="shared" si="390"/>
        <v>3333.4</v>
      </c>
      <c r="J174" s="82">
        <f t="shared" si="401"/>
        <v>2913.4</v>
      </c>
      <c r="K174" s="256">
        <f t="shared" si="391"/>
        <v>2913.4</v>
      </c>
      <c r="L174" s="546">
        <f t="shared" si="402"/>
        <v>2843.4</v>
      </c>
      <c r="M174" s="256">
        <f t="shared" si="392"/>
        <v>2843.4</v>
      </c>
      <c r="N174" s="546">
        <f t="shared" si="403"/>
        <v>2793.4</v>
      </c>
      <c r="O174" s="256">
        <f t="shared" si="397"/>
        <v>2793.4</v>
      </c>
      <c r="P174" s="546">
        <f t="shared" si="404"/>
        <v>2763.4</v>
      </c>
      <c r="Q174" s="256">
        <f t="shared" si="393"/>
        <v>2763.4</v>
      </c>
      <c r="R174" s="546">
        <f t="shared" si="405"/>
        <v>2743.4</v>
      </c>
      <c r="S174" s="256">
        <f t="shared" si="398"/>
        <v>2743.4</v>
      </c>
      <c r="T174" s="546">
        <f t="shared" si="406"/>
        <v>2723.4</v>
      </c>
      <c r="U174" s="256">
        <f t="shared" si="394"/>
        <v>2723.4</v>
      </c>
      <c r="V174" s="546">
        <f t="shared" si="407"/>
        <v>2703.4</v>
      </c>
      <c r="W174" s="256">
        <f t="shared" si="395"/>
        <v>2703.4</v>
      </c>
      <c r="X174" s="646"/>
      <c r="Y174" s="945"/>
      <c r="Z174" s="945"/>
      <c r="AA174" s="946"/>
      <c r="AB174" s="178">
        <v>382</v>
      </c>
    </row>
    <row r="175" spans="1:38" ht="12.6" customHeight="1" x14ac:dyDescent="0.2">
      <c r="A175" s="94"/>
      <c r="B175" s="666" t="s">
        <v>844</v>
      </c>
      <c r="C175" s="684"/>
      <c r="D175" s="684"/>
      <c r="E175" s="685"/>
      <c r="F175" s="326">
        <f>23.6*X2</f>
        <v>36344</v>
      </c>
      <c r="G175" s="255">
        <f t="shared" si="408"/>
        <v>36344</v>
      </c>
      <c r="H175" s="537">
        <f t="shared" si="400"/>
        <v>37044</v>
      </c>
      <c r="I175" s="255">
        <f t="shared" si="390"/>
        <v>37044</v>
      </c>
      <c r="J175" s="68">
        <f t="shared" si="401"/>
        <v>36624</v>
      </c>
      <c r="K175" s="255">
        <f t="shared" si="391"/>
        <v>36624</v>
      </c>
      <c r="L175" s="537">
        <f t="shared" si="402"/>
        <v>36554</v>
      </c>
      <c r="M175" s="255">
        <f t="shared" si="392"/>
        <v>36554</v>
      </c>
      <c r="N175" s="537">
        <f t="shared" si="403"/>
        <v>36504</v>
      </c>
      <c r="O175" s="255">
        <f t="shared" si="397"/>
        <v>36504</v>
      </c>
      <c r="P175" s="537">
        <f t="shared" si="404"/>
        <v>36474</v>
      </c>
      <c r="Q175" s="255">
        <f t="shared" si="393"/>
        <v>36474</v>
      </c>
      <c r="R175" s="537">
        <f t="shared" si="405"/>
        <v>36454</v>
      </c>
      <c r="S175" s="255">
        <f t="shared" si="398"/>
        <v>36454</v>
      </c>
      <c r="T175" s="537">
        <f t="shared" si="406"/>
        <v>36434</v>
      </c>
      <c r="U175" s="255">
        <f t="shared" si="394"/>
        <v>36434</v>
      </c>
      <c r="V175" s="537">
        <f t="shared" si="407"/>
        <v>36414</v>
      </c>
      <c r="W175" s="255">
        <f t="shared" si="395"/>
        <v>36414</v>
      </c>
      <c r="X175" s="646"/>
      <c r="Y175" s="945"/>
      <c r="Z175" s="945"/>
      <c r="AA175" s="946"/>
      <c r="AB175" s="178">
        <v>384</v>
      </c>
    </row>
    <row r="176" spans="1:38" ht="12.6" customHeight="1" x14ac:dyDescent="0.2">
      <c r="A176" s="94"/>
      <c r="B176" s="639" t="s">
        <v>1006</v>
      </c>
      <c r="C176" s="649"/>
      <c r="D176" s="649"/>
      <c r="E176" s="650"/>
      <c r="F176" s="290">
        <v>30702</v>
      </c>
      <c r="G176" s="256">
        <f t="shared" ref="G176" si="409">+F176*$X$1</f>
        <v>30702</v>
      </c>
      <c r="H176" s="546">
        <f t="shared" si="400"/>
        <v>31402</v>
      </c>
      <c r="I176" s="256">
        <f t="shared" si="390"/>
        <v>31402</v>
      </c>
      <c r="J176" s="82">
        <f t="shared" si="401"/>
        <v>30982</v>
      </c>
      <c r="K176" s="256">
        <f t="shared" si="391"/>
        <v>30982</v>
      </c>
      <c r="L176" s="546">
        <f t="shared" si="402"/>
        <v>30912</v>
      </c>
      <c r="M176" s="256">
        <f t="shared" si="392"/>
        <v>30912</v>
      </c>
      <c r="N176" s="546">
        <f t="shared" si="403"/>
        <v>30862</v>
      </c>
      <c r="O176" s="256">
        <f t="shared" si="397"/>
        <v>30862</v>
      </c>
      <c r="P176" s="546">
        <f t="shared" si="404"/>
        <v>30832</v>
      </c>
      <c r="Q176" s="256">
        <f t="shared" si="393"/>
        <v>30832</v>
      </c>
      <c r="R176" s="546">
        <f t="shared" si="405"/>
        <v>30812</v>
      </c>
      <c r="S176" s="256">
        <f t="shared" si="398"/>
        <v>30812</v>
      </c>
      <c r="T176" s="546">
        <f t="shared" si="406"/>
        <v>30792</v>
      </c>
      <c r="U176" s="256">
        <f t="shared" si="394"/>
        <v>30792</v>
      </c>
      <c r="V176" s="546">
        <f t="shared" si="407"/>
        <v>30772</v>
      </c>
      <c r="W176" s="256">
        <f t="shared" si="395"/>
        <v>30772</v>
      </c>
      <c r="X176" s="646"/>
      <c r="Y176" s="945"/>
      <c r="Z176" s="945"/>
      <c r="AA176" s="946"/>
      <c r="AB176" s="178">
        <v>387</v>
      </c>
    </row>
    <row r="177" spans="1:38" ht="12.6" customHeight="1" x14ac:dyDescent="0.2">
      <c r="A177" s="19"/>
      <c r="B177" s="666" t="s">
        <v>855</v>
      </c>
      <c r="C177" s="684"/>
      <c r="D177" s="684"/>
      <c r="E177" s="685"/>
      <c r="F177" s="326">
        <f>37.8*X2</f>
        <v>58211.999999999993</v>
      </c>
      <c r="G177" s="234">
        <f t="shared" ref="G177" si="410">+F177*$X$1</f>
        <v>58211.999999999993</v>
      </c>
      <c r="H177" s="537">
        <f t="shared" si="400"/>
        <v>58911.999999999993</v>
      </c>
      <c r="I177" s="255">
        <f t="shared" si="390"/>
        <v>58911.999999999993</v>
      </c>
      <c r="J177" s="68">
        <f t="shared" si="401"/>
        <v>58491.999999999993</v>
      </c>
      <c r="K177" s="255">
        <f t="shared" si="391"/>
        <v>58491.999999999993</v>
      </c>
      <c r="L177" s="537">
        <f t="shared" si="402"/>
        <v>58421.999999999993</v>
      </c>
      <c r="M177" s="255">
        <f t="shared" si="392"/>
        <v>58421.999999999993</v>
      </c>
      <c r="N177" s="537">
        <f t="shared" si="403"/>
        <v>58371.999999999993</v>
      </c>
      <c r="O177" s="255">
        <f t="shared" si="397"/>
        <v>58371.999999999993</v>
      </c>
      <c r="P177" s="537">
        <f t="shared" si="404"/>
        <v>58341.999999999993</v>
      </c>
      <c r="Q177" s="255">
        <f t="shared" si="393"/>
        <v>58341.999999999993</v>
      </c>
      <c r="R177" s="537">
        <f t="shared" si="405"/>
        <v>58321.999999999993</v>
      </c>
      <c r="S177" s="255">
        <f t="shared" si="398"/>
        <v>58321.999999999993</v>
      </c>
      <c r="T177" s="537">
        <f t="shared" si="406"/>
        <v>58301.999999999993</v>
      </c>
      <c r="U177" s="255">
        <f t="shared" si="394"/>
        <v>58301.999999999993</v>
      </c>
      <c r="V177" s="537">
        <f t="shared" si="407"/>
        <v>58281.999999999993</v>
      </c>
      <c r="W177" s="255">
        <f t="shared" si="395"/>
        <v>58281.999999999993</v>
      </c>
      <c r="X177" s="646"/>
      <c r="Y177" s="945"/>
      <c r="Z177" s="945"/>
      <c r="AA177" s="946"/>
      <c r="AB177" s="178">
        <v>394</v>
      </c>
    </row>
    <row r="178" spans="1:38" ht="12.6" customHeight="1" x14ac:dyDescent="0.2">
      <c r="A178" s="19"/>
      <c r="B178" s="639" t="s">
        <v>834</v>
      </c>
      <c r="C178" s="649"/>
      <c r="D178" s="649"/>
      <c r="E178" s="650"/>
      <c r="F178" s="327">
        <f>17.2*X2</f>
        <v>26488</v>
      </c>
      <c r="G178" s="269">
        <f t="shared" ref="G178:G180" si="411">+F178*$X$1</f>
        <v>26488</v>
      </c>
      <c r="H178" s="546">
        <f t="shared" si="400"/>
        <v>27188</v>
      </c>
      <c r="I178" s="256">
        <f t="shared" si="390"/>
        <v>27188</v>
      </c>
      <c r="J178" s="82">
        <f t="shared" si="401"/>
        <v>26768</v>
      </c>
      <c r="K178" s="256">
        <f t="shared" si="391"/>
        <v>26768</v>
      </c>
      <c r="L178" s="546">
        <f t="shared" si="402"/>
        <v>26698</v>
      </c>
      <c r="M178" s="256">
        <f t="shared" si="392"/>
        <v>26698</v>
      </c>
      <c r="N178" s="546">
        <f t="shared" si="403"/>
        <v>26648</v>
      </c>
      <c r="O178" s="256">
        <f t="shared" si="397"/>
        <v>26648</v>
      </c>
      <c r="P178" s="546">
        <f t="shared" si="404"/>
        <v>26618</v>
      </c>
      <c r="Q178" s="256">
        <f t="shared" si="393"/>
        <v>26618</v>
      </c>
      <c r="R178" s="546">
        <f t="shared" si="405"/>
        <v>26598</v>
      </c>
      <c r="S178" s="256">
        <f t="shared" si="398"/>
        <v>26598</v>
      </c>
      <c r="T178" s="546">
        <f t="shared" si="406"/>
        <v>26578</v>
      </c>
      <c r="U178" s="256">
        <f t="shared" si="394"/>
        <v>26578</v>
      </c>
      <c r="V178" s="546">
        <f t="shared" si="407"/>
        <v>26558</v>
      </c>
      <c r="W178" s="256">
        <f t="shared" si="395"/>
        <v>26558</v>
      </c>
      <c r="X178" s="646"/>
      <c r="Y178" s="945"/>
      <c r="Z178" s="945"/>
      <c r="AA178" s="946"/>
      <c r="AB178" s="178">
        <v>395</v>
      </c>
    </row>
    <row r="179" spans="1:38" ht="12.6" customHeight="1" x14ac:dyDescent="0.2">
      <c r="A179" s="19"/>
      <c r="B179" s="666" t="s">
        <v>866</v>
      </c>
      <c r="C179" s="684"/>
      <c r="D179" s="684"/>
      <c r="E179" s="685"/>
      <c r="F179" s="326">
        <f>14.5*X2</f>
        <v>22330</v>
      </c>
      <c r="G179" s="234">
        <f t="shared" ref="G179" si="412">+F179*$X$1</f>
        <v>22330</v>
      </c>
      <c r="H179" s="537">
        <f t="shared" si="400"/>
        <v>23030</v>
      </c>
      <c r="I179" s="255">
        <f t="shared" ref="I179" si="413">+H179*$X$1</f>
        <v>23030</v>
      </c>
      <c r="J179" s="68">
        <f t="shared" si="401"/>
        <v>22610</v>
      </c>
      <c r="K179" s="255">
        <f t="shared" ref="K179" si="414">+J179*$X$1</f>
        <v>22610</v>
      </c>
      <c r="L179" s="537">
        <f t="shared" si="402"/>
        <v>22540</v>
      </c>
      <c r="M179" s="255">
        <f t="shared" ref="M179" si="415">+L179*$X$1</f>
        <v>22540</v>
      </c>
      <c r="N179" s="537">
        <f t="shared" si="403"/>
        <v>22490</v>
      </c>
      <c r="O179" s="255">
        <f t="shared" ref="O179" si="416">+N179*$X$1</f>
        <v>22490</v>
      </c>
      <c r="P179" s="537">
        <f t="shared" si="404"/>
        <v>22460</v>
      </c>
      <c r="Q179" s="255">
        <f t="shared" ref="Q179" si="417">+P179*$X$1</f>
        <v>22460</v>
      </c>
      <c r="R179" s="537">
        <f t="shared" si="405"/>
        <v>22440</v>
      </c>
      <c r="S179" s="255">
        <f t="shared" ref="S179" si="418">+R179*$X$1</f>
        <v>22440</v>
      </c>
      <c r="T179" s="537">
        <f t="shared" si="406"/>
        <v>22420</v>
      </c>
      <c r="U179" s="255">
        <f t="shared" ref="U179" si="419">+T179*$X$1</f>
        <v>22420</v>
      </c>
      <c r="V179" s="537">
        <f t="shared" si="407"/>
        <v>22400</v>
      </c>
      <c r="W179" s="255">
        <f t="shared" ref="W179" si="420">+V179*$X$1</f>
        <v>22400</v>
      </c>
      <c r="X179" s="646"/>
      <c r="Y179" s="945"/>
      <c r="Z179" s="945"/>
      <c r="AA179" s="946"/>
      <c r="AB179" s="178">
        <v>396</v>
      </c>
    </row>
    <row r="180" spans="1:38" ht="12.6" customHeight="1" x14ac:dyDescent="0.2">
      <c r="A180" s="19"/>
      <c r="B180" s="639" t="s">
        <v>832</v>
      </c>
      <c r="C180" s="649"/>
      <c r="D180" s="649"/>
      <c r="E180" s="650"/>
      <c r="F180" s="327">
        <f>19.3*X2</f>
        <v>29722</v>
      </c>
      <c r="G180" s="269">
        <f t="shared" si="411"/>
        <v>29722</v>
      </c>
      <c r="H180" s="546">
        <f t="shared" ref="H180:H185" si="421">F180+600</f>
        <v>30322</v>
      </c>
      <c r="I180" s="256">
        <f t="shared" ref="I180:I183" si="422">+H180*$X$1</f>
        <v>30322</v>
      </c>
      <c r="J180" s="546">
        <f t="shared" ref="J180:J181" si="423">F180+200</f>
        <v>29922</v>
      </c>
      <c r="K180" s="256">
        <f t="shared" ref="K180:K183" si="424">+J180*$X$1</f>
        <v>29922</v>
      </c>
      <c r="L180" s="546">
        <f>F180+150</f>
        <v>29872</v>
      </c>
      <c r="M180" s="256">
        <f t="shared" ref="M180:M183" si="425">+L180*$X$1</f>
        <v>29872</v>
      </c>
      <c r="N180" s="546">
        <f>F180+100</f>
        <v>29822</v>
      </c>
      <c r="O180" s="256">
        <f>+N180*$X$1</f>
        <v>29822</v>
      </c>
      <c r="P180" s="546">
        <f>F180+90</f>
        <v>29812</v>
      </c>
      <c r="Q180" s="256">
        <f t="shared" ref="Q180:Q183" si="426">+P180*$X$1</f>
        <v>29812</v>
      </c>
      <c r="R180" s="546">
        <f>F180+70</f>
        <v>29792</v>
      </c>
      <c r="S180" s="256">
        <f>+R180*$X$1</f>
        <v>29792</v>
      </c>
      <c r="T180" s="546">
        <f>F180+56</f>
        <v>29778</v>
      </c>
      <c r="U180" s="256">
        <f t="shared" ref="U180:U183" si="427">+T180*$X$1</f>
        <v>29778</v>
      </c>
      <c r="V180" s="546">
        <f>F180+49</f>
        <v>29771</v>
      </c>
      <c r="W180" s="256">
        <f t="shared" ref="W180:W182" si="428">+V180*$X$1</f>
        <v>29771</v>
      </c>
      <c r="X180" s="646"/>
      <c r="Y180" s="945"/>
      <c r="Z180" s="945"/>
      <c r="AA180" s="946"/>
      <c r="AB180" s="178">
        <v>397</v>
      </c>
    </row>
    <row r="181" spans="1:38" ht="12.6" customHeight="1" x14ac:dyDescent="0.2">
      <c r="A181" s="19"/>
      <c r="B181" s="666" t="s">
        <v>833</v>
      </c>
      <c r="C181" s="684"/>
      <c r="D181" s="684"/>
      <c r="E181" s="685"/>
      <c r="F181" s="326">
        <f>15.4*X2</f>
        <v>23716</v>
      </c>
      <c r="G181" s="234">
        <f t="shared" ref="G181:G183" si="429">+F181*$X$1</f>
        <v>23716</v>
      </c>
      <c r="H181" s="537">
        <f t="shared" si="421"/>
        <v>24316</v>
      </c>
      <c r="I181" s="255">
        <f t="shared" si="422"/>
        <v>24316</v>
      </c>
      <c r="J181" s="537">
        <f t="shared" si="423"/>
        <v>23916</v>
      </c>
      <c r="K181" s="255">
        <f t="shared" si="424"/>
        <v>23916</v>
      </c>
      <c r="L181" s="537">
        <f>F181+150</f>
        <v>23866</v>
      </c>
      <c r="M181" s="255">
        <f t="shared" si="425"/>
        <v>23866</v>
      </c>
      <c r="N181" s="537">
        <f>F181+100</f>
        <v>23816</v>
      </c>
      <c r="O181" s="255">
        <f>+N181*$X$1</f>
        <v>23816</v>
      </c>
      <c r="P181" s="537">
        <f>F181+90</f>
        <v>23806</v>
      </c>
      <c r="Q181" s="255">
        <f t="shared" si="426"/>
        <v>23806</v>
      </c>
      <c r="R181" s="537">
        <f>F181+70</f>
        <v>23786</v>
      </c>
      <c r="S181" s="255">
        <f>+R181*$X$1</f>
        <v>23786</v>
      </c>
      <c r="T181" s="537">
        <f>F181+56</f>
        <v>23772</v>
      </c>
      <c r="U181" s="255">
        <f t="shared" si="427"/>
        <v>23772</v>
      </c>
      <c r="V181" s="537">
        <f>F181+49</f>
        <v>23765</v>
      </c>
      <c r="W181" s="255">
        <f t="shared" si="428"/>
        <v>23765</v>
      </c>
      <c r="X181" s="646"/>
      <c r="Y181" s="945"/>
      <c r="Z181" s="945"/>
      <c r="AA181" s="946"/>
      <c r="AB181" s="178">
        <v>398</v>
      </c>
    </row>
    <row r="182" spans="1:38" s="1" customFormat="1" ht="12.6" customHeight="1" x14ac:dyDescent="0.2">
      <c r="A182" s="18"/>
      <c r="B182" s="639" t="s">
        <v>857</v>
      </c>
      <c r="C182" s="649"/>
      <c r="D182" s="649"/>
      <c r="E182" s="650"/>
      <c r="F182" s="492">
        <f>25.63*X2</f>
        <v>39470.199999999997</v>
      </c>
      <c r="G182" s="256">
        <f t="shared" si="429"/>
        <v>39470.199999999997</v>
      </c>
      <c r="H182" s="82">
        <f t="shared" si="421"/>
        <v>40070.199999999997</v>
      </c>
      <c r="I182" s="256">
        <f t="shared" si="422"/>
        <v>40070.199999999997</v>
      </c>
      <c r="J182" s="546">
        <f>F182+220</f>
        <v>39690.199999999997</v>
      </c>
      <c r="K182" s="256">
        <f t="shared" si="424"/>
        <v>39690.199999999997</v>
      </c>
      <c r="L182" s="546">
        <f>F182+170</f>
        <v>39640.199999999997</v>
      </c>
      <c r="M182" s="256">
        <f t="shared" si="425"/>
        <v>39640.199999999997</v>
      </c>
      <c r="N182" s="546">
        <f>F182+120</f>
        <v>39590.199999999997</v>
      </c>
      <c r="O182" s="256">
        <f t="shared" ref="O182:O183" si="430">+N182*$X$1</f>
        <v>39590.199999999997</v>
      </c>
      <c r="P182" s="546">
        <f>F182+110</f>
        <v>39580.199999999997</v>
      </c>
      <c r="Q182" s="256">
        <f t="shared" si="426"/>
        <v>39580.199999999997</v>
      </c>
      <c r="R182" s="546">
        <f>F182+95</f>
        <v>39565.199999999997</v>
      </c>
      <c r="S182" s="256">
        <f t="shared" ref="S182:S183" si="431">+R182*$X$1</f>
        <v>39565.199999999997</v>
      </c>
      <c r="T182" s="546">
        <f>F182+85</f>
        <v>39555.199999999997</v>
      </c>
      <c r="U182" s="256">
        <f t="shared" si="427"/>
        <v>39555.199999999997</v>
      </c>
      <c r="V182" s="546">
        <f>F182+76</f>
        <v>39546.199999999997</v>
      </c>
      <c r="W182" s="256">
        <f t="shared" si="428"/>
        <v>39546.199999999997</v>
      </c>
      <c r="X182" s="510"/>
      <c r="Y182" s="511"/>
      <c r="Z182" s="511"/>
      <c r="AA182" s="512"/>
      <c r="AB182" s="178">
        <v>399</v>
      </c>
      <c r="AC182" s="4"/>
      <c r="AD182" s="4"/>
      <c r="AE182" s="4"/>
      <c r="AF182" s="4"/>
      <c r="AG182" s="4"/>
      <c r="AH182" s="116"/>
      <c r="AI182" s="4"/>
      <c r="AJ182" s="4"/>
      <c r="AK182" s="4"/>
      <c r="AL182" s="4"/>
    </row>
    <row r="183" spans="1:38" ht="12.6" customHeight="1" x14ac:dyDescent="0.2">
      <c r="A183" s="19"/>
      <c r="B183" s="666" t="s">
        <v>856</v>
      </c>
      <c r="C183" s="684"/>
      <c r="D183" s="684"/>
      <c r="E183" s="685"/>
      <c r="F183" s="326">
        <f>28.77*X2</f>
        <v>44305.8</v>
      </c>
      <c r="G183" s="234">
        <f t="shared" si="429"/>
        <v>44305.8</v>
      </c>
      <c r="H183" s="537">
        <f>F183+700</f>
        <v>45005.8</v>
      </c>
      <c r="I183" s="255">
        <f t="shared" si="422"/>
        <v>45005.8</v>
      </c>
      <c r="J183" s="68">
        <f>F183+280</f>
        <v>44585.8</v>
      </c>
      <c r="K183" s="255">
        <f t="shared" si="424"/>
        <v>44585.8</v>
      </c>
      <c r="L183" s="537">
        <f>F183+210</f>
        <v>44515.8</v>
      </c>
      <c r="M183" s="255">
        <f t="shared" si="425"/>
        <v>44515.8</v>
      </c>
      <c r="N183" s="537">
        <f>F183+160</f>
        <v>44465.8</v>
      </c>
      <c r="O183" s="255">
        <f t="shared" si="430"/>
        <v>44465.8</v>
      </c>
      <c r="P183" s="537">
        <f>F183+130</f>
        <v>44435.8</v>
      </c>
      <c r="Q183" s="255">
        <f t="shared" si="426"/>
        <v>44435.8</v>
      </c>
      <c r="R183" s="537">
        <f>F183+110</f>
        <v>44415.8</v>
      </c>
      <c r="S183" s="255">
        <f t="shared" si="431"/>
        <v>44415.8</v>
      </c>
      <c r="T183" s="537">
        <f>F183+90</f>
        <v>44395.8</v>
      </c>
      <c r="U183" s="255">
        <f t="shared" si="427"/>
        <v>44395.8</v>
      </c>
      <c r="V183" s="537">
        <f>F183+70</f>
        <v>44375.8</v>
      </c>
      <c r="W183" s="255">
        <f t="shared" ref="W183" si="432">+V183*$X$1</f>
        <v>44375.8</v>
      </c>
      <c r="X183" s="646"/>
      <c r="Y183" s="945"/>
      <c r="Z183" s="945"/>
      <c r="AA183" s="946"/>
      <c r="AB183" s="178">
        <v>402</v>
      </c>
    </row>
    <row r="184" spans="1:38" ht="12.6" customHeight="1" x14ac:dyDescent="0.2">
      <c r="A184" s="19"/>
      <c r="B184" s="669" t="s">
        <v>547</v>
      </c>
      <c r="C184" s="670"/>
      <c r="D184" s="670"/>
      <c r="E184" s="670"/>
      <c r="F184" s="327">
        <f>13.317*X2</f>
        <v>20508.18</v>
      </c>
      <c r="G184" s="269">
        <f t="shared" ref="G184" si="433">+F184*$X$1</f>
        <v>20508.18</v>
      </c>
      <c r="H184" s="546">
        <f t="shared" si="421"/>
        <v>21108.18</v>
      </c>
      <c r="I184" s="256">
        <f t="shared" ref="I184" si="434">+H184*$X$1</f>
        <v>21108.18</v>
      </c>
      <c r="J184" s="546">
        <f t="shared" ref="J184:J188" si="435">F184+200</f>
        <v>20708.18</v>
      </c>
      <c r="K184" s="256">
        <f t="shared" ref="K184:K186" si="436">+J184*$X$1</f>
        <v>20708.18</v>
      </c>
      <c r="L184" s="546">
        <f>F184+150</f>
        <v>20658.18</v>
      </c>
      <c r="M184" s="256">
        <f t="shared" ref="M184" si="437">+L184*$X$1</f>
        <v>20658.18</v>
      </c>
      <c r="N184" s="546">
        <f>F184+100</f>
        <v>20608.18</v>
      </c>
      <c r="O184" s="256">
        <f>+N184*$X$1</f>
        <v>20608.18</v>
      </c>
      <c r="P184" s="546">
        <f>F184+90</f>
        <v>20598.18</v>
      </c>
      <c r="Q184" s="256">
        <f t="shared" ref="Q184" si="438">+P184*$X$1</f>
        <v>20598.18</v>
      </c>
      <c r="R184" s="546">
        <f>F184+70</f>
        <v>20578.18</v>
      </c>
      <c r="S184" s="256">
        <f>+R184*$X$1</f>
        <v>20578.18</v>
      </c>
      <c r="T184" s="546">
        <f>F184+56</f>
        <v>20564.18</v>
      </c>
      <c r="U184" s="256">
        <f t="shared" ref="U184" si="439">+T184*$X$1</f>
        <v>20564.18</v>
      </c>
      <c r="V184" s="546"/>
      <c r="W184" s="256"/>
      <c r="X184" s="628"/>
      <c r="Y184" s="634"/>
      <c r="Z184" s="634"/>
      <c r="AA184" s="629"/>
      <c r="AB184" s="178" t="s">
        <v>548</v>
      </c>
    </row>
    <row r="185" spans="1:38" ht="12.6" customHeight="1" x14ac:dyDescent="0.2">
      <c r="A185" s="19"/>
      <c r="B185" s="727" t="s">
        <v>556</v>
      </c>
      <c r="C185" s="728"/>
      <c r="D185" s="728"/>
      <c r="E185" s="728"/>
      <c r="F185" s="326">
        <f>17.78*X2</f>
        <v>27381.200000000001</v>
      </c>
      <c r="G185" s="234">
        <f t="shared" ref="G185" si="440">+F185*$X$1</f>
        <v>27381.200000000001</v>
      </c>
      <c r="H185" s="537">
        <f t="shared" si="421"/>
        <v>27981.200000000001</v>
      </c>
      <c r="I185" s="255">
        <f t="shared" ref="I185:I186" si="441">+H185*$X$1</f>
        <v>27981.200000000001</v>
      </c>
      <c r="J185" s="537">
        <f t="shared" si="435"/>
        <v>27581.200000000001</v>
      </c>
      <c r="K185" s="255">
        <f t="shared" si="436"/>
        <v>27581.200000000001</v>
      </c>
      <c r="L185" s="537">
        <f>F185+150</f>
        <v>27531.200000000001</v>
      </c>
      <c r="M185" s="255">
        <f t="shared" ref="M185:M186" si="442">+L185*$X$1</f>
        <v>27531.200000000001</v>
      </c>
      <c r="N185" s="537">
        <f>F185+100</f>
        <v>27481.200000000001</v>
      </c>
      <c r="O185" s="255">
        <f>+N185*$X$1</f>
        <v>27481.200000000001</v>
      </c>
      <c r="P185" s="537">
        <f>F185+90</f>
        <v>27471.200000000001</v>
      </c>
      <c r="Q185" s="255">
        <f t="shared" ref="Q185:Q186" si="443">+P185*$X$1</f>
        <v>27471.200000000001</v>
      </c>
      <c r="R185" s="537">
        <f>F185+70</f>
        <v>27451.200000000001</v>
      </c>
      <c r="S185" s="255">
        <f>+R185*$X$1</f>
        <v>27451.200000000001</v>
      </c>
      <c r="T185" s="537">
        <f>F185+56</f>
        <v>27437.200000000001</v>
      </c>
      <c r="U185" s="255">
        <f t="shared" ref="U185:U186" si="444">+T185*$X$1</f>
        <v>27437.200000000001</v>
      </c>
      <c r="V185" s="537"/>
      <c r="W185" s="255"/>
      <c r="X185" s="166"/>
      <c r="Y185" s="168"/>
      <c r="Z185" s="168"/>
      <c r="AA185" s="166"/>
      <c r="AB185" s="178" t="s">
        <v>555</v>
      </c>
    </row>
    <row r="186" spans="1:38" ht="12.6" customHeight="1" x14ac:dyDescent="0.2">
      <c r="A186" s="19"/>
      <c r="B186" s="669" t="s">
        <v>550</v>
      </c>
      <c r="C186" s="670"/>
      <c r="D186" s="670"/>
      <c r="E186" s="670"/>
      <c r="F186" s="327">
        <f>12.84*X2</f>
        <v>19773.599999999999</v>
      </c>
      <c r="G186" s="269">
        <f t="shared" ref="G186" si="445">+F186*$X$1</f>
        <v>19773.599999999999</v>
      </c>
      <c r="H186" s="546">
        <f>F186+700</f>
        <v>20473.599999999999</v>
      </c>
      <c r="I186" s="256">
        <f t="shared" si="441"/>
        <v>20473.599999999999</v>
      </c>
      <c r="J186" s="82">
        <f>F186+280</f>
        <v>20053.599999999999</v>
      </c>
      <c r="K186" s="256">
        <f t="shared" si="436"/>
        <v>20053.599999999999</v>
      </c>
      <c r="L186" s="546">
        <f>F186+210</f>
        <v>19983.599999999999</v>
      </c>
      <c r="M186" s="256">
        <f t="shared" si="442"/>
        <v>19983.599999999999</v>
      </c>
      <c r="N186" s="546">
        <f>F186+160</f>
        <v>19933.599999999999</v>
      </c>
      <c r="O186" s="256">
        <f t="shared" ref="O186" si="446">+N186*$X$1</f>
        <v>19933.599999999999</v>
      </c>
      <c r="P186" s="546">
        <f>F186+130</f>
        <v>19903.599999999999</v>
      </c>
      <c r="Q186" s="256">
        <f t="shared" si="443"/>
        <v>19903.599999999999</v>
      </c>
      <c r="R186" s="546">
        <f>F186+110</f>
        <v>19883.599999999999</v>
      </c>
      <c r="S186" s="256">
        <f t="shared" ref="S186" si="447">+R186*$X$1</f>
        <v>19883.599999999999</v>
      </c>
      <c r="T186" s="546">
        <f>F186+90</f>
        <v>19863.599999999999</v>
      </c>
      <c r="U186" s="256">
        <f t="shared" si="444"/>
        <v>19863.599999999999</v>
      </c>
      <c r="V186" s="546"/>
      <c r="W186" s="256"/>
      <c r="X186" s="646"/>
      <c r="Y186" s="945"/>
      <c r="Z186" s="945"/>
      <c r="AA186" s="946"/>
      <c r="AB186" s="178" t="s">
        <v>549</v>
      </c>
    </row>
    <row r="187" spans="1:38" ht="12.6" customHeight="1" x14ac:dyDescent="0.2">
      <c r="A187" s="19"/>
      <c r="B187" s="727" t="s">
        <v>312</v>
      </c>
      <c r="C187" s="728"/>
      <c r="D187" s="728"/>
      <c r="E187" s="728"/>
      <c r="F187" s="326">
        <f>15.93*X2</f>
        <v>24532.2</v>
      </c>
      <c r="G187" s="234">
        <f t="shared" ref="G187:G188" si="448">+F187*$X$1</f>
        <v>24532.2</v>
      </c>
      <c r="H187" s="517"/>
      <c r="I187" s="255"/>
      <c r="J187" s="68">
        <f t="shared" si="435"/>
        <v>24732.2</v>
      </c>
      <c r="K187" s="255">
        <f t="shared" ref="K187" si="449">+J187*$X$1</f>
        <v>24732.2</v>
      </c>
      <c r="L187" s="517">
        <f t="shared" ref="L187" si="450">F187+150</f>
        <v>24682.2</v>
      </c>
      <c r="M187" s="255">
        <f t="shared" ref="M187" si="451">+L187*$X$1</f>
        <v>24682.2</v>
      </c>
      <c r="N187" s="517">
        <f t="shared" ref="N187" si="452">F187+110</f>
        <v>24642.2</v>
      </c>
      <c r="O187" s="255">
        <f t="shared" ref="O187" si="453">+N187*$X$1</f>
        <v>24642.2</v>
      </c>
      <c r="P187" s="517">
        <f t="shared" ref="P187" si="454">F187+100</f>
        <v>24632.2</v>
      </c>
      <c r="Q187" s="255">
        <f t="shared" ref="Q187" si="455">+P187*$X$1</f>
        <v>24632.2</v>
      </c>
      <c r="R187" s="517">
        <f t="shared" ref="R187" si="456">F187+80</f>
        <v>24612.2</v>
      </c>
      <c r="S187" s="255">
        <f t="shared" ref="S187" si="457">+R187*$X$1</f>
        <v>24612.2</v>
      </c>
      <c r="T187" s="517">
        <f t="shared" ref="T187" si="458">F187+65</f>
        <v>24597.200000000001</v>
      </c>
      <c r="U187" s="255">
        <f t="shared" ref="U187" si="459">+T187*$X$1</f>
        <v>24597.200000000001</v>
      </c>
      <c r="V187" s="68"/>
      <c r="W187" s="68"/>
      <c r="X187" s="646"/>
      <c r="Y187" s="945"/>
      <c r="Z187" s="945"/>
      <c r="AA187" s="946"/>
      <c r="AB187" s="178">
        <v>405</v>
      </c>
    </row>
    <row r="188" spans="1:38" ht="12.6" customHeight="1" x14ac:dyDescent="0.2">
      <c r="A188" s="19"/>
      <c r="B188" s="669" t="s">
        <v>554</v>
      </c>
      <c r="C188" s="670"/>
      <c r="D188" s="670"/>
      <c r="E188" s="670"/>
      <c r="F188" s="327">
        <f>15.6*X2</f>
        <v>24024</v>
      </c>
      <c r="G188" s="269">
        <f t="shared" si="448"/>
        <v>24024</v>
      </c>
      <c r="H188" s="398">
        <f>F188+600</f>
        <v>24624</v>
      </c>
      <c r="I188" s="256">
        <f t="shared" ref="I188:I189" si="460">+H188*$X$1</f>
        <v>24624</v>
      </c>
      <c r="J188" s="398">
        <f t="shared" si="435"/>
        <v>24224</v>
      </c>
      <c r="K188" s="256">
        <f t="shared" ref="K188:K189" si="461">+J188*$X$1</f>
        <v>24224</v>
      </c>
      <c r="L188" s="398">
        <f>F188+150</f>
        <v>24174</v>
      </c>
      <c r="M188" s="256">
        <f t="shared" ref="M188:M189" si="462">+L188*$X$1</f>
        <v>24174</v>
      </c>
      <c r="N188" s="398">
        <f>F188+100</f>
        <v>24124</v>
      </c>
      <c r="O188" s="256">
        <f>+N188*$X$1</f>
        <v>24124</v>
      </c>
      <c r="P188" s="398">
        <f>F188+90</f>
        <v>24114</v>
      </c>
      <c r="Q188" s="256">
        <f t="shared" ref="Q188:Q189" si="463">+P188*$X$1</f>
        <v>24114</v>
      </c>
      <c r="R188" s="398">
        <f>F188+70</f>
        <v>24094</v>
      </c>
      <c r="S188" s="256">
        <f>+R188*$X$1</f>
        <v>24094</v>
      </c>
      <c r="T188" s="398">
        <f>F188+56</f>
        <v>24080</v>
      </c>
      <c r="U188" s="256">
        <f t="shared" ref="U188:U189" si="464">+T188*$X$1</f>
        <v>24080</v>
      </c>
      <c r="V188" s="398"/>
      <c r="W188" s="256"/>
      <c r="X188" s="628"/>
      <c r="Y188" s="634"/>
      <c r="Z188" s="634"/>
      <c r="AA188" s="629"/>
      <c r="AB188" s="178" t="s">
        <v>553</v>
      </c>
    </row>
    <row r="189" spans="1:38" ht="12.6" customHeight="1" x14ac:dyDescent="0.2">
      <c r="A189" s="19"/>
      <c r="B189" s="630" t="s">
        <v>552</v>
      </c>
      <c r="C189" s="631"/>
      <c r="D189" s="631"/>
      <c r="E189" s="631"/>
      <c r="F189" s="326">
        <f>16.54*X2</f>
        <v>25471.599999999999</v>
      </c>
      <c r="G189" s="234">
        <f t="shared" ref="G189" si="465">+F189*$X$1</f>
        <v>25471.599999999999</v>
      </c>
      <c r="H189" s="68">
        <f>F189+600</f>
        <v>26071.599999999999</v>
      </c>
      <c r="I189" s="255">
        <f t="shared" si="460"/>
        <v>26071.599999999999</v>
      </c>
      <c r="J189" s="517">
        <f>F189+220</f>
        <v>25691.599999999999</v>
      </c>
      <c r="K189" s="255">
        <f t="shared" si="461"/>
        <v>25691.599999999999</v>
      </c>
      <c r="L189" s="517">
        <f>F189+170</f>
        <v>25641.599999999999</v>
      </c>
      <c r="M189" s="255">
        <f t="shared" si="462"/>
        <v>25641.599999999999</v>
      </c>
      <c r="N189" s="517">
        <f>F189+120</f>
        <v>25591.599999999999</v>
      </c>
      <c r="O189" s="255">
        <f t="shared" ref="O189" si="466">+N189*$X$1</f>
        <v>25591.599999999999</v>
      </c>
      <c r="P189" s="517">
        <f>F189+110</f>
        <v>25581.599999999999</v>
      </c>
      <c r="Q189" s="255">
        <f t="shared" si="463"/>
        <v>25581.599999999999</v>
      </c>
      <c r="R189" s="517">
        <f>F189+95</f>
        <v>25566.6</v>
      </c>
      <c r="S189" s="255">
        <f t="shared" ref="S189" si="467">+R189*$X$1</f>
        <v>25566.6</v>
      </c>
      <c r="T189" s="517">
        <f>F189+85</f>
        <v>25556.6</v>
      </c>
      <c r="U189" s="255">
        <f t="shared" si="464"/>
        <v>25556.6</v>
      </c>
      <c r="V189" s="517"/>
      <c r="W189" s="255"/>
      <c r="X189" s="646"/>
      <c r="Y189" s="945"/>
      <c r="Z189" s="945"/>
      <c r="AA189" s="946"/>
      <c r="AB189" s="178" t="s">
        <v>551</v>
      </c>
    </row>
    <row r="190" spans="1:38" ht="12.6" customHeight="1" x14ac:dyDescent="0.2">
      <c r="A190" s="23"/>
      <c r="B190" s="656" t="s">
        <v>571</v>
      </c>
      <c r="C190" s="747"/>
      <c r="D190" s="747"/>
      <c r="E190" s="747"/>
      <c r="F190" s="280">
        <v>200</v>
      </c>
      <c r="G190" s="435"/>
      <c r="H190" s="319"/>
      <c r="I190" s="992" t="s">
        <v>525</v>
      </c>
      <c r="J190" s="993"/>
      <c r="K190" s="993"/>
      <c r="L190" s="993"/>
      <c r="M190" s="994"/>
      <c r="N190" s="398">
        <f>F190+220</f>
        <v>420</v>
      </c>
      <c r="O190" s="256">
        <f t="shared" ref="O190" si="468">+N190*$X$1</f>
        <v>420</v>
      </c>
      <c r="P190" s="398">
        <f>F190+200</f>
        <v>400</v>
      </c>
      <c r="Q190" s="256">
        <f t="shared" ref="Q190" si="469">+P190*$X$1</f>
        <v>400</v>
      </c>
      <c r="R190" s="398">
        <f>F190+170</f>
        <v>370</v>
      </c>
      <c r="S190" s="256">
        <f t="shared" ref="S190" si="470">+R190*$X$1</f>
        <v>370</v>
      </c>
      <c r="T190" s="398">
        <f>F190+155</f>
        <v>355</v>
      </c>
      <c r="U190" s="256">
        <f t="shared" ref="U190" si="471">+T190*$X$1</f>
        <v>355</v>
      </c>
      <c r="V190" s="398">
        <f>F190+140</f>
        <v>340</v>
      </c>
      <c r="W190" s="256">
        <f t="shared" ref="W190" si="472">+V190*$X$1</f>
        <v>340</v>
      </c>
      <c r="X190" s="145"/>
      <c r="Y190" s="135"/>
      <c r="Z190" s="135"/>
      <c r="AA190" s="135"/>
      <c r="AB190" s="178">
        <v>415</v>
      </c>
    </row>
    <row r="191" spans="1:38" ht="12.6" customHeight="1" x14ac:dyDescent="0.2">
      <c r="A191" s="23"/>
      <c r="B191" s="630" t="s">
        <v>473</v>
      </c>
      <c r="C191" s="631"/>
      <c r="D191" s="631"/>
      <c r="E191" s="631"/>
      <c r="F191" s="270">
        <v>220</v>
      </c>
      <c r="G191" s="234"/>
      <c r="H191" s="320"/>
      <c r="I191" s="995"/>
      <c r="J191" s="995"/>
      <c r="K191" s="995"/>
      <c r="L191" s="995"/>
      <c r="M191" s="996"/>
      <c r="N191" s="517">
        <f>F191+220</f>
        <v>440</v>
      </c>
      <c r="O191" s="255">
        <f t="shared" ref="O191:O194" si="473">+N191*$X$1</f>
        <v>440</v>
      </c>
      <c r="P191" s="517">
        <f>F191+200</f>
        <v>420</v>
      </c>
      <c r="Q191" s="255">
        <f t="shared" ref="Q191:Q194" si="474">+P191*$X$1</f>
        <v>420</v>
      </c>
      <c r="R191" s="517">
        <f>F191+170</f>
        <v>390</v>
      </c>
      <c r="S191" s="255">
        <f t="shared" ref="S191:S194" si="475">+R191*$X$1</f>
        <v>390</v>
      </c>
      <c r="T191" s="517">
        <f>F191+155</f>
        <v>375</v>
      </c>
      <c r="U191" s="255">
        <f t="shared" ref="U191:U194" si="476">+T191*$X$1</f>
        <v>375</v>
      </c>
      <c r="V191" s="517">
        <f>F191+140</f>
        <v>360</v>
      </c>
      <c r="W191" s="255">
        <f t="shared" ref="W191:W194" si="477">+V191*$X$1</f>
        <v>360</v>
      </c>
      <c r="X191" s="145"/>
      <c r="Y191" s="135"/>
      <c r="Z191" s="135"/>
      <c r="AA191" s="135"/>
      <c r="AB191" s="178">
        <v>416</v>
      </c>
    </row>
    <row r="192" spans="1:38" ht="12.6" customHeight="1" x14ac:dyDescent="0.2">
      <c r="A192" s="23"/>
      <c r="B192" s="642" t="s">
        <v>474</v>
      </c>
      <c r="C192" s="643"/>
      <c r="D192" s="643"/>
      <c r="E192" s="643"/>
      <c r="F192" s="280">
        <v>213</v>
      </c>
      <c r="G192" s="269"/>
      <c r="H192" s="320"/>
      <c r="I192" s="995"/>
      <c r="J192" s="995"/>
      <c r="K192" s="995"/>
      <c r="L192" s="995"/>
      <c r="M192" s="996"/>
      <c r="N192" s="398">
        <f>F192+220</f>
        <v>433</v>
      </c>
      <c r="O192" s="256">
        <f t="shared" si="473"/>
        <v>433</v>
      </c>
      <c r="P192" s="398">
        <f>F192+200</f>
        <v>413</v>
      </c>
      <c r="Q192" s="256">
        <f t="shared" si="474"/>
        <v>413</v>
      </c>
      <c r="R192" s="398">
        <f>F192+170</f>
        <v>383</v>
      </c>
      <c r="S192" s="256">
        <f t="shared" si="475"/>
        <v>383</v>
      </c>
      <c r="T192" s="398">
        <f>F192+155</f>
        <v>368</v>
      </c>
      <c r="U192" s="256">
        <f t="shared" si="476"/>
        <v>368</v>
      </c>
      <c r="V192" s="398">
        <f>F192+140</f>
        <v>353</v>
      </c>
      <c r="W192" s="256">
        <f t="shared" si="477"/>
        <v>353</v>
      </c>
      <c r="X192" s="145"/>
      <c r="Y192" s="135"/>
      <c r="Z192" s="135"/>
      <c r="AA192" s="135"/>
      <c r="AB192" s="178">
        <v>417</v>
      </c>
    </row>
    <row r="193" spans="1:38" ht="12.6" customHeight="1" x14ac:dyDescent="0.2">
      <c r="A193" s="23"/>
      <c r="B193" s="630" t="s">
        <v>475</v>
      </c>
      <c r="C193" s="631"/>
      <c r="D193" s="631"/>
      <c r="E193" s="631"/>
      <c r="F193" s="270">
        <v>213</v>
      </c>
      <c r="G193" s="234"/>
      <c r="H193" s="321"/>
      <c r="I193" s="997"/>
      <c r="J193" s="997"/>
      <c r="K193" s="997"/>
      <c r="L193" s="997"/>
      <c r="M193" s="998"/>
      <c r="N193" s="517">
        <f>F193+220</f>
        <v>433</v>
      </c>
      <c r="O193" s="255">
        <f t="shared" si="473"/>
        <v>433</v>
      </c>
      <c r="P193" s="517">
        <f>F193+200</f>
        <v>413</v>
      </c>
      <c r="Q193" s="255">
        <f t="shared" si="474"/>
        <v>413</v>
      </c>
      <c r="R193" s="517">
        <f>F193+170</f>
        <v>383</v>
      </c>
      <c r="S193" s="255">
        <f t="shared" si="475"/>
        <v>383</v>
      </c>
      <c r="T193" s="517">
        <f>F193+155</f>
        <v>368</v>
      </c>
      <c r="U193" s="255">
        <f t="shared" si="476"/>
        <v>368</v>
      </c>
      <c r="V193" s="517">
        <f>F193+140</f>
        <v>353</v>
      </c>
      <c r="W193" s="255">
        <f t="shared" si="477"/>
        <v>353</v>
      </c>
      <c r="X193" s="145"/>
      <c r="Y193" s="135"/>
      <c r="Z193" s="135"/>
      <c r="AA193" s="135"/>
      <c r="AB193" s="178">
        <v>418</v>
      </c>
    </row>
    <row r="194" spans="1:38" ht="12.6" customHeight="1" x14ac:dyDescent="0.2">
      <c r="A194" s="23"/>
      <c r="B194" s="642" t="s">
        <v>170</v>
      </c>
      <c r="C194" s="643"/>
      <c r="D194" s="643"/>
      <c r="E194" s="643"/>
      <c r="F194" s="328">
        <v>896</v>
      </c>
      <c r="G194" s="280">
        <f t="shared" ref="G194:G207" si="478">+F194*$X$1</f>
        <v>896</v>
      </c>
      <c r="H194" s="254"/>
      <c r="I194" s="306"/>
      <c r="J194" s="108"/>
      <c r="K194" s="434"/>
      <c r="L194" s="398">
        <f>F194+170</f>
        <v>1066</v>
      </c>
      <c r="M194" s="256">
        <f t="shared" ref="M194" si="479">+L194*$X$1</f>
        <v>1066</v>
      </c>
      <c r="N194" s="546">
        <f>F194+120</f>
        <v>1016</v>
      </c>
      <c r="O194" s="256">
        <f t="shared" si="473"/>
        <v>1016</v>
      </c>
      <c r="P194" s="546">
        <f>F194+110</f>
        <v>1006</v>
      </c>
      <c r="Q194" s="256">
        <f t="shared" si="474"/>
        <v>1006</v>
      </c>
      <c r="R194" s="546">
        <f>F194+95</f>
        <v>991</v>
      </c>
      <c r="S194" s="256">
        <f t="shared" si="475"/>
        <v>991</v>
      </c>
      <c r="T194" s="546">
        <f>F194+85</f>
        <v>981</v>
      </c>
      <c r="U194" s="256">
        <f t="shared" si="476"/>
        <v>981</v>
      </c>
      <c r="V194" s="546">
        <f>F194+76</f>
        <v>972</v>
      </c>
      <c r="W194" s="256">
        <f t="shared" si="477"/>
        <v>972</v>
      </c>
      <c r="X194" s="967"/>
      <c r="Y194" s="968"/>
      <c r="Z194" s="968"/>
      <c r="AA194" s="969"/>
      <c r="AB194" s="357">
        <v>421</v>
      </c>
    </row>
    <row r="195" spans="1:38" ht="12.6" customHeight="1" x14ac:dyDescent="0.2">
      <c r="A195" s="23"/>
      <c r="B195" s="630" t="s">
        <v>530</v>
      </c>
      <c r="C195" s="631"/>
      <c r="D195" s="631"/>
      <c r="E195" s="631"/>
      <c r="F195" s="329">
        <v>813</v>
      </c>
      <c r="G195" s="270">
        <f t="shared" si="478"/>
        <v>813</v>
      </c>
      <c r="H195" s="982" t="s">
        <v>559</v>
      </c>
      <c r="I195" s="983"/>
      <c r="J195" s="983"/>
      <c r="K195" s="984"/>
      <c r="L195" s="517">
        <f>F195+250</f>
        <v>1063</v>
      </c>
      <c r="M195" s="255">
        <f t="shared" ref="M195" si="480">+L195*$X$1</f>
        <v>1063</v>
      </c>
      <c r="N195" s="537">
        <f>F195+190</f>
        <v>1003</v>
      </c>
      <c r="O195" s="255">
        <f t="shared" ref="O195" si="481">+N195*$X$1</f>
        <v>1003</v>
      </c>
      <c r="P195" s="537">
        <f>F195+170</f>
        <v>983</v>
      </c>
      <c r="Q195" s="255">
        <f t="shared" ref="Q195" si="482">+P195*$X$1</f>
        <v>983</v>
      </c>
      <c r="R195" s="537">
        <f>F195+150</f>
        <v>963</v>
      </c>
      <c r="S195" s="255">
        <f t="shared" ref="S195" si="483">+R195*$X$1</f>
        <v>963</v>
      </c>
      <c r="T195" s="93">
        <f>F195+130</f>
        <v>943</v>
      </c>
      <c r="U195" s="234">
        <f t="shared" ref="U195" si="484">+T195*$X$1</f>
        <v>943</v>
      </c>
      <c r="V195" s="537">
        <f>F195+115</f>
        <v>928</v>
      </c>
      <c r="W195" s="255">
        <f t="shared" ref="W195" si="485">+V195*$X$1</f>
        <v>928</v>
      </c>
      <c r="X195" s="967"/>
      <c r="Y195" s="968"/>
      <c r="Z195" s="968"/>
      <c r="AA195" s="969"/>
      <c r="AB195" s="357" t="s">
        <v>647</v>
      </c>
    </row>
    <row r="196" spans="1:38" ht="12.6" customHeight="1" x14ac:dyDescent="0.2">
      <c r="A196" s="23"/>
      <c r="B196" s="642" t="s">
        <v>527</v>
      </c>
      <c r="C196" s="643"/>
      <c r="D196" s="643"/>
      <c r="E196" s="643"/>
      <c r="F196" s="328">
        <v>813</v>
      </c>
      <c r="G196" s="280">
        <f t="shared" si="478"/>
        <v>813</v>
      </c>
      <c r="H196" s="985"/>
      <c r="I196" s="986"/>
      <c r="J196" s="986"/>
      <c r="K196" s="987"/>
      <c r="L196" s="546">
        <f>F196+250</f>
        <v>1063</v>
      </c>
      <c r="M196" s="256">
        <f t="shared" ref="M196:M200" si="486">+L196*$X$1</f>
        <v>1063</v>
      </c>
      <c r="N196" s="546">
        <f>F196+190</f>
        <v>1003</v>
      </c>
      <c r="O196" s="256">
        <f t="shared" ref="O196:O200" si="487">+N196*$X$1</f>
        <v>1003</v>
      </c>
      <c r="P196" s="546">
        <f>F196+170</f>
        <v>983</v>
      </c>
      <c r="Q196" s="256">
        <f t="shared" ref="Q196:Q200" si="488">+P196*$X$1</f>
        <v>983</v>
      </c>
      <c r="R196" s="546">
        <f>F196+150</f>
        <v>963</v>
      </c>
      <c r="S196" s="256">
        <f t="shared" ref="S196:S200" si="489">+R196*$X$1</f>
        <v>963</v>
      </c>
      <c r="T196" s="92">
        <f>F196+130</f>
        <v>943</v>
      </c>
      <c r="U196" s="269">
        <f t="shared" ref="U196:U200" si="490">+T196*$X$1</f>
        <v>943</v>
      </c>
      <c r="V196" s="546">
        <f>F196+115</f>
        <v>928</v>
      </c>
      <c r="W196" s="256">
        <f t="shared" ref="W196:W200" si="491">+V196*$X$1</f>
        <v>928</v>
      </c>
      <c r="X196" s="967"/>
      <c r="Y196" s="968"/>
      <c r="Z196" s="968"/>
      <c r="AA196" s="969"/>
      <c r="AB196" s="357" t="s">
        <v>642</v>
      </c>
    </row>
    <row r="197" spans="1:38" ht="12.6" customHeight="1" x14ac:dyDescent="0.2">
      <c r="A197" s="23"/>
      <c r="B197" s="630" t="s">
        <v>526</v>
      </c>
      <c r="C197" s="631"/>
      <c r="D197" s="631"/>
      <c r="E197" s="631"/>
      <c r="F197" s="329">
        <v>813</v>
      </c>
      <c r="G197" s="270">
        <f t="shared" si="478"/>
        <v>813</v>
      </c>
      <c r="H197" s="985"/>
      <c r="I197" s="986"/>
      <c r="J197" s="986"/>
      <c r="K197" s="987"/>
      <c r="L197" s="537">
        <f>F197+250</f>
        <v>1063</v>
      </c>
      <c r="M197" s="255">
        <f t="shared" si="486"/>
        <v>1063</v>
      </c>
      <c r="N197" s="537">
        <f>F197+190</f>
        <v>1003</v>
      </c>
      <c r="O197" s="255">
        <f t="shared" si="487"/>
        <v>1003</v>
      </c>
      <c r="P197" s="537">
        <f>F197+170</f>
        <v>983</v>
      </c>
      <c r="Q197" s="255">
        <f t="shared" si="488"/>
        <v>983</v>
      </c>
      <c r="R197" s="537">
        <f>F197+150</f>
        <v>963</v>
      </c>
      <c r="S197" s="255">
        <f t="shared" si="489"/>
        <v>963</v>
      </c>
      <c r="T197" s="93">
        <f>F197+130</f>
        <v>943</v>
      </c>
      <c r="U197" s="234">
        <f t="shared" si="490"/>
        <v>943</v>
      </c>
      <c r="V197" s="537">
        <f>F197+115</f>
        <v>928</v>
      </c>
      <c r="W197" s="255">
        <f t="shared" si="491"/>
        <v>928</v>
      </c>
      <c r="X197" s="967"/>
      <c r="Y197" s="968"/>
      <c r="Z197" s="968"/>
      <c r="AA197" s="969"/>
      <c r="AB197" s="357" t="s">
        <v>644</v>
      </c>
    </row>
    <row r="198" spans="1:38" ht="12.6" customHeight="1" x14ac:dyDescent="0.2">
      <c r="A198" s="23"/>
      <c r="B198" s="642" t="s">
        <v>529</v>
      </c>
      <c r="C198" s="643"/>
      <c r="D198" s="643"/>
      <c r="E198" s="643"/>
      <c r="F198" s="328">
        <v>813</v>
      </c>
      <c r="G198" s="280">
        <f t="shared" si="478"/>
        <v>813</v>
      </c>
      <c r="H198" s="985"/>
      <c r="I198" s="986"/>
      <c r="J198" s="986"/>
      <c r="K198" s="987"/>
      <c r="L198" s="546">
        <f>F198+250</f>
        <v>1063</v>
      </c>
      <c r="M198" s="256">
        <f t="shared" si="486"/>
        <v>1063</v>
      </c>
      <c r="N198" s="546">
        <f>F198+190</f>
        <v>1003</v>
      </c>
      <c r="O198" s="256">
        <f t="shared" si="487"/>
        <v>1003</v>
      </c>
      <c r="P198" s="546">
        <f>F198+170</f>
        <v>983</v>
      </c>
      <c r="Q198" s="256">
        <f t="shared" si="488"/>
        <v>983</v>
      </c>
      <c r="R198" s="546">
        <f>F198+150</f>
        <v>963</v>
      </c>
      <c r="S198" s="256">
        <f t="shared" si="489"/>
        <v>963</v>
      </c>
      <c r="T198" s="92">
        <f>F198+130</f>
        <v>943</v>
      </c>
      <c r="U198" s="269">
        <f t="shared" si="490"/>
        <v>943</v>
      </c>
      <c r="V198" s="546">
        <f>F198+115</f>
        <v>928</v>
      </c>
      <c r="W198" s="256">
        <f t="shared" si="491"/>
        <v>928</v>
      </c>
      <c r="X198" s="974"/>
      <c r="Y198" s="975"/>
      <c r="Z198" s="975"/>
      <c r="AA198" s="976"/>
      <c r="AB198" s="357" t="s">
        <v>643</v>
      </c>
    </row>
    <row r="199" spans="1:38" ht="12.6" customHeight="1" x14ac:dyDescent="0.2">
      <c r="A199" s="23"/>
      <c r="B199" s="630" t="s">
        <v>646</v>
      </c>
      <c r="C199" s="631"/>
      <c r="D199" s="631"/>
      <c r="E199" s="631"/>
      <c r="F199" s="329">
        <v>890</v>
      </c>
      <c r="G199" s="270">
        <f t="shared" ref="G199" si="492">+F199*$X$1</f>
        <v>890</v>
      </c>
      <c r="H199" s="985"/>
      <c r="I199" s="986"/>
      <c r="J199" s="986"/>
      <c r="K199" s="987"/>
      <c r="L199" s="537">
        <f>F199+250</f>
        <v>1140</v>
      </c>
      <c r="M199" s="255">
        <f t="shared" si="486"/>
        <v>1140</v>
      </c>
      <c r="N199" s="537">
        <f>F199+190</f>
        <v>1080</v>
      </c>
      <c r="O199" s="255">
        <f t="shared" si="487"/>
        <v>1080</v>
      </c>
      <c r="P199" s="537">
        <f>F199+170</f>
        <v>1060</v>
      </c>
      <c r="Q199" s="255">
        <f t="shared" si="488"/>
        <v>1060</v>
      </c>
      <c r="R199" s="537">
        <f>F199+150</f>
        <v>1040</v>
      </c>
      <c r="S199" s="255">
        <f t="shared" si="489"/>
        <v>1040</v>
      </c>
      <c r="T199" s="93">
        <f>F199+130</f>
        <v>1020</v>
      </c>
      <c r="U199" s="234">
        <f t="shared" si="490"/>
        <v>1020</v>
      </c>
      <c r="V199" s="537">
        <f>F199+115</f>
        <v>1005</v>
      </c>
      <c r="W199" s="255">
        <f t="shared" si="491"/>
        <v>1005</v>
      </c>
      <c r="X199" s="967"/>
      <c r="Y199" s="968"/>
      <c r="Z199" s="968"/>
      <c r="AA199" s="969"/>
      <c r="AB199" s="357" t="s">
        <v>645</v>
      </c>
    </row>
    <row r="200" spans="1:38" ht="12.6" customHeight="1" x14ac:dyDescent="0.2">
      <c r="A200" s="23"/>
      <c r="B200" s="642" t="s">
        <v>528</v>
      </c>
      <c r="C200" s="643"/>
      <c r="D200" s="643"/>
      <c r="E200" s="643"/>
      <c r="F200" s="328">
        <v>906</v>
      </c>
      <c r="G200" s="280">
        <f t="shared" si="478"/>
        <v>906</v>
      </c>
      <c r="H200" s="988"/>
      <c r="I200" s="989"/>
      <c r="J200" s="989"/>
      <c r="K200" s="990"/>
      <c r="L200" s="546">
        <f>F200+280</f>
        <v>1186</v>
      </c>
      <c r="M200" s="256">
        <f t="shared" si="486"/>
        <v>1186</v>
      </c>
      <c r="N200" s="546">
        <f>F200+220</f>
        <v>1126</v>
      </c>
      <c r="O200" s="256">
        <f t="shared" si="487"/>
        <v>1126</v>
      </c>
      <c r="P200" s="546">
        <f>F200+200</f>
        <v>1106</v>
      </c>
      <c r="Q200" s="256">
        <f t="shared" si="488"/>
        <v>1106</v>
      </c>
      <c r="R200" s="546">
        <f>F200+180</f>
        <v>1086</v>
      </c>
      <c r="S200" s="256">
        <f t="shared" si="489"/>
        <v>1086</v>
      </c>
      <c r="T200" s="92">
        <f>F200+160</f>
        <v>1066</v>
      </c>
      <c r="U200" s="269">
        <f t="shared" si="490"/>
        <v>1066</v>
      </c>
      <c r="V200" s="546">
        <f>F200+140</f>
        <v>1046</v>
      </c>
      <c r="W200" s="256">
        <f t="shared" si="491"/>
        <v>1046</v>
      </c>
      <c r="X200" s="967"/>
      <c r="Y200" s="968"/>
      <c r="Z200" s="968"/>
      <c r="AA200" s="969"/>
      <c r="AB200" s="357" t="s">
        <v>641</v>
      </c>
    </row>
    <row r="201" spans="1:38" ht="12.6" customHeight="1" x14ac:dyDescent="0.2">
      <c r="A201" s="94"/>
      <c r="B201" s="947" t="s">
        <v>847</v>
      </c>
      <c r="C201" s="948"/>
      <c r="D201" s="948"/>
      <c r="E201" s="948"/>
      <c r="F201" s="433">
        <f>0.89*X2</f>
        <v>1370.6</v>
      </c>
      <c r="G201" s="541">
        <f t="shared" si="478"/>
        <v>1370.6</v>
      </c>
      <c r="H201" s="537"/>
      <c r="I201" s="255"/>
      <c r="J201" s="68"/>
      <c r="K201" s="255"/>
      <c r="L201" s="537">
        <f>F201+210</f>
        <v>1580.6</v>
      </c>
      <c r="M201" s="255">
        <f t="shared" ref="M201:M204" si="493">+L201*$X$1</f>
        <v>1580.6</v>
      </c>
      <c r="N201" s="537">
        <f>F201+160</f>
        <v>1530.6</v>
      </c>
      <c r="O201" s="255">
        <f t="shared" ref="O201:O204" si="494">+N201*$X$1</f>
        <v>1530.6</v>
      </c>
      <c r="P201" s="537">
        <f>F201+130</f>
        <v>1500.6</v>
      </c>
      <c r="Q201" s="255">
        <f t="shared" ref="Q201:Q204" si="495">+P201*$X$1</f>
        <v>1500.6</v>
      </c>
      <c r="R201" s="537">
        <f>F201+110</f>
        <v>1480.6</v>
      </c>
      <c r="S201" s="255">
        <f t="shared" ref="S201:S204" si="496">+R201*$X$1</f>
        <v>1480.6</v>
      </c>
      <c r="T201" s="537">
        <f>F201+90</f>
        <v>1460.6</v>
      </c>
      <c r="U201" s="255">
        <f t="shared" ref="U201:U204" si="497">+T201*$X$1</f>
        <v>1460.6</v>
      </c>
      <c r="V201" s="537">
        <f>F201+70</f>
        <v>1440.6</v>
      </c>
      <c r="W201" s="255">
        <f t="shared" ref="W201:W204" si="498">+V201*$X$1</f>
        <v>1440.6</v>
      </c>
      <c r="X201" s="135"/>
      <c r="Y201" s="144"/>
      <c r="Z201" s="135"/>
      <c r="AA201" s="135"/>
      <c r="AB201" s="178">
        <v>425</v>
      </c>
    </row>
    <row r="202" spans="1:38" ht="12.6" customHeight="1" x14ac:dyDescent="0.2">
      <c r="A202" s="94"/>
      <c r="B202" s="642" t="s">
        <v>757</v>
      </c>
      <c r="C202" s="914"/>
      <c r="D202" s="914"/>
      <c r="E202" s="914"/>
      <c r="F202" s="327">
        <f>0.64*X2</f>
        <v>985.6</v>
      </c>
      <c r="G202" s="256">
        <f t="shared" ref="G202" si="499">+F202*$X$1</f>
        <v>985.6</v>
      </c>
      <c r="H202" s="546"/>
      <c r="I202" s="256"/>
      <c r="J202" s="82"/>
      <c r="K202" s="256"/>
      <c r="L202" s="546">
        <f>F202+210</f>
        <v>1195.5999999999999</v>
      </c>
      <c r="M202" s="256">
        <f t="shared" si="493"/>
        <v>1195.5999999999999</v>
      </c>
      <c r="N202" s="546">
        <f>F202+160</f>
        <v>1145.5999999999999</v>
      </c>
      <c r="O202" s="256">
        <f t="shared" si="494"/>
        <v>1145.5999999999999</v>
      </c>
      <c r="P202" s="546">
        <f>F202+130</f>
        <v>1115.5999999999999</v>
      </c>
      <c r="Q202" s="256">
        <f t="shared" si="495"/>
        <v>1115.5999999999999</v>
      </c>
      <c r="R202" s="546">
        <f>F202+110</f>
        <v>1095.5999999999999</v>
      </c>
      <c r="S202" s="256">
        <f t="shared" si="496"/>
        <v>1095.5999999999999</v>
      </c>
      <c r="T202" s="546">
        <f>F202+90</f>
        <v>1075.5999999999999</v>
      </c>
      <c r="U202" s="256">
        <f t="shared" si="497"/>
        <v>1075.5999999999999</v>
      </c>
      <c r="V202" s="546">
        <f>F202+70</f>
        <v>1055.5999999999999</v>
      </c>
      <c r="W202" s="256">
        <f t="shared" si="498"/>
        <v>1055.5999999999999</v>
      </c>
      <c r="X202" s="135"/>
      <c r="Y202" s="144"/>
      <c r="Z202" s="135"/>
      <c r="AA202" s="135"/>
      <c r="AB202" s="178">
        <v>426</v>
      </c>
    </row>
    <row r="203" spans="1:38" ht="12.6" customHeight="1" x14ac:dyDescent="0.2">
      <c r="A203" s="94"/>
      <c r="B203" s="630" t="s">
        <v>443</v>
      </c>
      <c r="C203" s="631"/>
      <c r="D203" s="631"/>
      <c r="E203" s="631"/>
      <c r="F203" s="326">
        <f>0.63*X2</f>
        <v>970.2</v>
      </c>
      <c r="G203" s="255">
        <f t="shared" si="478"/>
        <v>970.2</v>
      </c>
      <c r="H203" s="537"/>
      <c r="I203" s="255"/>
      <c r="J203" s="68"/>
      <c r="K203" s="255"/>
      <c r="L203" s="537">
        <f>F203+210</f>
        <v>1180.2</v>
      </c>
      <c r="M203" s="255">
        <f t="shared" si="493"/>
        <v>1180.2</v>
      </c>
      <c r="N203" s="537">
        <f>F203+160</f>
        <v>1130.2</v>
      </c>
      <c r="O203" s="255">
        <f t="shared" si="494"/>
        <v>1130.2</v>
      </c>
      <c r="P203" s="537">
        <f>F203+130</f>
        <v>1100.2</v>
      </c>
      <c r="Q203" s="255">
        <f t="shared" si="495"/>
        <v>1100.2</v>
      </c>
      <c r="R203" s="537">
        <f>F203+110</f>
        <v>1080.2</v>
      </c>
      <c r="S203" s="255">
        <f t="shared" si="496"/>
        <v>1080.2</v>
      </c>
      <c r="T203" s="537">
        <f>F203+90</f>
        <v>1060.2</v>
      </c>
      <c r="U203" s="255">
        <f t="shared" si="497"/>
        <v>1060.2</v>
      </c>
      <c r="V203" s="537">
        <f>F203+70</f>
        <v>1040.2</v>
      </c>
      <c r="W203" s="255">
        <f t="shared" si="498"/>
        <v>1040.2</v>
      </c>
      <c r="X203" s="135"/>
      <c r="Y203" s="144"/>
      <c r="Z203" s="135"/>
      <c r="AA203" s="135"/>
      <c r="AB203" s="178" t="s">
        <v>492</v>
      </c>
    </row>
    <row r="204" spans="1:38" ht="12.6" customHeight="1" x14ac:dyDescent="0.2">
      <c r="A204" s="94"/>
      <c r="B204" s="642" t="s">
        <v>433</v>
      </c>
      <c r="C204" s="643"/>
      <c r="D204" s="643"/>
      <c r="E204" s="643"/>
      <c r="F204" s="327">
        <f>0.51*X2</f>
        <v>785.4</v>
      </c>
      <c r="G204" s="256">
        <f t="shared" ref="G204:G205" si="500">+F204*$X$1</f>
        <v>785.4</v>
      </c>
      <c r="H204" s="546"/>
      <c r="I204" s="256"/>
      <c r="J204" s="82"/>
      <c r="K204" s="256"/>
      <c r="L204" s="546">
        <f>F204+210</f>
        <v>995.4</v>
      </c>
      <c r="M204" s="256">
        <f t="shared" si="493"/>
        <v>995.4</v>
      </c>
      <c r="N204" s="546">
        <f>F204+160</f>
        <v>945.4</v>
      </c>
      <c r="O204" s="256">
        <f t="shared" si="494"/>
        <v>945.4</v>
      </c>
      <c r="P204" s="546">
        <f>F204+130</f>
        <v>915.4</v>
      </c>
      <c r="Q204" s="256">
        <f t="shared" si="495"/>
        <v>915.4</v>
      </c>
      <c r="R204" s="546">
        <f>F204+110</f>
        <v>895.4</v>
      </c>
      <c r="S204" s="256">
        <f t="shared" si="496"/>
        <v>895.4</v>
      </c>
      <c r="T204" s="546">
        <f>F204+90</f>
        <v>875.4</v>
      </c>
      <c r="U204" s="256">
        <f t="shared" si="497"/>
        <v>875.4</v>
      </c>
      <c r="V204" s="546">
        <f>F204+70</f>
        <v>855.4</v>
      </c>
      <c r="W204" s="256">
        <f t="shared" si="498"/>
        <v>855.4</v>
      </c>
      <c r="X204" s="135"/>
      <c r="Y204" s="144"/>
      <c r="Z204" s="135"/>
      <c r="AA204" s="135"/>
      <c r="AB204" s="178">
        <v>428</v>
      </c>
    </row>
    <row r="205" spans="1:38" s="1" customFormat="1" ht="12.6" customHeight="1" x14ac:dyDescent="0.2">
      <c r="A205" s="18"/>
      <c r="B205" s="666" t="s">
        <v>845</v>
      </c>
      <c r="C205" s="684"/>
      <c r="D205" s="684"/>
      <c r="E205" s="685"/>
      <c r="F205" s="457">
        <f>11.67*X2</f>
        <v>17971.8</v>
      </c>
      <c r="G205" s="255">
        <f t="shared" si="500"/>
        <v>17971.8</v>
      </c>
      <c r="H205" s="68">
        <f>F205+600</f>
        <v>18571.8</v>
      </c>
      <c r="I205" s="255">
        <f t="shared" ref="I205:I206" si="501">+H205*$X$1</f>
        <v>18571.8</v>
      </c>
      <c r="J205" s="537">
        <f>F205+220</f>
        <v>18191.8</v>
      </c>
      <c r="K205" s="255">
        <f t="shared" ref="K205:K207" si="502">+J205*$X$1</f>
        <v>18191.8</v>
      </c>
      <c r="L205" s="537">
        <f>F205+170</f>
        <v>18141.8</v>
      </c>
      <c r="M205" s="255">
        <f t="shared" ref="M205:M207" si="503">+L205*$X$1</f>
        <v>18141.8</v>
      </c>
      <c r="N205" s="537">
        <f>F205+120</f>
        <v>18091.8</v>
      </c>
      <c r="O205" s="255">
        <f t="shared" ref="O205" si="504">+N205*$X$1</f>
        <v>18091.8</v>
      </c>
      <c r="P205" s="537">
        <f>F205+110</f>
        <v>18081.8</v>
      </c>
      <c r="Q205" s="255">
        <f t="shared" ref="Q205:Q207" si="505">+P205*$X$1</f>
        <v>18081.8</v>
      </c>
      <c r="R205" s="537">
        <f>F205+95</f>
        <v>18066.8</v>
      </c>
      <c r="S205" s="255">
        <f t="shared" ref="S205" si="506">+R205*$X$1</f>
        <v>18066.8</v>
      </c>
      <c r="T205" s="537">
        <f>F205+85</f>
        <v>18056.8</v>
      </c>
      <c r="U205" s="255">
        <f t="shared" ref="U205:U207" si="507">+T205*$X$1</f>
        <v>18056.8</v>
      </c>
      <c r="V205" s="537">
        <f>F205+76</f>
        <v>18047.8</v>
      </c>
      <c r="W205" s="255">
        <f t="shared" ref="W205:W207" si="508">+V205*$X$1</f>
        <v>18047.8</v>
      </c>
      <c r="X205" s="501"/>
      <c r="Y205" s="502"/>
      <c r="Z205" s="502"/>
      <c r="AA205" s="503"/>
      <c r="AB205" s="178">
        <v>430</v>
      </c>
      <c r="AC205" s="4"/>
      <c r="AD205" s="4"/>
      <c r="AE205" s="4"/>
      <c r="AF205" s="4"/>
      <c r="AG205" s="4"/>
      <c r="AH205" s="116"/>
      <c r="AI205" s="4"/>
      <c r="AJ205" s="4"/>
      <c r="AK205" s="4"/>
      <c r="AL205" s="4"/>
    </row>
    <row r="206" spans="1:38" s="1" customFormat="1" ht="12.6" customHeight="1" x14ac:dyDescent="0.2">
      <c r="A206" s="18"/>
      <c r="B206" s="639" t="s">
        <v>846</v>
      </c>
      <c r="C206" s="649"/>
      <c r="D206" s="649"/>
      <c r="E206" s="650"/>
      <c r="F206" s="492">
        <f>12.7*X2</f>
        <v>19558</v>
      </c>
      <c r="G206" s="256">
        <f t="shared" ref="G206" si="509">+F206*$X$1</f>
        <v>19558</v>
      </c>
      <c r="H206" s="546">
        <f>F206+600</f>
        <v>20158</v>
      </c>
      <c r="I206" s="256">
        <f t="shared" si="501"/>
        <v>20158</v>
      </c>
      <c r="J206" s="546">
        <f>F206+200</f>
        <v>19758</v>
      </c>
      <c r="K206" s="256">
        <f t="shared" si="502"/>
        <v>19758</v>
      </c>
      <c r="L206" s="546">
        <f>F206+150</f>
        <v>19708</v>
      </c>
      <c r="M206" s="256">
        <f t="shared" si="503"/>
        <v>19708</v>
      </c>
      <c r="N206" s="546">
        <f>F206+100</f>
        <v>19658</v>
      </c>
      <c r="O206" s="256">
        <f>+N206*$X$1</f>
        <v>19658</v>
      </c>
      <c r="P206" s="546">
        <f>F206+90</f>
        <v>19648</v>
      </c>
      <c r="Q206" s="256">
        <f t="shared" si="505"/>
        <v>19648</v>
      </c>
      <c r="R206" s="546">
        <f>F206+70</f>
        <v>19628</v>
      </c>
      <c r="S206" s="256">
        <f>+R206*$X$1</f>
        <v>19628</v>
      </c>
      <c r="T206" s="546">
        <f>F206+56</f>
        <v>19614</v>
      </c>
      <c r="U206" s="256">
        <f t="shared" si="507"/>
        <v>19614</v>
      </c>
      <c r="V206" s="546">
        <f>F206+49</f>
        <v>19607</v>
      </c>
      <c r="W206" s="256">
        <f t="shared" si="508"/>
        <v>19607</v>
      </c>
      <c r="X206" s="507"/>
      <c r="Y206" s="509"/>
      <c r="Z206" s="509"/>
      <c r="AA206" s="508"/>
      <c r="AB206" s="178">
        <v>431</v>
      </c>
      <c r="AC206" s="4"/>
      <c r="AD206" s="4"/>
      <c r="AE206" s="4"/>
      <c r="AF206" s="4"/>
      <c r="AG206" s="4"/>
      <c r="AH206" s="116"/>
      <c r="AI206" s="4"/>
      <c r="AJ206" s="4"/>
      <c r="AK206" s="4"/>
      <c r="AL206" s="4"/>
    </row>
    <row r="207" spans="1:38" ht="12.6" customHeight="1" x14ac:dyDescent="0.2">
      <c r="A207" s="17"/>
      <c r="B207" s="630" t="s">
        <v>171</v>
      </c>
      <c r="C207" s="631"/>
      <c r="D207" s="631"/>
      <c r="E207" s="631"/>
      <c r="F207" s="326">
        <f>1.53*X2</f>
        <v>2356.1999999999998</v>
      </c>
      <c r="G207" s="255">
        <f t="shared" si="478"/>
        <v>2356.1999999999998</v>
      </c>
      <c r="H207" s="537">
        <f>F207+700</f>
        <v>3056.2</v>
      </c>
      <c r="I207" s="255">
        <f t="shared" ref="I207" si="510">+H207*$X$1</f>
        <v>3056.2</v>
      </c>
      <c r="J207" s="68">
        <f>F207+280</f>
        <v>2636.2</v>
      </c>
      <c r="K207" s="255">
        <f t="shared" si="502"/>
        <v>2636.2</v>
      </c>
      <c r="L207" s="537">
        <f>F207+210</f>
        <v>2566.1999999999998</v>
      </c>
      <c r="M207" s="255">
        <f t="shared" si="503"/>
        <v>2566.1999999999998</v>
      </c>
      <c r="N207" s="537">
        <f>F207+160</f>
        <v>2516.1999999999998</v>
      </c>
      <c r="O207" s="255">
        <f t="shared" ref="O207" si="511">+N207*$X$1</f>
        <v>2516.1999999999998</v>
      </c>
      <c r="P207" s="537">
        <f>F207+130</f>
        <v>2486.1999999999998</v>
      </c>
      <c r="Q207" s="255">
        <f t="shared" si="505"/>
        <v>2486.1999999999998</v>
      </c>
      <c r="R207" s="537">
        <f>F207+110</f>
        <v>2466.1999999999998</v>
      </c>
      <c r="S207" s="255">
        <f t="shared" ref="S207" si="512">+R207*$X$1</f>
        <v>2466.1999999999998</v>
      </c>
      <c r="T207" s="537">
        <f>F207+90</f>
        <v>2446.1999999999998</v>
      </c>
      <c r="U207" s="255">
        <f t="shared" si="507"/>
        <v>2446.1999999999998</v>
      </c>
      <c r="V207" s="537">
        <f>F207+70</f>
        <v>2426.1999999999998</v>
      </c>
      <c r="W207" s="255">
        <f t="shared" si="508"/>
        <v>2426.1999999999998</v>
      </c>
      <c r="X207" s="135"/>
      <c r="Y207" s="144"/>
      <c r="Z207" s="135"/>
      <c r="AA207" s="135"/>
      <c r="AB207" s="178">
        <v>442</v>
      </c>
    </row>
    <row r="208" spans="1:38" ht="12.6" customHeight="1" x14ac:dyDescent="0.2">
      <c r="A208" s="17"/>
      <c r="B208" s="642" t="s">
        <v>327</v>
      </c>
      <c r="C208" s="682"/>
      <c r="D208" s="682"/>
      <c r="E208" s="682"/>
      <c r="F208" s="327">
        <f>1.98*X2</f>
        <v>3049.2</v>
      </c>
      <c r="G208" s="436">
        <f t="shared" ref="G208:G213" si="513">+F208*$X$1</f>
        <v>3049.2</v>
      </c>
      <c r="H208" s="546"/>
      <c r="I208" s="256"/>
      <c r="J208" s="82">
        <f>F208+280</f>
        <v>3329.2</v>
      </c>
      <c r="K208" s="256">
        <f t="shared" ref="K208" si="514">+J208*$X$1</f>
        <v>3329.2</v>
      </c>
      <c r="L208" s="546">
        <f>F208+210</f>
        <v>3259.2</v>
      </c>
      <c r="M208" s="256">
        <f t="shared" ref="M208" si="515">+L208*$X$1</f>
        <v>3259.2</v>
      </c>
      <c r="N208" s="546">
        <f>F208+160</f>
        <v>3209.2</v>
      </c>
      <c r="O208" s="256">
        <f t="shared" ref="O208" si="516">+N208*$X$1</f>
        <v>3209.2</v>
      </c>
      <c r="P208" s="546"/>
      <c r="Q208" s="256"/>
      <c r="R208" s="546"/>
      <c r="S208" s="256"/>
      <c r="T208" s="546"/>
      <c r="U208" s="256"/>
      <c r="V208" s="546"/>
      <c r="W208" s="256"/>
      <c r="X208" s="135"/>
      <c r="Y208" s="144"/>
      <c r="Z208" s="135"/>
      <c r="AA208" s="135"/>
      <c r="AB208" s="178">
        <v>465</v>
      </c>
    </row>
    <row r="209" spans="1:28" ht="12.6" customHeight="1" x14ac:dyDescent="0.2">
      <c r="A209" s="17"/>
      <c r="B209" s="630" t="s">
        <v>725</v>
      </c>
      <c r="C209" s="703"/>
      <c r="D209" s="703"/>
      <c r="E209" s="703"/>
      <c r="F209" s="326">
        <f>0.91*X2</f>
        <v>1401.4</v>
      </c>
      <c r="G209" s="299">
        <f t="shared" ref="G209" si="517">+F209*$X$1</f>
        <v>1401.4</v>
      </c>
      <c r="H209" s="537"/>
      <c r="I209" s="255"/>
      <c r="J209" s="68">
        <f>F209+280</f>
        <v>1681.4</v>
      </c>
      <c r="K209" s="255">
        <f t="shared" ref="K209" si="518">+J209*$X$1</f>
        <v>1681.4</v>
      </c>
      <c r="L209" s="537">
        <f>F209+210</f>
        <v>1611.4</v>
      </c>
      <c r="M209" s="255">
        <f t="shared" ref="M209" si="519">+L209*$X$1</f>
        <v>1611.4</v>
      </c>
      <c r="N209" s="537">
        <f>F209+160</f>
        <v>1561.4</v>
      </c>
      <c r="O209" s="255">
        <f t="shared" ref="O209" si="520">+N209*$X$1</f>
        <v>1561.4</v>
      </c>
      <c r="P209" s="537">
        <f>F209+130</f>
        <v>1531.4</v>
      </c>
      <c r="Q209" s="255">
        <f t="shared" ref="Q209" si="521">+P209*$X$1</f>
        <v>1531.4</v>
      </c>
      <c r="R209" s="537">
        <f>F209+110</f>
        <v>1511.4</v>
      </c>
      <c r="S209" s="255">
        <f t="shared" ref="S209" si="522">+R209*$X$1</f>
        <v>1511.4</v>
      </c>
      <c r="T209" s="537">
        <f>F209+90</f>
        <v>1491.4</v>
      </c>
      <c r="U209" s="255">
        <f t="shared" ref="U209" si="523">+T209*$X$1</f>
        <v>1491.4</v>
      </c>
      <c r="V209" s="537">
        <f>F209+70</f>
        <v>1471.4</v>
      </c>
      <c r="W209" s="255">
        <f t="shared" ref="W209" si="524">+V209*$X$1</f>
        <v>1471.4</v>
      </c>
      <c r="X209" s="135"/>
      <c r="Y209" s="144"/>
      <c r="Z209" s="135"/>
      <c r="AA209" s="135"/>
      <c r="AB209" s="178">
        <v>466</v>
      </c>
    </row>
    <row r="210" spans="1:28" ht="12.6" customHeight="1" x14ac:dyDescent="0.2">
      <c r="A210" s="17"/>
      <c r="B210" s="625" t="s">
        <v>1013</v>
      </c>
      <c r="C210" s="626"/>
      <c r="D210" s="626"/>
      <c r="E210" s="626"/>
      <c r="F210" s="328"/>
      <c r="G210" s="300"/>
      <c r="H210" s="546"/>
      <c r="I210" s="704" t="s">
        <v>360</v>
      </c>
      <c r="J210" s="705"/>
      <c r="K210" s="705"/>
      <c r="L210" s="705"/>
      <c r="M210" s="706"/>
      <c r="N210" s="546">
        <v>1860</v>
      </c>
      <c r="O210" s="256">
        <f t="shared" ref="O210:W215" si="525">+N210*$X$1</f>
        <v>1860</v>
      </c>
      <c r="P210" s="546">
        <v>1850</v>
      </c>
      <c r="Q210" s="256">
        <f t="shared" si="525"/>
        <v>1850</v>
      </c>
      <c r="R210" s="546">
        <v>1610</v>
      </c>
      <c r="S210" s="256">
        <f t="shared" si="525"/>
        <v>1610</v>
      </c>
      <c r="T210" s="546">
        <v>1480</v>
      </c>
      <c r="U210" s="256">
        <f t="shared" si="525"/>
        <v>1480</v>
      </c>
      <c r="V210" s="546">
        <v>1368</v>
      </c>
      <c r="W210" s="256">
        <f t="shared" si="525"/>
        <v>1368</v>
      </c>
      <c r="X210" s="135"/>
      <c r="Y210" s="135"/>
      <c r="Z210" s="135"/>
      <c r="AA210" s="135"/>
      <c r="AB210" s="178">
        <v>520</v>
      </c>
    </row>
    <row r="211" spans="1:28" ht="12.6" customHeight="1" x14ac:dyDescent="0.2">
      <c r="A211" s="17"/>
      <c r="B211" s="625" t="s">
        <v>1012</v>
      </c>
      <c r="C211" s="626"/>
      <c r="D211" s="626"/>
      <c r="E211" s="626"/>
      <c r="F211" s="329"/>
      <c r="G211" s="271"/>
      <c r="H211" s="537"/>
      <c r="I211" s="704" t="s">
        <v>360</v>
      </c>
      <c r="J211" s="705"/>
      <c r="K211" s="705"/>
      <c r="L211" s="705"/>
      <c r="M211" s="706"/>
      <c r="N211" s="537">
        <v>2237</v>
      </c>
      <c r="O211" s="255">
        <f t="shared" si="525"/>
        <v>2237</v>
      </c>
      <c r="P211" s="537">
        <v>2227</v>
      </c>
      <c r="Q211" s="255">
        <f t="shared" si="525"/>
        <v>2227</v>
      </c>
      <c r="R211" s="537">
        <v>1937</v>
      </c>
      <c r="S211" s="255">
        <f t="shared" si="525"/>
        <v>1937</v>
      </c>
      <c r="T211" s="537">
        <v>1778</v>
      </c>
      <c r="U211" s="255">
        <f t="shared" si="525"/>
        <v>1778</v>
      </c>
      <c r="V211" s="537">
        <v>1642</v>
      </c>
      <c r="W211" s="255">
        <f t="shared" si="525"/>
        <v>1642</v>
      </c>
      <c r="X211" s="135"/>
      <c r="Y211" s="135"/>
      <c r="Z211" s="135"/>
      <c r="AA211" s="135"/>
      <c r="AB211" s="178">
        <v>521</v>
      </c>
    </row>
    <row r="212" spans="1:28" ht="12.6" customHeight="1" x14ac:dyDescent="0.2">
      <c r="A212" s="17"/>
      <c r="B212" s="625" t="s">
        <v>1009</v>
      </c>
      <c r="C212" s="626"/>
      <c r="D212" s="626"/>
      <c r="E212" s="626"/>
      <c r="F212" s="328"/>
      <c r="G212" s="300"/>
      <c r="H212" s="546"/>
      <c r="I212" s="256"/>
      <c r="J212" s="82"/>
      <c r="K212" s="256"/>
      <c r="L212" s="546"/>
      <c r="M212" s="256"/>
      <c r="N212" s="546">
        <v>1295</v>
      </c>
      <c r="O212" s="256">
        <f t="shared" si="525"/>
        <v>1295</v>
      </c>
      <c r="P212" s="546">
        <v>1274</v>
      </c>
      <c r="Q212" s="256">
        <f t="shared" si="525"/>
        <v>1274</v>
      </c>
      <c r="R212" s="546">
        <v>1134</v>
      </c>
      <c r="S212" s="256">
        <f t="shared" si="525"/>
        <v>1134</v>
      </c>
      <c r="T212" s="546">
        <v>1057</v>
      </c>
      <c r="U212" s="256">
        <f t="shared" si="525"/>
        <v>1057</v>
      </c>
      <c r="V212" s="546">
        <v>991</v>
      </c>
      <c r="W212" s="256">
        <f t="shared" si="525"/>
        <v>991</v>
      </c>
      <c r="X212" s="135"/>
      <c r="Y212" s="135"/>
      <c r="Z212" s="135"/>
      <c r="AA212" s="135"/>
      <c r="AB212" s="178">
        <v>527</v>
      </c>
    </row>
    <row r="213" spans="1:28" ht="12.6" customHeight="1" x14ac:dyDescent="0.2">
      <c r="A213" s="17"/>
      <c r="B213" s="699" t="s">
        <v>563</v>
      </c>
      <c r="C213" s="702"/>
      <c r="D213" s="702"/>
      <c r="E213" s="702"/>
      <c r="F213" s="329">
        <f>0.7*X2</f>
        <v>1078</v>
      </c>
      <c r="G213" s="271">
        <f t="shared" si="513"/>
        <v>1078</v>
      </c>
      <c r="H213" s="537"/>
      <c r="I213" s="255"/>
      <c r="J213" s="68">
        <f>F213+280</f>
        <v>1358</v>
      </c>
      <c r="K213" s="255">
        <f t="shared" ref="K213:K215" si="526">+J213*$X$1</f>
        <v>1358</v>
      </c>
      <c r="L213" s="537">
        <f>F213+210</f>
        <v>1288</v>
      </c>
      <c r="M213" s="255">
        <f t="shared" ref="M213:M215" si="527">+L213*$X$1</f>
        <v>1288</v>
      </c>
      <c r="N213" s="537">
        <f t="shared" ref="N213:N218" si="528">F213+160</f>
        <v>1238</v>
      </c>
      <c r="O213" s="255">
        <f t="shared" si="525"/>
        <v>1238</v>
      </c>
      <c r="P213" s="537">
        <f t="shared" ref="P213:P218" si="529">F213+130</f>
        <v>1208</v>
      </c>
      <c r="Q213" s="255">
        <f t="shared" si="525"/>
        <v>1208</v>
      </c>
      <c r="R213" s="537">
        <f t="shared" ref="R213:R218" si="530">F213+110</f>
        <v>1188</v>
      </c>
      <c r="S213" s="255">
        <f t="shared" si="525"/>
        <v>1188</v>
      </c>
      <c r="T213" s="537">
        <f>F213+90</f>
        <v>1168</v>
      </c>
      <c r="U213" s="255">
        <f t="shared" si="525"/>
        <v>1168</v>
      </c>
      <c r="V213" s="537">
        <f>F213+70</f>
        <v>1148</v>
      </c>
      <c r="W213" s="255">
        <f t="shared" si="525"/>
        <v>1148</v>
      </c>
      <c r="X213" s="135"/>
      <c r="Y213" s="135"/>
      <c r="Z213" s="135"/>
      <c r="AA213" s="135"/>
      <c r="AB213" s="178">
        <v>528</v>
      </c>
    </row>
    <row r="214" spans="1:28" ht="12.6" customHeight="1" x14ac:dyDescent="0.2">
      <c r="A214" s="17"/>
      <c r="B214" s="639" t="s">
        <v>328</v>
      </c>
      <c r="C214" s="664"/>
      <c r="D214" s="664"/>
      <c r="E214" s="665"/>
      <c r="F214" s="280">
        <v>4940</v>
      </c>
      <c r="G214" s="275">
        <f t="shared" ref="G214:G219" si="531">+F214*$X$1</f>
        <v>4940</v>
      </c>
      <c r="H214" s="546"/>
      <c r="I214" s="256"/>
      <c r="J214" s="82">
        <f>F214+280</f>
        <v>5220</v>
      </c>
      <c r="K214" s="256">
        <f t="shared" si="526"/>
        <v>5220</v>
      </c>
      <c r="L214" s="546">
        <f>F214+210</f>
        <v>5150</v>
      </c>
      <c r="M214" s="256">
        <f t="shared" si="527"/>
        <v>5150</v>
      </c>
      <c r="N214" s="546">
        <f t="shared" si="528"/>
        <v>5100</v>
      </c>
      <c r="O214" s="256">
        <f t="shared" si="525"/>
        <v>5100</v>
      </c>
      <c r="P214" s="546">
        <f t="shared" si="529"/>
        <v>5070</v>
      </c>
      <c r="Q214" s="256">
        <f t="shared" si="525"/>
        <v>5070</v>
      </c>
      <c r="R214" s="546">
        <f t="shared" si="530"/>
        <v>5050</v>
      </c>
      <c r="S214" s="256">
        <f t="shared" si="525"/>
        <v>5050</v>
      </c>
      <c r="T214" s="546">
        <f>F214+90</f>
        <v>5030</v>
      </c>
      <c r="U214" s="256">
        <f t="shared" si="525"/>
        <v>5030</v>
      </c>
      <c r="V214" s="546">
        <f>F214+70</f>
        <v>5010</v>
      </c>
      <c r="W214" s="256">
        <f t="shared" si="525"/>
        <v>5010</v>
      </c>
      <c r="X214" s="135"/>
      <c r="Y214" s="135"/>
      <c r="Z214" s="135"/>
      <c r="AA214" s="135"/>
      <c r="AB214" s="178"/>
    </row>
    <row r="215" spans="1:28" ht="12.6" customHeight="1" x14ac:dyDescent="0.2">
      <c r="A215" s="17"/>
      <c r="B215" s="666" t="s">
        <v>997</v>
      </c>
      <c r="C215" s="684"/>
      <c r="D215" s="684"/>
      <c r="E215" s="685"/>
      <c r="F215" s="329">
        <f>1.09*X2</f>
        <v>1678.6000000000001</v>
      </c>
      <c r="G215" s="271">
        <f t="shared" si="531"/>
        <v>1678.6000000000001</v>
      </c>
      <c r="H215" s="537"/>
      <c r="I215" s="255"/>
      <c r="J215" s="68">
        <f>F215+280</f>
        <v>1958.6000000000001</v>
      </c>
      <c r="K215" s="255">
        <f t="shared" si="526"/>
        <v>1958.6000000000001</v>
      </c>
      <c r="L215" s="537">
        <f>F215+210</f>
        <v>1888.6000000000001</v>
      </c>
      <c r="M215" s="255">
        <f t="shared" si="527"/>
        <v>1888.6000000000001</v>
      </c>
      <c r="N215" s="537">
        <f t="shared" si="528"/>
        <v>1838.6000000000001</v>
      </c>
      <c r="O215" s="255">
        <f t="shared" si="525"/>
        <v>1838.6000000000001</v>
      </c>
      <c r="P215" s="537">
        <f t="shared" si="529"/>
        <v>1808.6000000000001</v>
      </c>
      <c r="Q215" s="255">
        <f t="shared" si="525"/>
        <v>1808.6000000000001</v>
      </c>
      <c r="R215" s="537">
        <f t="shared" si="530"/>
        <v>1788.6000000000001</v>
      </c>
      <c r="S215" s="255">
        <f t="shared" si="525"/>
        <v>1788.6000000000001</v>
      </c>
      <c r="T215" s="537">
        <f>F215+90</f>
        <v>1768.6000000000001</v>
      </c>
      <c r="U215" s="255">
        <f t="shared" si="525"/>
        <v>1768.6000000000001</v>
      </c>
      <c r="V215" s="537">
        <f>F215+70</f>
        <v>1748.6000000000001</v>
      </c>
      <c r="W215" s="255">
        <f t="shared" si="525"/>
        <v>1748.6000000000001</v>
      </c>
      <c r="X215" s="135"/>
      <c r="Y215" s="135"/>
      <c r="Z215" s="135"/>
      <c r="AA215" s="135"/>
      <c r="AB215" s="178">
        <v>534</v>
      </c>
    </row>
    <row r="216" spans="1:28" ht="12.6" customHeight="1" x14ac:dyDescent="0.2">
      <c r="A216" s="17"/>
      <c r="B216" s="683" t="s">
        <v>938</v>
      </c>
      <c r="C216" s="652"/>
      <c r="D216" s="652"/>
      <c r="E216" s="653"/>
      <c r="F216" s="280">
        <v>160</v>
      </c>
      <c r="G216" s="275">
        <f t="shared" ref="G216" si="532">+F216*$X$1</f>
        <v>160</v>
      </c>
      <c r="H216" s="546"/>
      <c r="I216" s="256"/>
      <c r="J216" s="82"/>
      <c r="K216" s="256"/>
      <c r="L216" s="546"/>
      <c r="M216" s="256"/>
      <c r="N216" s="546">
        <f t="shared" si="528"/>
        <v>320</v>
      </c>
      <c r="O216" s="256">
        <f t="shared" ref="O216:O217" si="533">+N216*$X$1</f>
        <v>320</v>
      </c>
      <c r="P216" s="546">
        <f t="shared" si="529"/>
        <v>290</v>
      </c>
      <c r="Q216" s="256">
        <f t="shared" ref="Q216:Q217" si="534">+P216*$X$1</f>
        <v>290</v>
      </c>
      <c r="R216" s="546">
        <f t="shared" si="530"/>
        <v>270</v>
      </c>
      <c r="S216" s="256">
        <f t="shared" ref="S216:S217" si="535">+R216*$X$1</f>
        <v>270</v>
      </c>
      <c r="T216" s="546">
        <f>F216+90</f>
        <v>250</v>
      </c>
      <c r="U216" s="256">
        <f t="shared" ref="U216:U217" si="536">+T216*$X$1</f>
        <v>250</v>
      </c>
      <c r="V216" s="546">
        <f>F216+70</f>
        <v>230</v>
      </c>
      <c r="W216" s="256">
        <f t="shared" ref="W216:W217" si="537">+V216*$X$1</f>
        <v>230</v>
      </c>
      <c r="X216" s="135"/>
      <c r="Y216" s="135"/>
      <c r="Z216" s="135"/>
      <c r="AA216" s="135"/>
      <c r="AB216" s="178">
        <v>537</v>
      </c>
    </row>
    <row r="217" spans="1:28" ht="12.6" customHeight="1" x14ac:dyDescent="0.2">
      <c r="A217" s="17"/>
      <c r="B217" s="666" t="s">
        <v>329</v>
      </c>
      <c r="C217" s="684"/>
      <c r="D217" s="684"/>
      <c r="E217" s="685"/>
      <c r="F217" s="270">
        <v>1530</v>
      </c>
      <c r="G217" s="276">
        <f t="shared" si="531"/>
        <v>1530</v>
      </c>
      <c r="H217" s="537"/>
      <c r="I217" s="255"/>
      <c r="J217" s="68">
        <f>F217+280</f>
        <v>1810</v>
      </c>
      <c r="K217" s="255">
        <f t="shared" ref="K217" si="538">+J217*$X$1</f>
        <v>1810</v>
      </c>
      <c r="L217" s="537">
        <f>F217+210</f>
        <v>1740</v>
      </c>
      <c r="M217" s="255">
        <f t="shared" ref="M217" si="539">+L217*$X$1</f>
        <v>1740</v>
      </c>
      <c r="N217" s="537">
        <f t="shared" si="528"/>
        <v>1690</v>
      </c>
      <c r="O217" s="255">
        <f t="shared" si="533"/>
        <v>1690</v>
      </c>
      <c r="P217" s="537">
        <f t="shared" si="529"/>
        <v>1660</v>
      </c>
      <c r="Q217" s="255">
        <f t="shared" si="534"/>
        <v>1660</v>
      </c>
      <c r="R217" s="537">
        <f t="shared" si="530"/>
        <v>1640</v>
      </c>
      <c r="S217" s="255">
        <f t="shared" si="535"/>
        <v>1640</v>
      </c>
      <c r="T217" s="537">
        <f>F217+90</f>
        <v>1620</v>
      </c>
      <c r="U217" s="255">
        <f t="shared" si="536"/>
        <v>1620</v>
      </c>
      <c r="V217" s="537">
        <f>F217+70</f>
        <v>1600</v>
      </c>
      <c r="W217" s="255">
        <f t="shared" si="537"/>
        <v>1600</v>
      </c>
      <c r="X217" s="135"/>
      <c r="Y217" s="135"/>
      <c r="Z217" s="135"/>
      <c r="AA217" s="135"/>
      <c r="AB217" s="178"/>
    </row>
    <row r="218" spans="1:28" ht="12.6" customHeight="1" x14ac:dyDescent="0.2">
      <c r="A218" s="17"/>
      <c r="B218" s="656" t="s">
        <v>172</v>
      </c>
      <c r="C218" s="747"/>
      <c r="D218" s="747"/>
      <c r="E218" s="747"/>
      <c r="F218" s="280">
        <v>240</v>
      </c>
      <c r="G218" s="308">
        <f>+F218*$X$1</f>
        <v>240</v>
      </c>
      <c r="H218" s="977" t="s">
        <v>320</v>
      </c>
      <c r="I218" s="977"/>
      <c r="J218" s="978"/>
      <c r="K218" s="978"/>
      <c r="L218" s="978"/>
      <c r="M218" s="979"/>
      <c r="N218" s="546">
        <f t="shared" si="528"/>
        <v>400</v>
      </c>
      <c r="O218" s="256">
        <f t="shared" ref="O218" si="540">+N218*$X$1</f>
        <v>400</v>
      </c>
      <c r="P218" s="546">
        <f t="shared" si="529"/>
        <v>370</v>
      </c>
      <c r="Q218" s="256">
        <f t="shared" ref="Q218" si="541">+P218*$X$1</f>
        <v>370</v>
      </c>
      <c r="R218" s="546">
        <f t="shared" si="530"/>
        <v>350</v>
      </c>
      <c r="S218" s="256">
        <f t="shared" ref="S218" si="542">+R218*$X$1</f>
        <v>350</v>
      </c>
      <c r="T218" s="546"/>
      <c r="U218" s="256"/>
      <c r="V218" s="546"/>
      <c r="W218" s="256"/>
      <c r="X218" s="135"/>
      <c r="Y218" s="135"/>
      <c r="Z218" s="135"/>
      <c r="AA218" s="135"/>
      <c r="AB218" s="178">
        <v>539</v>
      </c>
    </row>
    <row r="219" spans="1:28" ht="12.6" customHeight="1" x14ac:dyDescent="0.2">
      <c r="A219" s="17"/>
      <c r="B219" s="699" t="s">
        <v>426</v>
      </c>
      <c r="C219" s="702"/>
      <c r="D219" s="702"/>
      <c r="E219" s="702"/>
      <c r="F219" s="270">
        <v>610</v>
      </c>
      <c r="G219" s="271">
        <f t="shared" si="531"/>
        <v>610</v>
      </c>
      <c r="H219" s="251"/>
      <c r="I219" s="251"/>
      <c r="J219" s="68"/>
      <c r="K219" s="255"/>
      <c r="L219" s="537"/>
      <c r="M219" s="255"/>
      <c r="N219" s="537"/>
      <c r="O219" s="255"/>
      <c r="P219" s="537"/>
      <c r="Q219" s="255"/>
      <c r="R219" s="537"/>
      <c r="S219" s="255"/>
      <c r="T219" s="537">
        <f>F219+90</f>
        <v>700</v>
      </c>
      <c r="U219" s="255">
        <f t="shared" ref="U219:U220" si="543">+T219*$X$1</f>
        <v>700</v>
      </c>
      <c r="V219" s="537">
        <f>F219+70</f>
        <v>680</v>
      </c>
      <c r="W219" s="255">
        <f t="shared" ref="W219:W220" si="544">+V219*$X$1</f>
        <v>680</v>
      </c>
      <c r="X219" s="135"/>
      <c r="Y219" s="135"/>
      <c r="Z219" s="135"/>
      <c r="AA219" s="135"/>
      <c r="AB219" s="178">
        <v>540</v>
      </c>
    </row>
    <row r="220" spans="1:28" ht="12.6" customHeight="1" x14ac:dyDescent="0.2">
      <c r="A220" s="17"/>
      <c r="B220" s="656" t="s">
        <v>428</v>
      </c>
      <c r="C220" s="657"/>
      <c r="D220" s="657"/>
      <c r="E220" s="657"/>
      <c r="F220" s="280">
        <v>1040</v>
      </c>
      <c r="G220" s="300">
        <f t="shared" ref="G220" si="545">+F220*$X$1</f>
        <v>1040</v>
      </c>
      <c r="H220" s="250"/>
      <c r="I220" s="250"/>
      <c r="J220" s="82"/>
      <c r="K220" s="256"/>
      <c r="L220" s="546"/>
      <c r="M220" s="256"/>
      <c r="N220" s="546"/>
      <c r="O220" s="256"/>
      <c r="P220" s="546"/>
      <c r="Q220" s="256"/>
      <c r="R220" s="546"/>
      <c r="S220" s="256"/>
      <c r="T220" s="546">
        <f>F220+90</f>
        <v>1130</v>
      </c>
      <c r="U220" s="256">
        <f t="shared" si="543"/>
        <v>1130</v>
      </c>
      <c r="V220" s="546">
        <f>F220+70</f>
        <v>1110</v>
      </c>
      <c r="W220" s="256">
        <f t="shared" si="544"/>
        <v>1110</v>
      </c>
      <c r="X220" s="135"/>
      <c r="Y220" s="135"/>
      <c r="Z220" s="135"/>
      <c r="AA220" s="135"/>
      <c r="AB220" s="178" t="s">
        <v>509</v>
      </c>
    </row>
    <row r="221" spans="1:28" ht="12.6" customHeight="1" x14ac:dyDescent="0.2">
      <c r="A221" s="17"/>
      <c r="B221" s="666" t="s">
        <v>381</v>
      </c>
      <c r="C221" s="684"/>
      <c r="D221" s="684"/>
      <c r="E221" s="685"/>
      <c r="F221" s="329">
        <f>18.74*X2</f>
        <v>28859.599999999999</v>
      </c>
      <c r="G221" s="271">
        <f t="shared" ref="G221" si="546">+F221*$X$1</f>
        <v>28859.599999999999</v>
      </c>
      <c r="H221" s="537">
        <f>F221+700</f>
        <v>29559.599999999999</v>
      </c>
      <c r="I221" s="255">
        <f t="shared" ref="I221" si="547">+H221*$X$1</f>
        <v>29559.599999999999</v>
      </c>
      <c r="J221" s="68">
        <f>F221+280</f>
        <v>29139.599999999999</v>
      </c>
      <c r="K221" s="255">
        <f t="shared" ref="K221" si="548">+J221*$X$1</f>
        <v>29139.599999999999</v>
      </c>
      <c r="L221" s="537">
        <f>F221+210</f>
        <v>29069.599999999999</v>
      </c>
      <c r="M221" s="255">
        <f t="shared" ref="M221" si="549">+L221*$X$1</f>
        <v>29069.599999999999</v>
      </c>
      <c r="N221" s="537">
        <f>F221+160</f>
        <v>29019.599999999999</v>
      </c>
      <c r="O221" s="255">
        <f t="shared" ref="O221" si="550">+N221*$X$1</f>
        <v>29019.599999999999</v>
      </c>
      <c r="P221" s="537">
        <f>F221+130</f>
        <v>28989.599999999999</v>
      </c>
      <c r="Q221" s="255">
        <f t="shared" ref="Q221" si="551">+P221*$X$1</f>
        <v>28989.599999999999</v>
      </c>
      <c r="R221" s="537">
        <f>F221+110</f>
        <v>28969.599999999999</v>
      </c>
      <c r="S221" s="255">
        <f t="shared" ref="S221" si="552">+R221*$X$1</f>
        <v>28969.599999999999</v>
      </c>
      <c r="T221" s="537">
        <f>F221+90</f>
        <v>28949.599999999999</v>
      </c>
      <c r="U221" s="255">
        <f t="shared" ref="U221" si="553">+T221*$X$1</f>
        <v>28949.599999999999</v>
      </c>
      <c r="V221" s="537">
        <f>F221+75</f>
        <v>28934.6</v>
      </c>
      <c r="W221" s="255">
        <f t="shared" ref="W221" si="554">+V221*$X$1</f>
        <v>28934.6</v>
      </c>
      <c r="X221" s="135"/>
      <c r="Y221" s="135"/>
      <c r="Z221" s="135"/>
      <c r="AA221" s="135"/>
      <c r="AB221" s="178">
        <v>542</v>
      </c>
    </row>
    <row r="222" spans="1:28" ht="12.6" customHeight="1" x14ac:dyDescent="0.2">
      <c r="A222" s="17"/>
      <c r="B222" s="642" t="s">
        <v>427</v>
      </c>
      <c r="C222" s="643"/>
      <c r="D222" s="643"/>
      <c r="E222" s="643"/>
      <c r="F222" s="256"/>
      <c r="G222" s="256"/>
      <c r="H222" s="546"/>
      <c r="I222" s="546"/>
      <c r="J222" s="546"/>
      <c r="K222" s="256"/>
      <c r="L222" s="546"/>
      <c r="M222" s="256"/>
      <c r="N222" s="546"/>
      <c r="O222" s="256"/>
      <c r="P222" s="546"/>
      <c r="Q222" s="256"/>
      <c r="R222" s="546"/>
      <c r="S222" s="256"/>
      <c r="T222" s="546"/>
      <c r="U222" s="256"/>
      <c r="V222" s="82"/>
      <c r="W222" s="304"/>
      <c r="X222" s="135"/>
      <c r="Y222" s="135"/>
      <c r="Z222" s="135"/>
      <c r="AA222" s="135"/>
      <c r="AB222" s="178">
        <v>544</v>
      </c>
    </row>
    <row r="223" spans="1:28" ht="12.6" customHeight="1" x14ac:dyDescent="0.2">
      <c r="A223" s="17"/>
      <c r="B223" s="699" t="s">
        <v>973</v>
      </c>
      <c r="C223" s="1131"/>
      <c r="D223" s="1131"/>
      <c r="E223" s="1131"/>
      <c r="F223" s="270">
        <v>1029</v>
      </c>
      <c r="G223" s="255">
        <f t="shared" ref="G223:G229" si="555">+F223*$X$1</f>
        <v>1029</v>
      </c>
      <c r="H223" s="251"/>
      <c r="I223" s="251"/>
      <c r="J223" s="537"/>
      <c r="K223" s="255"/>
      <c r="L223" s="537"/>
      <c r="M223" s="255"/>
      <c r="N223" s="537">
        <f t="shared" ref="N223:N231" si="556">F223+160</f>
        <v>1189</v>
      </c>
      <c r="O223" s="255">
        <f t="shared" ref="O223:O225" si="557">+N223*$X$1</f>
        <v>1189</v>
      </c>
      <c r="P223" s="537">
        <f t="shared" ref="P223:P230" si="558">F223+130</f>
        <v>1159</v>
      </c>
      <c r="Q223" s="255">
        <f t="shared" ref="Q223:Q225" si="559">+P223*$X$1</f>
        <v>1159</v>
      </c>
      <c r="R223" s="537">
        <f t="shared" ref="R223:R230" si="560">F223+110</f>
        <v>1139</v>
      </c>
      <c r="S223" s="255">
        <f t="shared" ref="S223:S225" si="561">+R223*$X$1</f>
        <v>1139</v>
      </c>
      <c r="T223" s="537">
        <f t="shared" ref="T223:T230" si="562">F223+90</f>
        <v>1119</v>
      </c>
      <c r="U223" s="255">
        <f t="shared" ref="U223:U225" si="563">+T223*$X$1</f>
        <v>1119</v>
      </c>
      <c r="V223" s="537">
        <f>F223+75</f>
        <v>1104</v>
      </c>
      <c r="W223" s="255">
        <f t="shared" ref="W223:W225" si="564">+V223*$X$1</f>
        <v>1104</v>
      </c>
      <c r="X223" s="119"/>
      <c r="Y223" s="119"/>
      <c r="Z223" s="119"/>
      <c r="AA223" s="119"/>
      <c r="AB223" s="178">
        <v>547</v>
      </c>
    </row>
    <row r="224" spans="1:28" ht="12.6" customHeight="1" x14ac:dyDescent="0.2">
      <c r="A224" s="17"/>
      <c r="B224" s="656" t="s">
        <v>974</v>
      </c>
      <c r="C224" s="944"/>
      <c r="D224" s="944"/>
      <c r="E224" s="944"/>
      <c r="F224" s="280">
        <v>2345</v>
      </c>
      <c r="G224" s="256">
        <f t="shared" ref="G224" si="565">+F224*$X$1</f>
        <v>2345</v>
      </c>
      <c r="H224" s="250"/>
      <c r="I224" s="250"/>
      <c r="J224" s="546"/>
      <c r="K224" s="256"/>
      <c r="L224" s="546"/>
      <c r="M224" s="256"/>
      <c r="N224" s="546">
        <f t="shared" si="556"/>
        <v>2505</v>
      </c>
      <c r="O224" s="256">
        <f t="shared" si="557"/>
        <v>2505</v>
      </c>
      <c r="P224" s="546">
        <f t="shared" si="558"/>
        <v>2475</v>
      </c>
      <c r="Q224" s="256">
        <f t="shared" si="559"/>
        <v>2475</v>
      </c>
      <c r="R224" s="546">
        <f t="shared" si="560"/>
        <v>2455</v>
      </c>
      <c r="S224" s="256">
        <f t="shared" si="561"/>
        <v>2455</v>
      </c>
      <c r="T224" s="546">
        <f t="shared" si="562"/>
        <v>2435</v>
      </c>
      <c r="U224" s="256">
        <f t="shared" si="563"/>
        <v>2435</v>
      </c>
      <c r="V224" s="546">
        <f t="shared" ref="V224:V230" si="566">F224+75</f>
        <v>2420</v>
      </c>
      <c r="W224" s="256">
        <f t="shared" si="564"/>
        <v>2420</v>
      </c>
      <c r="X224" s="119"/>
      <c r="Y224" s="119"/>
      <c r="Z224" s="119"/>
      <c r="AA224" s="119"/>
      <c r="AB224" s="178" t="s">
        <v>975</v>
      </c>
    </row>
    <row r="225" spans="1:34" ht="12.6" customHeight="1" x14ac:dyDescent="0.2">
      <c r="A225" s="17"/>
      <c r="B225" s="666" t="s">
        <v>330</v>
      </c>
      <c r="C225" s="940"/>
      <c r="D225" s="940"/>
      <c r="E225" s="941"/>
      <c r="F225" s="255">
        <v>4822</v>
      </c>
      <c r="G225" s="255">
        <f t="shared" si="555"/>
        <v>4822</v>
      </c>
      <c r="H225" s="251"/>
      <c r="I225" s="251"/>
      <c r="J225" s="68">
        <f t="shared" ref="J225:J231" si="567">F225+280</f>
        <v>5102</v>
      </c>
      <c r="K225" s="255">
        <f t="shared" ref="K225" si="568">+J225*$X$1</f>
        <v>5102</v>
      </c>
      <c r="L225" s="537">
        <f t="shared" ref="L225:L233" si="569">F225+210</f>
        <v>5032</v>
      </c>
      <c r="M225" s="255">
        <f t="shared" ref="M225" si="570">+L225*$X$1</f>
        <v>5032</v>
      </c>
      <c r="N225" s="537">
        <f t="shared" si="556"/>
        <v>4982</v>
      </c>
      <c r="O225" s="255">
        <f t="shared" si="557"/>
        <v>4982</v>
      </c>
      <c r="P225" s="537">
        <f t="shared" si="558"/>
        <v>4952</v>
      </c>
      <c r="Q225" s="255">
        <f t="shared" si="559"/>
        <v>4952</v>
      </c>
      <c r="R225" s="537">
        <f t="shared" si="560"/>
        <v>4932</v>
      </c>
      <c r="S225" s="255">
        <f t="shared" si="561"/>
        <v>4932</v>
      </c>
      <c r="T225" s="537">
        <f t="shared" si="562"/>
        <v>4912</v>
      </c>
      <c r="U225" s="255">
        <f t="shared" si="563"/>
        <v>4912</v>
      </c>
      <c r="V225" s="537">
        <f t="shared" si="566"/>
        <v>4897</v>
      </c>
      <c r="W225" s="255">
        <f t="shared" si="564"/>
        <v>4897</v>
      </c>
      <c r="X225" s="119"/>
      <c r="Y225" s="119"/>
      <c r="Z225" s="119"/>
      <c r="AA225" s="119"/>
      <c r="AB225" s="361"/>
    </row>
    <row r="226" spans="1:34" ht="12.6" customHeight="1" x14ac:dyDescent="0.2">
      <c r="A226" s="17"/>
      <c r="B226" s="639" t="s">
        <v>441</v>
      </c>
      <c r="C226" s="649"/>
      <c r="D226" s="649"/>
      <c r="E226" s="650"/>
      <c r="F226" s="280">
        <v>1363</v>
      </c>
      <c r="G226" s="256">
        <f t="shared" si="555"/>
        <v>1363</v>
      </c>
      <c r="H226" s="250"/>
      <c r="I226" s="250"/>
      <c r="J226" s="82">
        <f t="shared" si="567"/>
        <v>1643</v>
      </c>
      <c r="K226" s="256">
        <f t="shared" ref="K226" si="571">+J226*$X$1</f>
        <v>1643</v>
      </c>
      <c r="L226" s="546">
        <f t="shared" si="569"/>
        <v>1573</v>
      </c>
      <c r="M226" s="256">
        <f t="shared" ref="M226" si="572">+L226*$X$1</f>
        <v>1573</v>
      </c>
      <c r="N226" s="546">
        <f t="shared" si="556"/>
        <v>1523</v>
      </c>
      <c r="O226" s="256">
        <f t="shared" ref="O226" si="573">+N226*$X$1</f>
        <v>1523</v>
      </c>
      <c r="P226" s="546">
        <f t="shared" si="558"/>
        <v>1493</v>
      </c>
      <c r="Q226" s="256">
        <f t="shared" ref="Q226" si="574">+P226*$X$1</f>
        <v>1493</v>
      </c>
      <c r="R226" s="546">
        <f t="shared" si="560"/>
        <v>1473</v>
      </c>
      <c r="S226" s="256">
        <f t="shared" ref="S226" si="575">+R226*$X$1</f>
        <v>1473</v>
      </c>
      <c r="T226" s="546">
        <f t="shared" si="562"/>
        <v>1453</v>
      </c>
      <c r="U226" s="256">
        <f t="shared" ref="U226" si="576">+T226*$X$1</f>
        <v>1453</v>
      </c>
      <c r="V226" s="546">
        <f t="shared" si="566"/>
        <v>1438</v>
      </c>
      <c r="W226" s="256">
        <f t="shared" ref="W226" si="577">+V226*$X$1</f>
        <v>1438</v>
      </c>
      <c r="X226" s="135"/>
      <c r="Y226" s="135"/>
      <c r="Z226" s="135"/>
      <c r="AA226" s="135"/>
      <c r="AB226" s="178">
        <v>550</v>
      </c>
    </row>
    <row r="227" spans="1:34" ht="12.6" customHeight="1" x14ac:dyDescent="0.2">
      <c r="A227" s="17"/>
      <c r="B227" s="666" t="s">
        <v>401</v>
      </c>
      <c r="C227" s="940"/>
      <c r="D227" s="940"/>
      <c r="E227" s="941"/>
      <c r="F227" s="255">
        <v>4645</v>
      </c>
      <c r="G227" s="255">
        <f t="shared" si="555"/>
        <v>4645</v>
      </c>
      <c r="H227" s="251"/>
      <c r="I227" s="251"/>
      <c r="J227" s="68">
        <f t="shared" si="567"/>
        <v>4925</v>
      </c>
      <c r="K227" s="255">
        <f t="shared" ref="K227:K230" si="578">+J227*$X$1</f>
        <v>4925</v>
      </c>
      <c r="L227" s="537">
        <f t="shared" si="569"/>
        <v>4855</v>
      </c>
      <c r="M227" s="255">
        <f t="shared" ref="M227:M230" si="579">+L227*$X$1</f>
        <v>4855</v>
      </c>
      <c r="N227" s="537">
        <f t="shared" si="556"/>
        <v>4805</v>
      </c>
      <c r="O227" s="255">
        <f t="shared" ref="O227:O230" si="580">+N227*$X$1</f>
        <v>4805</v>
      </c>
      <c r="P227" s="537">
        <f t="shared" si="558"/>
        <v>4775</v>
      </c>
      <c r="Q227" s="255">
        <f t="shared" ref="Q227:Q230" si="581">+P227*$X$1</f>
        <v>4775</v>
      </c>
      <c r="R227" s="537">
        <f t="shared" si="560"/>
        <v>4755</v>
      </c>
      <c r="S227" s="255">
        <f t="shared" ref="S227:S230" si="582">+R227*$X$1</f>
        <v>4755</v>
      </c>
      <c r="T227" s="537">
        <f t="shared" si="562"/>
        <v>4735</v>
      </c>
      <c r="U227" s="255">
        <f t="shared" ref="U227:U230" si="583">+T227*$X$1</f>
        <v>4735</v>
      </c>
      <c r="V227" s="537">
        <f t="shared" si="566"/>
        <v>4720</v>
      </c>
      <c r="W227" s="255">
        <f t="shared" ref="W227:W230" si="584">+V227*$X$1</f>
        <v>4720</v>
      </c>
      <c r="X227" s="119"/>
      <c r="Y227" s="119"/>
      <c r="Z227" s="119"/>
      <c r="AA227" s="119"/>
      <c r="AB227" s="178">
        <v>551</v>
      </c>
    </row>
    <row r="228" spans="1:34" ht="12.6" customHeight="1" x14ac:dyDescent="0.2">
      <c r="A228" s="17"/>
      <c r="B228" s="769" t="s">
        <v>399</v>
      </c>
      <c r="C228" s="853"/>
      <c r="D228" s="853"/>
      <c r="E228" s="854"/>
      <c r="F228" s="280">
        <v>5194</v>
      </c>
      <c r="G228" s="256">
        <f t="shared" si="555"/>
        <v>5194</v>
      </c>
      <c r="H228" s="250"/>
      <c r="I228" s="250"/>
      <c r="J228" s="82">
        <f t="shared" si="567"/>
        <v>5474</v>
      </c>
      <c r="K228" s="256">
        <f t="shared" si="578"/>
        <v>5474</v>
      </c>
      <c r="L228" s="546">
        <f t="shared" si="569"/>
        <v>5404</v>
      </c>
      <c r="M228" s="256">
        <f t="shared" si="579"/>
        <v>5404</v>
      </c>
      <c r="N228" s="546">
        <f t="shared" si="556"/>
        <v>5354</v>
      </c>
      <c r="O228" s="256">
        <f t="shared" si="580"/>
        <v>5354</v>
      </c>
      <c r="P228" s="546">
        <f t="shared" si="558"/>
        <v>5324</v>
      </c>
      <c r="Q228" s="256">
        <f t="shared" si="581"/>
        <v>5324</v>
      </c>
      <c r="R228" s="546">
        <f t="shared" si="560"/>
        <v>5304</v>
      </c>
      <c r="S228" s="256">
        <f t="shared" si="582"/>
        <v>5304</v>
      </c>
      <c r="T228" s="546">
        <f t="shared" si="562"/>
        <v>5284</v>
      </c>
      <c r="U228" s="256">
        <f t="shared" si="583"/>
        <v>5284</v>
      </c>
      <c r="V228" s="546">
        <f t="shared" si="566"/>
        <v>5269</v>
      </c>
      <c r="W228" s="256">
        <f t="shared" si="584"/>
        <v>5269</v>
      </c>
      <c r="X228" s="119"/>
      <c r="Y228" s="119"/>
      <c r="Z228" s="119"/>
      <c r="AA228" s="119"/>
      <c r="AB228" s="178" t="s">
        <v>398</v>
      </c>
    </row>
    <row r="229" spans="1:34" ht="12.6" customHeight="1" x14ac:dyDescent="0.2">
      <c r="A229" s="17"/>
      <c r="B229" s="971" t="s">
        <v>400</v>
      </c>
      <c r="C229" s="902"/>
      <c r="D229" s="902"/>
      <c r="E229" s="903"/>
      <c r="F229" s="270">
        <v>5645</v>
      </c>
      <c r="G229" s="255">
        <f t="shared" si="555"/>
        <v>5645</v>
      </c>
      <c r="H229" s="251"/>
      <c r="I229" s="251"/>
      <c r="J229" s="68">
        <f t="shared" si="567"/>
        <v>5925</v>
      </c>
      <c r="K229" s="255">
        <f t="shared" si="578"/>
        <v>5925</v>
      </c>
      <c r="L229" s="537">
        <f t="shared" si="569"/>
        <v>5855</v>
      </c>
      <c r="M229" s="255">
        <f t="shared" si="579"/>
        <v>5855</v>
      </c>
      <c r="N229" s="537">
        <f t="shared" si="556"/>
        <v>5805</v>
      </c>
      <c r="O229" s="255">
        <f t="shared" si="580"/>
        <v>5805</v>
      </c>
      <c r="P229" s="537">
        <f t="shared" si="558"/>
        <v>5775</v>
      </c>
      <c r="Q229" s="255">
        <f t="shared" si="581"/>
        <v>5775</v>
      </c>
      <c r="R229" s="537">
        <f t="shared" si="560"/>
        <v>5755</v>
      </c>
      <c r="S229" s="255">
        <f t="shared" si="582"/>
        <v>5755</v>
      </c>
      <c r="T229" s="537">
        <f t="shared" si="562"/>
        <v>5735</v>
      </c>
      <c r="U229" s="255">
        <f t="shared" si="583"/>
        <v>5735</v>
      </c>
      <c r="V229" s="537">
        <f t="shared" si="566"/>
        <v>5720</v>
      </c>
      <c r="W229" s="255">
        <f t="shared" si="584"/>
        <v>5720</v>
      </c>
      <c r="X229" s="119"/>
      <c r="Y229" s="119"/>
      <c r="Z229" s="119"/>
      <c r="AA229" s="119"/>
      <c r="AB229" s="178" t="s">
        <v>402</v>
      </c>
    </row>
    <row r="230" spans="1:34" ht="12.6" customHeight="1" x14ac:dyDescent="0.2">
      <c r="A230" s="17"/>
      <c r="B230" s="642" t="s">
        <v>366</v>
      </c>
      <c r="C230" s="682"/>
      <c r="D230" s="682"/>
      <c r="E230" s="682"/>
      <c r="F230" s="256">
        <v>4960</v>
      </c>
      <c r="G230" s="256">
        <f t="shared" ref="G230" si="585">+F230*$X$1</f>
        <v>4960</v>
      </c>
      <c r="H230" s="250"/>
      <c r="I230" s="250"/>
      <c r="J230" s="82">
        <f t="shared" si="567"/>
        <v>5240</v>
      </c>
      <c r="K230" s="256">
        <f t="shared" si="578"/>
        <v>5240</v>
      </c>
      <c r="L230" s="546">
        <f t="shared" si="569"/>
        <v>5170</v>
      </c>
      <c r="M230" s="256">
        <f t="shared" si="579"/>
        <v>5170</v>
      </c>
      <c r="N230" s="546">
        <f t="shared" si="556"/>
        <v>5120</v>
      </c>
      <c r="O230" s="256">
        <f t="shared" si="580"/>
        <v>5120</v>
      </c>
      <c r="P230" s="546">
        <f t="shared" si="558"/>
        <v>5090</v>
      </c>
      <c r="Q230" s="256">
        <f t="shared" si="581"/>
        <v>5090</v>
      </c>
      <c r="R230" s="546">
        <f t="shared" si="560"/>
        <v>5070</v>
      </c>
      <c r="S230" s="256">
        <f t="shared" si="582"/>
        <v>5070</v>
      </c>
      <c r="T230" s="546">
        <f t="shared" si="562"/>
        <v>5050</v>
      </c>
      <c r="U230" s="256">
        <f t="shared" si="583"/>
        <v>5050</v>
      </c>
      <c r="V230" s="546">
        <f t="shared" si="566"/>
        <v>5035</v>
      </c>
      <c r="W230" s="256">
        <f t="shared" si="584"/>
        <v>5035</v>
      </c>
      <c r="X230" s="119"/>
      <c r="Y230" s="119"/>
      <c r="Z230" s="119"/>
      <c r="AA230" s="119"/>
      <c r="AB230" s="178">
        <v>553</v>
      </c>
    </row>
    <row r="231" spans="1:34" ht="12.6" customHeight="1" x14ac:dyDescent="0.2">
      <c r="A231" s="17"/>
      <c r="B231" s="1169" t="s">
        <v>324</v>
      </c>
      <c r="C231" s="1170"/>
      <c r="D231" s="1170"/>
      <c r="E231" s="1170"/>
      <c r="F231" s="460">
        <v>240</v>
      </c>
      <c r="G231" s="460">
        <f t="shared" ref="G231:G232" si="586">+F231*$X$1</f>
        <v>240</v>
      </c>
      <c r="H231" s="461"/>
      <c r="I231" s="463"/>
      <c r="J231" s="462">
        <f t="shared" si="567"/>
        <v>520</v>
      </c>
      <c r="K231" s="460">
        <f t="shared" ref="K231" si="587">+J231*$X$1</f>
        <v>520</v>
      </c>
      <c r="L231" s="596">
        <f t="shared" si="569"/>
        <v>450</v>
      </c>
      <c r="M231" s="460">
        <f t="shared" ref="M231" si="588">+L231*$X$1</f>
        <v>450</v>
      </c>
      <c r="N231" s="596">
        <f t="shared" si="556"/>
        <v>400</v>
      </c>
      <c r="O231" s="460">
        <f t="shared" ref="O231" si="589">+N231*$X$1</f>
        <v>400</v>
      </c>
      <c r="P231" s="596"/>
      <c r="Q231" s="949" t="s">
        <v>138</v>
      </c>
      <c r="R231" s="950"/>
      <c r="S231" s="950"/>
      <c r="T231" s="950"/>
      <c r="U231" s="950"/>
      <c r="V231" s="950"/>
      <c r="W231" s="950"/>
      <c r="X231" s="135"/>
      <c r="Y231" s="135"/>
      <c r="Z231" s="135"/>
      <c r="AA231" s="135"/>
      <c r="AB231" s="178">
        <v>618</v>
      </c>
    </row>
    <row r="232" spans="1:34" ht="12.6" customHeight="1" x14ac:dyDescent="0.2">
      <c r="A232" s="94"/>
      <c r="B232" s="939" t="s">
        <v>436</v>
      </c>
      <c r="C232" s="942"/>
      <c r="D232" s="942"/>
      <c r="E232" s="942"/>
      <c r="F232" s="460">
        <v>880</v>
      </c>
      <c r="G232" s="460">
        <f t="shared" si="586"/>
        <v>880</v>
      </c>
      <c r="H232" s="596"/>
      <c r="I232" s="460"/>
      <c r="J232" s="461"/>
      <c r="K232" s="463"/>
      <c r="L232" s="596">
        <f t="shared" si="569"/>
        <v>1090</v>
      </c>
      <c r="M232" s="460">
        <f t="shared" ref="M232:M233" si="590">+L232*$X$1</f>
        <v>1090</v>
      </c>
      <c r="N232" s="596"/>
      <c r="O232" s="460"/>
      <c r="P232" s="596">
        <f>F232+5.1</f>
        <v>885.1</v>
      </c>
      <c r="Q232" s="949" t="s">
        <v>138</v>
      </c>
      <c r="R232" s="950"/>
      <c r="S232" s="950"/>
      <c r="T232" s="950"/>
      <c r="U232" s="950"/>
      <c r="V232" s="950"/>
      <c r="W232" s="950"/>
      <c r="X232" s="120"/>
      <c r="Y232" s="135"/>
      <c r="Z232" s="135"/>
      <c r="AA232" s="135"/>
      <c r="AB232" s="178">
        <v>621</v>
      </c>
    </row>
    <row r="233" spans="1:34" ht="12.6" customHeight="1" x14ac:dyDescent="0.2">
      <c r="A233" s="20"/>
      <c r="B233" s="690" t="s">
        <v>1021</v>
      </c>
      <c r="C233" s="991"/>
      <c r="D233" s="991"/>
      <c r="E233" s="991"/>
      <c r="F233" s="326">
        <v>1950</v>
      </c>
      <c r="G233" s="255">
        <f>+F233*$X$1</f>
        <v>1950</v>
      </c>
      <c r="H233" s="251"/>
      <c r="I233" s="302"/>
      <c r="J233" s="68"/>
      <c r="K233" s="255"/>
      <c r="L233" s="537">
        <f t="shared" si="569"/>
        <v>2160</v>
      </c>
      <c r="M233" s="255">
        <f t="shared" si="590"/>
        <v>2160</v>
      </c>
      <c r="N233" s="537">
        <f>F233+160</f>
        <v>2110</v>
      </c>
      <c r="O233" s="255">
        <f t="shared" ref="O233" si="591">+N233*$X$1</f>
        <v>2110</v>
      </c>
      <c r="P233" s="537">
        <f>F233+130</f>
        <v>2080</v>
      </c>
      <c r="Q233" s="255">
        <f t="shared" ref="Q233" si="592">+P233*$X$1</f>
        <v>2080</v>
      </c>
      <c r="R233" s="537">
        <f>F233+110</f>
        <v>2060</v>
      </c>
      <c r="S233" s="255">
        <f t="shared" ref="S233" si="593">+R233*$X$1</f>
        <v>2060</v>
      </c>
      <c r="T233" s="537">
        <f>F233+90</f>
        <v>2040</v>
      </c>
      <c r="U233" s="255">
        <f t="shared" ref="U233" si="594">+T233*$X$1</f>
        <v>2040</v>
      </c>
      <c r="V233" s="537">
        <f t="shared" ref="V233" si="595">F233+75</f>
        <v>2025</v>
      </c>
      <c r="W233" s="255">
        <f t="shared" ref="W233" si="596">+V233*$X$1</f>
        <v>2025</v>
      </c>
      <c r="X233" s="135"/>
      <c r="Y233" s="144"/>
      <c r="Z233" s="135"/>
      <c r="AA233" s="135"/>
      <c r="AB233" s="178">
        <v>622</v>
      </c>
    </row>
    <row r="234" spans="1:34" ht="12.6" customHeight="1" x14ac:dyDescent="0.2">
      <c r="A234" s="20"/>
      <c r="B234" s="642" t="s">
        <v>173</v>
      </c>
      <c r="C234" s="682"/>
      <c r="D234" s="682"/>
      <c r="E234" s="682"/>
      <c r="F234" s="327">
        <f>2.93*X2</f>
        <v>4512.2</v>
      </c>
      <c r="G234" s="256">
        <f>+F234*$X$1</f>
        <v>4512.2</v>
      </c>
      <c r="H234" s="254"/>
      <c r="I234" s="303"/>
      <c r="J234" s="82">
        <f>F234+280</f>
        <v>4792.2</v>
      </c>
      <c r="K234" s="256">
        <f>+J234*$X$1</f>
        <v>4792.2</v>
      </c>
      <c r="L234" s="546">
        <f>F234+210</f>
        <v>4722.2</v>
      </c>
      <c r="M234" s="256">
        <f>+L234*$X$1</f>
        <v>4722.2</v>
      </c>
      <c r="N234" s="546">
        <f>F234+160</f>
        <v>4672.2</v>
      </c>
      <c r="O234" s="256">
        <f>+N234*$X$1</f>
        <v>4672.2</v>
      </c>
      <c r="P234" s="546">
        <f>F234+130</f>
        <v>4642.2</v>
      </c>
      <c r="Q234" s="256">
        <f>+P234*$X$1</f>
        <v>4642.2</v>
      </c>
      <c r="R234" s="546">
        <f>F234+110</f>
        <v>4622.2</v>
      </c>
      <c r="S234" s="256">
        <f>+R234*$X$1</f>
        <v>4622.2</v>
      </c>
      <c r="T234" s="546">
        <f>F234+90</f>
        <v>4602.2</v>
      </c>
      <c r="U234" s="256">
        <f>+T234*$X$1</f>
        <v>4602.2</v>
      </c>
      <c r="V234" s="546">
        <f>F234+70</f>
        <v>4582.2</v>
      </c>
      <c r="W234" s="256">
        <f>+V234*$X$1</f>
        <v>4582.2</v>
      </c>
      <c r="X234" s="135"/>
      <c r="Y234" s="144"/>
      <c r="Z234" s="135"/>
      <c r="AA234" s="135"/>
      <c r="AB234" s="178">
        <v>624</v>
      </c>
    </row>
    <row r="235" spans="1:34" ht="12.6" customHeight="1" x14ac:dyDescent="0.2">
      <c r="A235" s="20"/>
      <c r="B235" s="630" t="s">
        <v>174</v>
      </c>
      <c r="C235" s="703"/>
      <c r="D235" s="703"/>
      <c r="E235" s="703"/>
      <c r="F235" s="326">
        <f>5.057*X2</f>
        <v>7787.7800000000007</v>
      </c>
      <c r="G235" s="255">
        <f>+F235*$X$1</f>
        <v>7787.7800000000007</v>
      </c>
      <c r="H235" s="549"/>
      <c r="I235" s="302"/>
      <c r="J235" s="68">
        <f>F235+280</f>
        <v>8067.7800000000007</v>
      </c>
      <c r="K235" s="255">
        <f>+J235*$X$1</f>
        <v>8067.7800000000007</v>
      </c>
      <c r="L235" s="537">
        <f>F235+210</f>
        <v>7997.7800000000007</v>
      </c>
      <c r="M235" s="255">
        <f>+L235*$X$1</f>
        <v>7997.7800000000007</v>
      </c>
      <c r="N235" s="537">
        <f>F235+160</f>
        <v>7947.7800000000007</v>
      </c>
      <c r="O235" s="255">
        <f>+N235*$X$1</f>
        <v>7947.7800000000007</v>
      </c>
      <c r="P235" s="537">
        <f>F235+130</f>
        <v>7917.7800000000007</v>
      </c>
      <c r="Q235" s="255">
        <f>+P235*$X$1</f>
        <v>7917.7800000000007</v>
      </c>
      <c r="R235" s="537">
        <f>F235+110</f>
        <v>7897.7800000000007</v>
      </c>
      <c r="S235" s="255">
        <f>+R235*$X$1</f>
        <v>7897.7800000000007</v>
      </c>
      <c r="T235" s="537">
        <f>F235+90</f>
        <v>7877.7800000000007</v>
      </c>
      <c r="U235" s="255">
        <f>+T235*$X$1</f>
        <v>7877.7800000000007</v>
      </c>
      <c r="V235" s="537">
        <f>F235+70</f>
        <v>7857.7800000000007</v>
      </c>
      <c r="W235" s="255">
        <f>+V235*$X$1</f>
        <v>7857.7800000000007</v>
      </c>
      <c r="X235" s="135"/>
      <c r="Y235" s="144"/>
      <c r="Z235" s="135"/>
      <c r="AA235" s="135"/>
      <c r="AB235" s="178" t="s">
        <v>175</v>
      </c>
    </row>
    <row r="236" spans="1:34" ht="12.6" customHeight="1" x14ac:dyDescent="0.2">
      <c r="A236" s="17"/>
      <c r="B236" s="3"/>
      <c r="C236" s="3"/>
      <c r="D236" s="3"/>
      <c r="E236" s="3"/>
      <c r="F236" s="4"/>
      <c r="G236" s="4"/>
      <c r="H236" s="3"/>
      <c r="I236" s="3"/>
      <c r="J236" s="3"/>
      <c r="K236" s="154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155"/>
      <c r="AB236" s="89"/>
    </row>
    <row r="237" spans="1:34" ht="12.6" customHeight="1" x14ac:dyDescent="0.2">
      <c r="A237" s="17"/>
      <c r="B237" s="3"/>
      <c r="C237" s="3"/>
      <c r="D237" s="3"/>
      <c r="E237" s="3"/>
      <c r="F237" s="4"/>
      <c r="G237" s="4"/>
      <c r="H237" s="3"/>
      <c r="I237" s="3"/>
      <c r="J237" s="3"/>
      <c r="K237" s="154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  <c r="AB237" s="89"/>
    </row>
    <row r="238" spans="1:34" ht="12.6" customHeight="1" x14ac:dyDescent="0.2">
      <c r="A238" s="17"/>
      <c r="B238" s="3"/>
      <c r="C238" s="3"/>
      <c r="D238" s="3"/>
      <c r="E238" s="3"/>
      <c r="F238" s="4"/>
      <c r="G238" s="4"/>
      <c r="H238" s="3"/>
      <c r="I238" s="3"/>
      <c r="J238" s="3"/>
      <c r="K238" s="154"/>
      <c r="L238" s="155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  <c r="W238" s="155"/>
      <c r="AB238" s="4"/>
    </row>
    <row r="239" spans="1:34" ht="15.75" customHeight="1" x14ac:dyDescent="0.2">
      <c r="A239" s="17"/>
      <c r="B239" s="1130" t="s">
        <v>11</v>
      </c>
      <c r="C239" s="1143" t="s">
        <v>12</v>
      </c>
      <c r="D239" s="1144"/>
      <c r="E239" s="1144"/>
      <c r="F239" s="644" t="s">
        <v>13</v>
      </c>
      <c r="G239" s="644" t="s">
        <v>13</v>
      </c>
      <c r="H239" s="632" t="s">
        <v>726</v>
      </c>
      <c r="I239" s="632"/>
      <c r="J239" s="633"/>
      <c r="K239" s="633"/>
      <c r="L239" s="633"/>
      <c r="M239" s="633"/>
      <c r="N239" s="633"/>
      <c r="O239" s="633"/>
      <c r="P239" s="633"/>
      <c r="Q239" s="633"/>
      <c r="R239" s="633"/>
      <c r="S239" s="633"/>
      <c r="T239" s="633"/>
      <c r="U239" s="633"/>
      <c r="V239" s="633"/>
      <c r="W239" s="633"/>
      <c r="X239" s="658" t="s">
        <v>14</v>
      </c>
      <c r="Y239" s="659"/>
      <c r="Z239" s="659"/>
      <c r="AA239" s="660"/>
      <c r="AB239" s="760" t="s">
        <v>15</v>
      </c>
      <c r="AF239" s="748" t="s">
        <v>3</v>
      </c>
      <c r="AG239" s="749"/>
      <c r="AH239" s="749"/>
    </row>
    <row r="240" spans="1:34" ht="11.25" customHeight="1" x14ac:dyDescent="0.2">
      <c r="A240" s="17"/>
      <c r="B240" s="1130"/>
      <c r="C240" s="1144"/>
      <c r="D240" s="1144"/>
      <c r="E240" s="1144"/>
      <c r="F240" s="645"/>
      <c r="G240" s="645"/>
      <c r="H240" s="413"/>
      <c r="I240" s="405" t="s">
        <v>261</v>
      </c>
      <c r="J240" s="407"/>
      <c r="K240" s="405" t="s">
        <v>17</v>
      </c>
      <c r="L240" s="408"/>
      <c r="M240" s="408" t="s">
        <v>18</v>
      </c>
      <c r="N240" s="408"/>
      <c r="O240" s="405" t="s">
        <v>19</v>
      </c>
      <c r="P240" s="408"/>
      <c r="Q240" s="408" t="s">
        <v>262</v>
      </c>
      <c r="R240" s="408"/>
      <c r="S240" s="408" t="s">
        <v>20</v>
      </c>
      <c r="T240" s="408"/>
      <c r="U240" s="408" t="s">
        <v>21</v>
      </c>
      <c r="V240" s="408"/>
      <c r="W240" s="408" t="s">
        <v>22</v>
      </c>
      <c r="X240" s="661"/>
      <c r="Y240" s="662"/>
      <c r="Z240" s="662"/>
      <c r="AA240" s="663"/>
      <c r="AB240" s="761"/>
    </row>
    <row r="241" spans="1:28" ht="12.6" customHeight="1" x14ac:dyDescent="0.2">
      <c r="A241" s="20"/>
      <c r="B241" s="666" t="s">
        <v>176</v>
      </c>
      <c r="C241" s="684"/>
      <c r="D241" s="684"/>
      <c r="E241" s="685"/>
      <c r="F241" s="326">
        <f>5.6*X2</f>
        <v>8624</v>
      </c>
      <c r="G241" s="255">
        <f t="shared" ref="G241" si="597">+F241*$X$1</f>
        <v>8624</v>
      </c>
      <c r="H241" s="279"/>
      <c r="I241" s="302"/>
      <c r="J241" s="68">
        <f t="shared" ref="J241:J245" si="598">F241+280</f>
        <v>8904</v>
      </c>
      <c r="K241" s="255">
        <f t="shared" ref="K241:K245" si="599">+J241*$X$1</f>
        <v>8904</v>
      </c>
      <c r="L241" s="537">
        <f t="shared" ref="L241:L245" si="600">F241+210</f>
        <v>8834</v>
      </c>
      <c r="M241" s="255">
        <f t="shared" ref="M241:M245" si="601">+L241*$X$1</f>
        <v>8834</v>
      </c>
      <c r="N241" s="537">
        <f t="shared" ref="N241:N245" si="602">F241+160</f>
        <v>8784</v>
      </c>
      <c r="O241" s="255">
        <f t="shared" ref="O241:O245" si="603">+N241*$X$1</f>
        <v>8784</v>
      </c>
      <c r="P241" s="537">
        <f t="shared" ref="P241:P245" si="604">F241+130</f>
        <v>8754</v>
      </c>
      <c r="Q241" s="255">
        <f t="shared" ref="Q241:Q245" si="605">+P241*$X$1</f>
        <v>8754</v>
      </c>
      <c r="R241" s="537">
        <f t="shared" ref="R241:R245" si="606">F241+110</f>
        <v>8734</v>
      </c>
      <c r="S241" s="255">
        <f t="shared" ref="S241:S245" si="607">+R241*$X$1</f>
        <v>8734</v>
      </c>
      <c r="T241" s="537">
        <f t="shared" ref="T241:T245" si="608">F241+90</f>
        <v>8714</v>
      </c>
      <c r="U241" s="255">
        <f t="shared" ref="U241:U245" si="609">+T241*$X$1</f>
        <v>8714</v>
      </c>
      <c r="V241" s="537">
        <f t="shared" ref="V241:V245" si="610">F241+70</f>
        <v>8694</v>
      </c>
      <c r="W241" s="255">
        <f t="shared" ref="W241:W245" si="611">+V241*$X$1</f>
        <v>8694</v>
      </c>
      <c r="X241" s="135"/>
      <c r="Y241" s="144"/>
      <c r="Z241" s="135"/>
      <c r="AA241" s="135"/>
      <c r="AB241" s="178">
        <v>629</v>
      </c>
    </row>
    <row r="242" spans="1:28" ht="12.6" customHeight="1" x14ac:dyDescent="0.2">
      <c r="A242" s="20"/>
      <c r="B242" s="639" t="s">
        <v>369</v>
      </c>
      <c r="C242" s="649"/>
      <c r="D242" s="649"/>
      <c r="E242" s="650"/>
      <c r="F242" s="327">
        <f>8.5*X2</f>
        <v>13090</v>
      </c>
      <c r="G242" s="256">
        <f>+F242*$X$1</f>
        <v>13090</v>
      </c>
      <c r="H242" s="254"/>
      <c r="I242" s="303"/>
      <c r="J242" s="82">
        <f t="shared" si="598"/>
        <v>13370</v>
      </c>
      <c r="K242" s="256">
        <f t="shared" si="599"/>
        <v>13370</v>
      </c>
      <c r="L242" s="546">
        <f t="shared" si="600"/>
        <v>13300</v>
      </c>
      <c r="M242" s="256">
        <f t="shared" si="601"/>
        <v>13300</v>
      </c>
      <c r="N242" s="546">
        <f t="shared" si="602"/>
        <v>13250</v>
      </c>
      <c r="O242" s="256">
        <f t="shared" si="603"/>
        <v>13250</v>
      </c>
      <c r="P242" s="546">
        <f t="shared" si="604"/>
        <v>13220</v>
      </c>
      <c r="Q242" s="256">
        <f t="shared" si="605"/>
        <v>13220</v>
      </c>
      <c r="R242" s="546">
        <f t="shared" si="606"/>
        <v>13200</v>
      </c>
      <c r="S242" s="256">
        <f t="shared" si="607"/>
        <v>13200</v>
      </c>
      <c r="T242" s="546">
        <f t="shared" si="608"/>
        <v>13180</v>
      </c>
      <c r="U242" s="256">
        <f t="shared" si="609"/>
        <v>13180</v>
      </c>
      <c r="V242" s="546">
        <f t="shared" si="610"/>
        <v>13160</v>
      </c>
      <c r="W242" s="256">
        <f t="shared" si="611"/>
        <v>13160</v>
      </c>
      <c r="X242" s="135"/>
      <c r="Y242" s="144"/>
      <c r="Z242" s="135"/>
      <c r="AA242" s="135"/>
      <c r="AB242" s="178">
        <v>630</v>
      </c>
    </row>
    <row r="243" spans="1:28" ht="12.6" customHeight="1" x14ac:dyDescent="0.2">
      <c r="A243" s="20"/>
      <c r="B243" s="666" t="s">
        <v>488</v>
      </c>
      <c r="C243" s="684"/>
      <c r="D243" s="684"/>
      <c r="E243" s="685"/>
      <c r="F243" s="326">
        <f>0.7*X2</f>
        <v>1078</v>
      </c>
      <c r="G243" s="255">
        <f t="shared" ref="G243" si="612">+F243*$X$1</f>
        <v>1078</v>
      </c>
      <c r="H243" s="549"/>
      <c r="I243" s="302"/>
      <c r="J243" s="68">
        <f t="shared" si="598"/>
        <v>1358</v>
      </c>
      <c r="K243" s="255">
        <f t="shared" si="599"/>
        <v>1358</v>
      </c>
      <c r="L243" s="537">
        <f t="shared" si="600"/>
        <v>1288</v>
      </c>
      <c r="M243" s="255">
        <f t="shared" si="601"/>
        <v>1288</v>
      </c>
      <c r="N243" s="537">
        <f t="shared" si="602"/>
        <v>1238</v>
      </c>
      <c r="O243" s="255">
        <f t="shared" si="603"/>
        <v>1238</v>
      </c>
      <c r="P243" s="537">
        <f t="shared" si="604"/>
        <v>1208</v>
      </c>
      <c r="Q243" s="255">
        <f t="shared" si="605"/>
        <v>1208</v>
      </c>
      <c r="R243" s="537">
        <f t="shared" si="606"/>
        <v>1188</v>
      </c>
      <c r="S243" s="255">
        <f t="shared" si="607"/>
        <v>1188</v>
      </c>
      <c r="T243" s="537">
        <f t="shared" si="608"/>
        <v>1168</v>
      </c>
      <c r="U243" s="255">
        <f t="shared" si="609"/>
        <v>1168</v>
      </c>
      <c r="V243" s="537">
        <f t="shared" si="610"/>
        <v>1148</v>
      </c>
      <c r="W243" s="255">
        <f t="shared" si="611"/>
        <v>1148</v>
      </c>
      <c r="X243" s="135"/>
      <c r="Y243" s="144"/>
      <c r="Z243" s="135"/>
      <c r="AA243" s="135"/>
      <c r="AB243" s="178">
        <v>631</v>
      </c>
    </row>
    <row r="244" spans="1:28" ht="12.6" customHeight="1" x14ac:dyDescent="0.2">
      <c r="A244" s="20"/>
      <c r="B244" s="639" t="s">
        <v>810</v>
      </c>
      <c r="C244" s="649"/>
      <c r="D244" s="649"/>
      <c r="E244" s="650"/>
      <c r="F244" s="327">
        <f>2.02*X2</f>
        <v>3110.8</v>
      </c>
      <c r="G244" s="256">
        <f t="shared" ref="G244" si="613">+F244*$X$1</f>
        <v>3110.8</v>
      </c>
      <c r="H244" s="250"/>
      <c r="I244" s="303"/>
      <c r="J244" s="82">
        <f t="shared" si="598"/>
        <v>3390.8</v>
      </c>
      <c r="K244" s="256">
        <f t="shared" si="599"/>
        <v>3390.8</v>
      </c>
      <c r="L244" s="546">
        <f t="shared" si="600"/>
        <v>3320.8</v>
      </c>
      <c r="M244" s="256">
        <f t="shared" si="601"/>
        <v>3320.8</v>
      </c>
      <c r="N244" s="546">
        <f t="shared" si="602"/>
        <v>3270.8</v>
      </c>
      <c r="O244" s="256">
        <f t="shared" si="603"/>
        <v>3270.8</v>
      </c>
      <c r="P244" s="546">
        <f t="shared" si="604"/>
        <v>3240.8</v>
      </c>
      <c r="Q244" s="256">
        <f t="shared" si="605"/>
        <v>3240.8</v>
      </c>
      <c r="R244" s="546">
        <f t="shared" si="606"/>
        <v>3220.8</v>
      </c>
      <c r="S244" s="256">
        <f t="shared" si="607"/>
        <v>3220.8</v>
      </c>
      <c r="T244" s="546">
        <f t="shared" si="608"/>
        <v>3200.8</v>
      </c>
      <c r="U244" s="256">
        <f t="shared" si="609"/>
        <v>3200.8</v>
      </c>
      <c r="V244" s="546">
        <f t="shared" si="610"/>
        <v>3180.8</v>
      </c>
      <c r="W244" s="256">
        <f t="shared" si="611"/>
        <v>3180.8</v>
      </c>
      <c r="X244" s="135"/>
      <c r="Y244" s="144"/>
      <c r="Z244" s="135"/>
      <c r="AA244" s="135"/>
      <c r="AB244" s="178">
        <v>633</v>
      </c>
    </row>
    <row r="245" spans="1:28" ht="12.6" customHeight="1" x14ac:dyDescent="0.2">
      <c r="A245" s="20"/>
      <c r="B245" s="666" t="s">
        <v>454</v>
      </c>
      <c r="C245" s="684"/>
      <c r="D245" s="684"/>
      <c r="E245" s="685"/>
      <c r="F245" s="326">
        <f>1.36*X2</f>
        <v>2094.4</v>
      </c>
      <c r="G245" s="255">
        <f>+F245*$X$1</f>
        <v>2094.4</v>
      </c>
      <c r="H245" s="548"/>
      <c r="I245" s="302"/>
      <c r="J245" s="68">
        <f t="shared" si="598"/>
        <v>2374.4</v>
      </c>
      <c r="K245" s="255">
        <f t="shared" si="599"/>
        <v>2374.4</v>
      </c>
      <c r="L245" s="537">
        <f t="shared" si="600"/>
        <v>2304.4</v>
      </c>
      <c r="M245" s="255">
        <f t="shared" si="601"/>
        <v>2304.4</v>
      </c>
      <c r="N245" s="537">
        <f t="shared" si="602"/>
        <v>2254.4</v>
      </c>
      <c r="O245" s="255">
        <f t="shared" si="603"/>
        <v>2254.4</v>
      </c>
      <c r="P245" s="537">
        <f t="shared" si="604"/>
        <v>2224.4</v>
      </c>
      <c r="Q245" s="255">
        <f t="shared" si="605"/>
        <v>2224.4</v>
      </c>
      <c r="R245" s="537">
        <f t="shared" si="606"/>
        <v>2204.4</v>
      </c>
      <c r="S245" s="255">
        <f t="shared" si="607"/>
        <v>2204.4</v>
      </c>
      <c r="T245" s="537">
        <f t="shared" si="608"/>
        <v>2184.4</v>
      </c>
      <c r="U245" s="255">
        <f t="shared" si="609"/>
        <v>2184.4</v>
      </c>
      <c r="V245" s="537">
        <f t="shared" si="610"/>
        <v>2164.4</v>
      </c>
      <c r="W245" s="255">
        <f t="shared" si="611"/>
        <v>2164.4</v>
      </c>
      <c r="X245" s="135"/>
      <c r="Y245" s="144"/>
      <c r="Z245" s="135"/>
      <c r="AA245" s="135"/>
      <c r="AB245" s="178">
        <v>640</v>
      </c>
    </row>
    <row r="246" spans="1:28" ht="12.6" customHeight="1" x14ac:dyDescent="0.2">
      <c r="A246" s="17"/>
      <c r="B246" s="642" t="s">
        <v>177</v>
      </c>
      <c r="C246" s="643"/>
      <c r="D246" s="643"/>
      <c r="E246" s="643"/>
      <c r="F246" s="327">
        <f>2.7*X2</f>
        <v>4158</v>
      </c>
      <c r="G246" s="256">
        <f>+F246*$X$1</f>
        <v>4158</v>
      </c>
      <c r="H246" s="546">
        <f>F246+600</f>
        <v>4758</v>
      </c>
      <c r="I246" s="256">
        <f t="shared" ref="I246" si="614">+H246*$X$1</f>
        <v>4758</v>
      </c>
      <c r="J246" s="546">
        <f t="shared" ref="J246" si="615">F246+200</f>
        <v>4358</v>
      </c>
      <c r="K246" s="256">
        <f t="shared" ref="K246" si="616">+J246*$X$1</f>
        <v>4358</v>
      </c>
      <c r="L246" s="546">
        <f t="shared" ref="L246" si="617">F246+150</f>
        <v>4308</v>
      </c>
      <c r="M246" s="256">
        <f t="shared" ref="M246" si="618">+L246*$X$1</f>
        <v>4308</v>
      </c>
      <c r="N246" s="546">
        <f>F246+100</f>
        <v>4258</v>
      </c>
      <c r="O246" s="256">
        <f t="shared" ref="O246" si="619">+N246*$X$1</f>
        <v>4258</v>
      </c>
      <c r="P246" s="546">
        <f>F246+90</f>
        <v>4248</v>
      </c>
      <c r="Q246" s="256">
        <f t="shared" ref="Q246" si="620">+P246*$X$1</f>
        <v>4248</v>
      </c>
      <c r="R246" s="546">
        <f>F246+70</f>
        <v>4228</v>
      </c>
      <c r="S246" s="256">
        <f t="shared" ref="S246" si="621">+R246*$X$1</f>
        <v>4228</v>
      </c>
      <c r="T246" s="546">
        <f>F246+56</f>
        <v>4214</v>
      </c>
      <c r="U246" s="256">
        <f t="shared" ref="U246" si="622">+T246*$X$1</f>
        <v>4214</v>
      </c>
      <c r="V246" s="546">
        <f>F246+49</f>
        <v>4207</v>
      </c>
      <c r="W246" s="256">
        <f t="shared" ref="W246" si="623">+V246*$X$1</f>
        <v>4207</v>
      </c>
      <c r="X246" s="628"/>
      <c r="Y246" s="634"/>
      <c r="Z246" s="634"/>
      <c r="AA246" s="629"/>
      <c r="AB246" s="178">
        <v>705</v>
      </c>
    </row>
    <row r="247" spans="1:28" ht="12.6" customHeight="1" x14ac:dyDescent="0.2">
      <c r="A247" s="17"/>
      <c r="B247" s="630" t="s">
        <v>466</v>
      </c>
      <c r="C247" s="631"/>
      <c r="D247" s="631"/>
      <c r="E247" s="631"/>
      <c r="F247" s="255">
        <v>14995</v>
      </c>
      <c r="G247" s="255">
        <f t="shared" ref="G247:G248" si="624">+F247*$X$1</f>
        <v>14995</v>
      </c>
      <c r="H247" s="537">
        <f>F247+700</f>
        <v>15695</v>
      </c>
      <c r="I247" s="255">
        <f t="shared" ref="I247" si="625">+H247*$X$1</f>
        <v>15695</v>
      </c>
      <c r="J247" s="537">
        <f>F247+310</f>
        <v>15305</v>
      </c>
      <c r="K247" s="255">
        <f t="shared" ref="K247" si="626">+J247*$X$1</f>
        <v>15305</v>
      </c>
      <c r="L247" s="537">
        <f>F247+240</f>
        <v>15235</v>
      </c>
      <c r="M247" s="255">
        <f t="shared" ref="M247" si="627">+L247*$X$1</f>
        <v>15235</v>
      </c>
      <c r="N247" s="537">
        <f>F247+200</f>
        <v>15195</v>
      </c>
      <c r="O247" s="255">
        <f t="shared" ref="O247" si="628">+N247*$X$1</f>
        <v>15195</v>
      </c>
      <c r="P247" s="537">
        <f>F247+170</f>
        <v>15165</v>
      </c>
      <c r="Q247" s="255">
        <f t="shared" ref="Q247" si="629">+P247*$X$1</f>
        <v>15165</v>
      </c>
      <c r="R247" s="537">
        <f>F247+150</f>
        <v>15145</v>
      </c>
      <c r="S247" s="255">
        <f t="shared" ref="S247" si="630">+R247*$X$1</f>
        <v>15145</v>
      </c>
      <c r="T247" s="93">
        <f>F247+130</f>
        <v>15125</v>
      </c>
      <c r="U247" s="234">
        <f t="shared" ref="U247:U248" si="631">+T247*$X$1</f>
        <v>15125</v>
      </c>
      <c r="V247" s="93">
        <f>F247+110</f>
        <v>15105</v>
      </c>
      <c r="W247" s="234">
        <f t="shared" ref="W247:W248" si="632">+V247*$X$1</f>
        <v>15105</v>
      </c>
      <c r="X247" s="635"/>
      <c r="Y247" s="636"/>
      <c r="Z247" s="636"/>
      <c r="AA247" s="637"/>
      <c r="AB247" s="178">
        <v>815</v>
      </c>
    </row>
    <row r="248" spans="1:28" ht="12.6" customHeight="1" x14ac:dyDescent="0.2">
      <c r="A248" s="17"/>
      <c r="B248" s="690" t="s">
        <v>934</v>
      </c>
      <c r="C248" s="900"/>
      <c r="D248" s="900"/>
      <c r="E248" s="900"/>
      <c r="F248" s="327">
        <f>5.02*X2</f>
        <v>7730.7999999999993</v>
      </c>
      <c r="G248" s="256">
        <f t="shared" si="624"/>
        <v>7730.7999999999993</v>
      </c>
      <c r="H248" s="546">
        <f t="shared" ref="H248:H261" si="633">F248+700</f>
        <v>8430.7999999999993</v>
      </c>
      <c r="I248" s="256">
        <f t="shared" ref="I248:I261" si="634">+H248*$X$1</f>
        <v>8430.7999999999993</v>
      </c>
      <c r="J248" s="546">
        <f t="shared" ref="J248:J261" si="635">F248+310</f>
        <v>8040.7999999999993</v>
      </c>
      <c r="K248" s="256">
        <f t="shared" ref="K248:K261" si="636">+J248*$X$1</f>
        <v>8040.7999999999993</v>
      </c>
      <c r="L248" s="546">
        <f t="shared" ref="L248:L261" si="637">F248+240</f>
        <v>7970.7999999999993</v>
      </c>
      <c r="M248" s="256">
        <f t="shared" ref="M248:M261" si="638">+L248*$X$1</f>
        <v>7970.7999999999993</v>
      </c>
      <c r="N248" s="546">
        <f t="shared" ref="N248:N261" si="639">F248+200</f>
        <v>7930.7999999999993</v>
      </c>
      <c r="O248" s="256">
        <f t="shared" ref="O248:O261" si="640">+N248*$X$1</f>
        <v>7930.7999999999993</v>
      </c>
      <c r="P248" s="546">
        <f t="shared" ref="P248:P261" si="641">F248+170</f>
        <v>7900.7999999999993</v>
      </c>
      <c r="Q248" s="256">
        <f t="shared" ref="Q248:Q261" si="642">+P248*$X$1</f>
        <v>7900.7999999999993</v>
      </c>
      <c r="R248" s="546">
        <f t="shared" ref="R248:R261" si="643">F248+150</f>
        <v>7880.7999999999993</v>
      </c>
      <c r="S248" s="256">
        <f t="shared" ref="S248:S261" si="644">+R248*$X$1</f>
        <v>7880.7999999999993</v>
      </c>
      <c r="T248" s="92">
        <f t="shared" ref="T248:T261" si="645">F248+130</f>
        <v>7860.7999999999993</v>
      </c>
      <c r="U248" s="269">
        <f t="shared" si="631"/>
        <v>7860.7999999999993</v>
      </c>
      <c r="V248" s="92">
        <f t="shared" ref="V248" si="646">F248+110</f>
        <v>7840.7999999999993</v>
      </c>
      <c r="W248" s="269">
        <f t="shared" si="632"/>
        <v>7840.7999999999993</v>
      </c>
      <c r="X248" s="635"/>
      <c r="Y248" s="636"/>
      <c r="Z248" s="636"/>
      <c r="AA248" s="637"/>
      <c r="AB248" s="178">
        <v>816</v>
      </c>
    </row>
    <row r="249" spans="1:28" ht="12.6" customHeight="1" x14ac:dyDescent="0.2">
      <c r="A249" s="17"/>
      <c r="B249" s="630" t="s">
        <v>839</v>
      </c>
      <c r="C249" s="762"/>
      <c r="D249" s="762"/>
      <c r="E249" s="762"/>
      <c r="F249" s="326">
        <f>32.25*X2</f>
        <v>49665</v>
      </c>
      <c r="G249" s="255">
        <f>+F249*$X$1</f>
        <v>49665</v>
      </c>
      <c r="H249" s="537">
        <f t="shared" si="633"/>
        <v>50365</v>
      </c>
      <c r="I249" s="255">
        <f t="shared" si="634"/>
        <v>50365</v>
      </c>
      <c r="J249" s="537">
        <f t="shared" si="635"/>
        <v>49975</v>
      </c>
      <c r="K249" s="255">
        <f t="shared" si="636"/>
        <v>49975</v>
      </c>
      <c r="L249" s="537">
        <f t="shared" si="637"/>
        <v>49905</v>
      </c>
      <c r="M249" s="255">
        <f t="shared" si="638"/>
        <v>49905</v>
      </c>
      <c r="N249" s="537">
        <f t="shared" si="639"/>
        <v>49865</v>
      </c>
      <c r="O249" s="255">
        <f t="shared" si="640"/>
        <v>49865</v>
      </c>
      <c r="P249" s="537">
        <f t="shared" si="641"/>
        <v>49835</v>
      </c>
      <c r="Q249" s="255">
        <f t="shared" si="642"/>
        <v>49835</v>
      </c>
      <c r="R249" s="537">
        <f t="shared" si="643"/>
        <v>49815</v>
      </c>
      <c r="S249" s="255">
        <f t="shared" si="644"/>
        <v>49815</v>
      </c>
      <c r="T249" s="93">
        <f t="shared" si="645"/>
        <v>49795</v>
      </c>
      <c r="U249" s="234">
        <f t="shared" ref="U249" si="647">+T249*$X$1</f>
        <v>49795</v>
      </c>
      <c r="V249" s="93">
        <f>F249+110</f>
        <v>49775</v>
      </c>
      <c r="W249" s="234">
        <f t="shared" ref="W249" si="648">+V249*$X$1</f>
        <v>49775</v>
      </c>
      <c r="X249" s="635"/>
      <c r="Y249" s="636"/>
      <c r="Z249" s="636"/>
      <c r="AA249" s="637"/>
      <c r="AB249" s="178">
        <v>817</v>
      </c>
    </row>
    <row r="250" spans="1:28" ht="12.6" customHeight="1" x14ac:dyDescent="0.2">
      <c r="A250" s="17"/>
      <c r="B250" s="642" t="s">
        <v>840</v>
      </c>
      <c r="C250" s="914"/>
      <c r="D250" s="914"/>
      <c r="E250" s="914"/>
      <c r="F250" s="327">
        <f>16.1*X2</f>
        <v>24794.000000000004</v>
      </c>
      <c r="G250" s="256">
        <f>+F250*$X$1</f>
        <v>24794.000000000004</v>
      </c>
      <c r="H250" s="546">
        <f t="shared" si="633"/>
        <v>25494.000000000004</v>
      </c>
      <c r="I250" s="256">
        <f t="shared" si="634"/>
        <v>25494.000000000004</v>
      </c>
      <c r="J250" s="546">
        <f t="shared" si="635"/>
        <v>25104.000000000004</v>
      </c>
      <c r="K250" s="256">
        <f t="shared" si="636"/>
        <v>25104.000000000004</v>
      </c>
      <c r="L250" s="546">
        <f t="shared" si="637"/>
        <v>25034.000000000004</v>
      </c>
      <c r="M250" s="256">
        <f t="shared" si="638"/>
        <v>25034.000000000004</v>
      </c>
      <c r="N250" s="546">
        <f t="shared" si="639"/>
        <v>24994.000000000004</v>
      </c>
      <c r="O250" s="256">
        <f t="shared" si="640"/>
        <v>24994.000000000004</v>
      </c>
      <c r="P250" s="546">
        <f t="shared" si="641"/>
        <v>24964.000000000004</v>
      </c>
      <c r="Q250" s="256">
        <f t="shared" si="642"/>
        <v>24964.000000000004</v>
      </c>
      <c r="R250" s="546">
        <f t="shared" si="643"/>
        <v>24944.000000000004</v>
      </c>
      <c r="S250" s="256">
        <f t="shared" si="644"/>
        <v>24944.000000000004</v>
      </c>
      <c r="T250" s="92">
        <f t="shared" si="645"/>
        <v>24924.000000000004</v>
      </c>
      <c r="U250" s="269">
        <f t="shared" ref="U250" si="649">+T250*$X$1</f>
        <v>24924.000000000004</v>
      </c>
      <c r="V250" s="92">
        <f>F250+110</f>
        <v>24904.000000000004</v>
      </c>
      <c r="W250" s="269">
        <f t="shared" ref="W250" si="650">+V250*$X$1</f>
        <v>24904.000000000004</v>
      </c>
      <c r="X250" s="635"/>
      <c r="Y250" s="636"/>
      <c r="Z250" s="636"/>
      <c r="AA250" s="637"/>
      <c r="AB250" s="178">
        <v>818</v>
      </c>
    </row>
    <row r="251" spans="1:28" ht="12.6" customHeight="1" x14ac:dyDescent="0.2">
      <c r="A251" s="17"/>
      <c r="B251" s="630" t="s">
        <v>465</v>
      </c>
      <c r="C251" s="631"/>
      <c r="D251" s="631"/>
      <c r="E251" s="631"/>
      <c r="F251" s="255">
        <v>23300</v>
      </c>
      <c r="G251" s="255">
        <f t="shared" ref="G251" si="651">+F251*$X$1</f>
        <v>23300</v>
      </c>
      <c r="H251" s="537">
        <f t="shared" si="633"/>
        <v>24000</v>
      </c>
      <c r="I251" s="255">
        <f t="shared" si="634"/>
        <v>24000</v>
      </c>
      <c r="J251" s="537">
        <f t="shared" si="635"/>
        <v>23610</v>
      </c>
      <c r="K251" s="255">
        <f t="shared" si="636"/>
        <v>23610</v>
      </c>
      <c r="L251" s="537">
        <f t="shared" si="637"/>
        <v>23540</v>
      </c>
      <c r="M251" s="255">
        <f t="shared" si="638"/>
        <v>23540</v>
      </c>
      <c r="N251" s="537">
        <f t="shared" si="639"/>
        <v>23500</v>
      </c>
      <c r="O251" s="255">
        <f t="shared" si="640"/>
        <v>23500</v>
      </c>
      <c r="P251" s="537">
        <f t="shared" si="641"/>
        <v>23470</v>
      </c>
      <c r="Q251" s="255">
        <f t="shared" si="642"/>
        <v>23470</v>
      </c>
      <c r="R251" s="537">
        <f t="shared" si="643"/>
        <v>23450</v>
      </c>
      <c r="S251" s="255">
        <f t="shared" si="644"/>
        <v>23450</v>
      </c>
      <c r="T251" s="93">
        <f t="shared" si="645"/>
        <v>23430</v>
      </c>
      <c r="U251" s="234">
        <f t="shared" ref="U251:U268" si="652">+T251*$X$1</f>
        <v>23430</v>
      </c>
      <c r="V251" s="93">
        <f t="shared" ref="V251:V278" si="653">F251+110</f>
        <v>23410</v>
      </c>
      <c r="W251" s="234">
        <f t="shared" ref="W251:W278" si="654">+V251*$X$1</f>
        <v>23410</v>
      </c>
      <c r="X251" s="635"/>
      <c r="Y251" s="636"/>
      <c r="Z251" s="636"/>
      <c r="AA251" s="637"/>
      <c r="AB251" s="178">
        <v>819</v>
      </c>
    </row>
    <row r="252" spans="1:28" ht="12.6" customHeight="1" x14ac:dyDescent="0.2">
      <c r="A252" s="17"/>
      <c r="B252" s="642" t="s">
        <v>629</v>
      </c>
      <c r="C252" s="643"/>
      <c r="D252" s="643"/>
      <c r="E252" s="643"/>
      <c r="F252" s="327">
        <f>4.3*X2</f>
        <v>6622</v>
      </c>
      <c r="G252" s="256">
        <f>+F252*$X$1</f>
        <v>6622</v>
      </c>
      <c r="H252" s="546">
        <f t="shared" si="633"/>
        <v>7322</v>
      </c>
      <c r="I252" s="256">
        <f t="shared" si="634"/>
        <v>7322</v>
      </c>
      <c r="J252" s="546">
        <f t="shared" si="635"/>
        <v>6932</v>
      </c>
      <c r="K252" s="256">
        <f t="shared" si="636"/>
        <v>6932</v>
      </c>
      <c r="L252" s="546">
        <f t="shared" si="637"/>
        <v>6862</v>
      </c>
      <c r="M252" s="256">
        <f t="shared" si="638"/>
        <v>6862</v>
      </c>
      <c r="N252" s="546">
        <f t="shared" si="639"/>
        <v>6822</v>
      </c>
      <c r="O252" s="256">
        <f t="shared" si="640"/>
        <v>6822</v>
      </c>
      <c r="P252" s="546">
        <f t="shared" si="641"/>
        <v>6792</v>
      </c>
      <c r="Q252" s="256">
        <f t="shared" si="642"/>
        <v>6792</v>
      </c>
      <c r="R252" s="546">
        <f t="shared" si="643"/>
        <v>6772</v>
      </c>
      <c r="S252" s="256">
        <f t="shared" si="644"/>
        <v>6772</v>
      </c>
      <c r="T252" s="92">
        <f t="shared" si="645"/>
        <v>6752</v>
      </c>
      <c r="U252" s="269">
        <f t="shared" si="652"/>
        <v>6752</v>
      </c>
      <c r="V252" s="92">
        <f t="shared" si="653"/>
        <v>6732</v>
      </c>
      <c r="W252" s="269">
        <f t="shared" si="654"/>
        <v>6732</v>
      </c>
      <c r="X252" s="635"/>
      <c r="Y252" s="636"/>
      <c r="Z252" s="636"/>
      <c r="AA252" s="637"/>
      <c r="AB252" s="178">
        <v>821</v>
      </c>
    </row>
    <row r="253" spans="1:28" ht="12.6" customHeight="1" x14ac:dyDescent="0.2">
      <c r="A253" s="17"/>
      <c r="B253" s="630" t="s">
        <v>795</v>
      </c>
      <c r="C253" s="631"/>
      <c r="D253" s="631"/>
      <c r="E253" s="631"/>
      <c r="F253" s="326">
        <f>12.06*X2</f>
        <v>18572.400000000001</v>
      </c>
      <c r="G253" s="255">
        <f t="shared" ref="G253" si="655">+F253*$X$1</f>
        <v>18572.400000000001</v>
      </c>
      <c r="H253" s="537">
        <f t="shared" si="633"/>
        <v>19272.400000000001</v>
      </c>
      <c r="I253" s="255">
        <f t="shared" si="634"/>
        <v>19272.400000000001</v>
      </c>
      <c r="J253" s="537">
        <f t="shared" si="635"/>
        <v>18882.400000000001</v>
      </c>
      <c r="K253" s="255">
        <f t="shared" si="636"/>
        <v>18882.400000000001</v>
      </c>
      <c r="L253" s="537">
        <f t="shared" si="637"/>
        <v>18812.400000000001</v>
      </c>
      <c r="M253" s="255">
        <f t="shared" si="638"/>
        <v>18812.400000000001</v>
      </c>
      <c r="N253" s="537">
        <f t="shared" si="639"/>
        <v>18772.400000000001</v>
      </c>
      <c r="O253" s="255">
        <f t="shared" si="640"/>
        <v>18772.400000000001</v>
      </c>
      <c r="P253" s="537">
        <f t="shared" si="641"/>
        <v>18742.400000000001</v>
      </c>
      <c r="Q253" s="255">
        <f t="shared" si="642"/>
        <v>18742.400000000001</v>
      </c>
      <c r="R253" s="537">
        <f t="shared" si="643"/>
        <v>18722.400000000001</v>
      </c>
      <c r="S253" s="255">
        <f t="shared" si="644"/>
        <v>18722.400000000001</v>
      </c>
      <c r="T253" s="93">
        <f t="shared" si="645"/>
        <v>18702.400000000001</v>
      </c>
      <c r="U253" s="234">
        <f t="shared" si="652"/>
        <v>18702.400000000001</v>
      </c>
      <c r="V253" s="93">
        <f t="shared" si="653"/>
        <v>18682.400000000001</v>
      </c>
      <c r="W253" s="234">
        <f t="shared" si="654"/>
        <v>18682.400000000001</v>
      </c>
      <c r="X253" s="635"/>
      <c r="Y253" s="636"/>
      <c r="Z253" s="636"/>
      <c r="AA253" s="637"/>
      <c r="AB253" s="178">
        <v>822</v>
      </c>
    </row>
    <row r="254" spans="1:28" ht="12.6" customHeight="1" x14ac:dyDescent="0.2">
      <c r="A254" s="17"/>
      <c r="B254" s="642" t="s">
        <v>461</v>
      </c>
      <c r="C254" s="643"/>
      <c r="D254" s="643"/>
      <c r="E254" s="643"/>
      <c r="F254" s="256">
        <v>17550</v>
      </c>
      <c r="G254" s="256">
        <f>+F254*$X$1</f>
        <v>17550</v>
      </c>
      <c r="H254" s="546">
        <f t="shared" si="633"/>
        <v>18250</v>
      </c>
      <c r="I254" s="256">
        <f t="shared" si="634"/>
        <v>18250</v>
      </c>
      <c r="J254" s="546">
        <f t="shared" si="635"/>
        <v>17860</v>
      </c>
      <c r="K254" s="256">
        <f t="shared" si="636"/>
        <v>17860</v>
      </c>
      <c r="L254" s="546">
        <f t="shared" si="637"/>
        <v>17790</v>
      </c>
      <c r="M254" s="256">
        <f t="shared" si="638"/>
        <v>17790</v>
      </c>
      <c r="N254" s="546">
        <f t="shared" si="639"/>
        <v>17750</v>
      </c>
      <c r="O254" s="256">
        <f t="shared" si="640"/>
        <v>17750</v>
      </c>
      <c r="P254" s="546">
        <f t="shared" si="641"/>
        <v>17720</v>
      </c>
      <c r="Q254" s="256">
        <f t="shared" si="642"/>
        <v>17720</v>
      </c>
      <c r="R254" s="546">
        <f t="shared" si="643"/>
        <v>17700</v>
      </c>
      <c r="S254" s="256">
        <f t="shared" si="644"/>
        <v>17700</v>
      </c>
      <c r="T254" s="92">
        <f t="shared" si="645"/>
        <v>17680</v>
      </c>
      <c r="U254" s="269">
        <f t="shared" si="652"/>
        <v>17680</v>
      </c>
      <c r="V254" s="92">
        <f t="shared" si="653"/>
        <v>17660</v>
      </c>
      <c r="W254" s="269">
        <f t="shared" si="654"/>
        <v>17660</v>
      </c>
      <c r="X254" s="635"/>
      <c r="Y254" s="636"/>
      <c r="Z254" s="636"/>
      <c r="AA254" s="637"/>
      <c r="AB254" s="178">
        <v>823</v>
      </c>
    </row>
    <row r="255" spans="1:28" ht="12.6" customHeight="1" x14ac:dyDescent="0.2">
      <c r="A255" s="17"/>
      <c r="B255" s="630" t="s">
        <v>802</v>
      </c>
      <c r="C255" s="631"/>
      <c r="D255" s="631"/>
      <c r="E255" s="631"/>
      <c r="F255" s="326">
        <f>3.2*X2</f>
        <v>4928</v>
      </c>
      <c r="G255" s="255">
        <f t="shared" ref="G255" si="656">+F255*$X$1</f>
        <v>4928</v>
      </c>
      <c r="H255" s="537">
        <f t="shared" si="633"/>
        <v>5628</v>
      </c>
      <c r="I255" s="255">
        <f t="shared" si="634"/>
        <v>5628</v>
      </c>
      <c r="J255" s="537">
        <f t="shared" si="635"/>
        <v>5238</v>
      </c>
      <c r="K255" s="255">
        <f t="shared" si="636"/>
        <v>5238</v>
      </c>
      <c r="L255" s="537">
        <f t="shared" si="637"/>
        <v>5168</v>
      </c>
      <c r="M255" s="255">
        <f t="shared" si="638"/>
        <v>5168</v>
      </c>
      <c r="N255" s="537">
        <f t="shared" si="639"/>
        <v>5128</v>
      </c>
      <c r="O255" s="255">
        <f t="shared" si="640"/>
        <v>5128</v>
      </c>
      <c r="P255" s="537">
        <f t="shared" si="641"/>
        <v>5098</v>
      </c>
      <c r="Q255" s="255">
        <f t="shared" si="642"/>
        <v>5098</v>
      </c>
      <c r="R255" s="537">
        <f t="shared" si="643"/>
        <v>5078</v>
      </c>
      <c r="S255" s="255">
        <f t="shared" si="644"/>
        <v>5078</v>
      </c>
      <c r="T255" s="93">
        <f t="shared" si="645"/>
        <v>5058</v>
      </c>
      <c r="U255" s="234">
        <f t="shared" si="652"/>
        <v>5058</v>
      </c>
      <c r="V255" s="93">
        <f t="shared" si="653"/>
        <v>5038</v>
      </c>
      <c r="W255" s="234">
        <f t="shared" si="654"/>
        <v>5038</v>
      </c>
      <c r="X255" s="635"/>
      <c r="Y255" s="636"/>
      <c r="Z255" s="636"/>
      <c r="AA255" s="637"/>
      <c r="AB255" s="178">
        <v>824</v>
      </c>
    </row>
    <row r="256" spans="1:28" ht="12.6" customHeight="1" x14ac:dyDescent="0.2">
      <c r="A256" s="17"/>
      <c r="B256" s="642" t="s">
        <v>748</v>
      </c>
      <c r="C256" s="643"/>
      <c r="D256" s="643"/>
      <c r="E256" s="643"/>
      <c r="F256" s="327">
        <f>3*X2</f>
        <v>4620</v>
      </c>
      <c r="G256" s="256">
        <f>+F256*$X$1</f>
        <v>4620</v>
      </c>
      <c r="H256" s="546">
        <f t="shared" si="633"/>
        <v>5320</v>
      </c>
      <c r="I256" s="256">
        <f t="shared" si="634"/>
        <v>5320</v>
      </c>
      <c r="J256" s="546">
        <f t="shared" si="635"/>
        <v>4930</v>
      </c>
      <c r="K256" s="256">
        <f t="shared" si="636"/>
        <v>4930</v>
      </c>
      <c r="L256" s="546">
        <f t="shared" si="637"/>
        <v>4860</v>
      </c>
      <c r="M256" s="256">
        <f t="shared" si="638"/>
        <v>4860</v>
      </c>
      <c r="N256" s="546">
        <f t="shared" si="639"/>
        <v>4820</v>
      </c>
      <c r="O256" s="256">
        <f t="shared" si="640"/>
        <v>4820</v>
      </c>
      <c r="P256" s="546">
        <f t="shared" si="641"/>
        <v>4790</v>
      </c>
      <c r="Q256" s="256">
        <f t="shared" si="642"/>
        <v>4790</v>
      </c>
      <c r="R256" s="546">
        <f t="shared" si="643"/>
        <v>4770</v>
      </c>
      <c r="S256" s="256">
        <f t="shared" si="644"/>
        <v>4770</v>
      </c>
      <c r="T256" s="92">
        <f t="shared" si="645"/>
        <v>4750</v>
      </c>
      <c r="U256" s="269">
        <f t="shared" si="652"/>
        <v>4750</v>
      </c>
      <c r="V256" s="92">
        <f t="shared" si="653"/>
        <v>4730</v>
      </c>
      <c r="W256" s="269">
        <f t="shared" si="654"/>
        <v>4730</v>
      </c>
      <c r="X256" s="635"/>
      <c r="Y256" s="636"/>
      <c r="Z256" s="636"/>
      <c r="AA256" s="637"/>
      <c r="AB256" s="178">
        <v>825</v>
      </c>
    </row>
    <row r="257" spans="1:28" ht="12.6" customHeight="1" x14ac:dyDescent="0.2">
      <c r="A257" s="17"/>
      <c r="B257" s="630" t="s">
        <v>624</v>
      </c>
      <c r="C257" s="631"/>
      <c r="D257" s="631"/>
      <c r="E257" s="631"/>
      <c r="F257" s="326">
        <f>6.3*X2</f>
        <v>9702</v>
      </c>
      <c r="G257" s="255">
        <f>+F257*$X$1</f>
        <v>9702</v>
      </c>
      <c r="H257" s="537">
        <f t="shared" si="633"/>
        <v>10402</v>
      </c>
      <c r="I257" s="255">
        <f t="shared" si="634"/>
        <v>10402</v>
      </c>
      <c r="J257" s="537">
        <f t="shared" si="635"/>
        <v>10012</v>
      </c>
      <c r="K257" s="255">
        <f t="shared" si="636"/>
        <v>10012</v>
      </c>
      <c r="L257" s="537">
        <f t="shared" si="637"/>
        <v>9942</v>
      </c>
      <c r="M257" s="255">
        <f t="shared" si="638"/>
        <v>9942</v>
      </c>
      <c r="N257" s="537">
        <f t="shared" si="639"/>
        <v>9902</v>
      </c>
      <c r="O257" s="255">
        <f t="shared" si="640"/>
        <v>9902</v>
      </c>
      <c r="P257" s="537">
        <f t="shared" si="641"/>
        <v>9872</v>
      </c>
      <c r="Q257" s="255">
        <f t="shared" si="642"/>
        <v>9872</v>
      </c>
      <c r="R257" s="537">
        <f t="shared" si="643"/>
        <v>9852</v>
      </c>
      <c r="S257" s="255">
        <f t="shared" si="644"/>
        <v>9852</v>
      </c>
      <c r="T257" s="93">
        <f t="shared" si="645"/>
        <v>9832</v>
      </c>
      <c r="U257" s="234">
        <f t="shared" si="652"/>
        <v>9832</v>
      </c>
      <c r="V257" s="93">
        <f t="shared" si="653"/>
        <v>9812</v>
      </c>
      <c r="W257" s="234">
        <f t="shared" si="654"/>
        <v>9812</v>
      </c>
      <c r="X257" s="635"/>
      <c r="Y257" s="636"/>
      <c r="Z257" s="636"/>
      <c r="AA257" s="637"/>
      <c r="AB257" s="178">
        <v>826</v>
      </c>
    </row>
    <row r="258" spans="1:28" ht="12.6" customHeight="1" x14ac:dyDescent="0.2">
      <c r="A258" s="17"/>
      <c r="B258" s="669" t="s">
        <v>777</v>
      </c>
      <c r="C258" s="643"/>
      <c r="D258" s="643"/>
      <c r="E258" s="643"/>
      <c r="F258" s="327">
        <f>2.9*X2</f>
        <v>4466</v>
      </c>
      <c r="G258" s="256">
        <f t="shared" ref="G258" si="657">+F258*$X$1</f>
        <v>4466</v>
      </c>
      <c r="H258" s="546">
        <f t="shared" si="633"/>
        <v>5166</v>
      </c>
      <c r="I258" s="256">
        <f t="shared" si="634"/>
        <v>5166</v>
      </c>
      <c r="J258" s="546">
        <f t="shared" si="635"/>
        <v>4776</v>
      </c>
      <c r="K258" s="256">
        <f t="shared" si="636"/>
        <v>4776</v>
      </c>
      <c r="L258" s="546">
        <f t="shared" si="637"/>
        <v>4706</v>
      </c>
      <c r="M258" s="256">
        <f t="shared" si="638"/>
        <v>4706</v>
      </c>
      <c r="N258" s="546">
        <f t="shared" si="639"/>
        <v>4666</v>
      </c>
      <c r="O258" s="256">
        <f t="shared" si="640"/>
        <v>4666</v>
      </c>
      <c r="P258" s="546">
        <f t="shared" si="641"/>
        <v>4636</v>
      </c>
      <c r="Q258" s="256">
        <f t="shared" si="642"/>
        <v>4636</v>
      </c>
      <c r="R258" s="546">
        <f t="shared" si="643"/>
        <v>4616</v>
      </c>
      <c r="S258" s="256">
        <f t="shared" si="644"/>
        <v>4616</v>
      </c>
      <c r="T258" s="92">
        <f t="shared" si="645"/>
        <v>4596</v>
      </c>
      <c r="U258" s="269">
        <f t="shared" si="652"/>
        <v>4596</v>
      </c>
      <c r="V258" s="92">
        <f t="shared" si="653"/>
        <v>4576</v>
      </c>
      <c r="W258" s="269">
        <f t="shared" si="654"/>
        <v>4576</v>
      </c>
      <c r="X258" s="635"/>
      <c r="Y258" s="636"/>
      <c r="Z258" s="636"/>
      <c r="AA258" s="637"/>
      <c r="AB258" s="178">
        <v>827</v>
      </c>
    </row>
    <row r="259" spans="1:28" ht="12.6" customHeight="1" x14ac:dyDescent="0.2">
      <c r="A259" s="17"/>
      <c r="B259" s="939" t="s">
        <v>625</v>
      </c>
      <c r="C259" s="942"/>
      <c r="D259" s="942"/>
      <c r="E259" s="942"/>
      <c r="F259" s="464">
        <f>5.9*X2</f>
        <v>9086</v>
      </c>
      <c r="G259" s="460">
        <f>+F259*$X$1</f>
        <v>9086</v>
      </c>
      <c r="H259" s="596">
        <f t="shared" si="633"/>
        <v>9786</v>
      </c>
      <c r="I259" s="460">
        <f t="shared" si="634"/>
        <v>9786</v>
      </c>
      <c r="J259" s="596">
        <f t="shared" si="635"/>
        <v>9396</v>
      </c>
      <c r="K259" s="460">
        <f t="shared" si="636"/>
        <v>9396</v>
      </c>
      <c r="L259" s="596">
        <f t="shared" si="637"/>
        <v>9326</v>
      </c>
      <c r="M259" s="460">
        <f t="shared" si="638"/>
        <v>9326</v>
      </c>
      <c r="N259" s="596">
        <f t="shared" si="639"/>
        <v>9286</v>
      </c>
      <c r="O259" s="460">
        <f t="shared" si="640"/>
        <v>9286</v>
      </c>
      <c r="P259" s="596">
        <f t="shared" si="641"/>
        <v>9256</v>
      </c>
      <c r="Q259" s="460">
        <f t="shared" si="642"/>
        <v>9256</v>
      </c>
      <c r="R259" s="596">
        <f t="shared" si="643"/>
        <v>9236</v>
      </c>
      <c r="S259" s="460">
        <f t="shared" si="644"/>
        <v>9236</v>
      </c>
      <c r="T259" s="532">
        <f t="shared" si="645"/>
        <v>9216</v>
      </c>
      <c r="U259" s="531">
        <f t="shared" si="652"/>
        <v>9216</v>
      </c>
      <c r="V259" s="532">
        <f t="shared" si="653"/>
        <v>9196</v>
      </c>
      <c r="W259" s="531">
        <f t="shared" si="654"/>
        <v>9196</v>
      </c>
      <c r="X259" s="635"/>
      <c r="Y259" s="636"/>
      <c r="Z259" s="636"/>
      <c r="AA259" s="637"/>
      <c r="AB259" s="178">
        <v>828</v>
      </c>
    </row>
    <row r="260" spans="1:28" ht="12.6" customHeight="1" x14ac:dyDescent="0.2">
      <c r="A260" s="17"/>
      <c r="B260" s="642" t="s">
        <v>562</v>
      </c>
      <c r="C260" s="643"/>
      <c r="D260" s="643"/>
      <c r="E260" s="643"/>
      <c r="F260" s="327">
        <f>3.612*X2</f>
        <v>5562.4800000000005</v>
      </c>
      <c r="G260" s="256">
        <f>+F260*$X$1</f>
        <v>5562.4800000000005</v>
      </c>
      <c r="H260" s="546">
        <f t="shared" si="633"/>
        <v>6262.4800000000005</v>
      </c>
      <c r="I260" s="256">
        <f t="shared" si="634"/>
        <v>6262.4800000000005</v>
      </c>
      <c r="J260" s="546">
        <f t="shared" si="635"/>
        <v>5872.4800000000005</v>
      </c>
      <c r="K260" s="256">
        <f t="shared" si="636"/>
        <v>5872.4800000000005</v>
      </c>
      <c r="L260" s="546">
        <f t="shared" si="637"/>
        <v>5802.4800000000005</v>
      </c>
      <c r="M260" s="256">
        <f t="shared" si="638"/>
        <v>5802.4800000000005</v>
      </c>
      <c r="N260" s="546">
        <f t="shared" si="639"/>
        <v>5762.4800000000005</v>
      </c>
      <c r="O260" s="256">
        <f t="shared" si="640"/>
        <v>5762.4800000000005</v>
      </c>
      <c r="P260" s="546">
        <f t="shared" si="641"/>
        <v>5732.4800000000005</v>
      </c>
      <c r="Q260" s="256">
        <f t="shared" si="642"/>
        <v>5732.4800000000005</v>
      </c>
      <c r="R260" s="546">
        <f t="shared" si="643"/>
        <v>5712.4800000000005</v>
      </c>
      <c r="S260" s="256">
        <f t="shared" si="644"/>
        <v>5712.4800000000005</v>
      </c>
      <c r="T260" s="92">
        <f t="shared" si="645"/>
        <v>5692.4800000000005</v>
      </c>
      <c r="U260" s="269">
        <f t="shared" si="652"/>
        <v>5692.4800000000005</v>
      </c>
      <c r="V260" s="92">
        <f t="shared" si="653"/>
        <v>5672.4800000000005</v>
      </c>
      <c r="W260" s="269">
        <f t="shared" si="654"/>
        <v>5672.4800000000005</v>
      </c>
      <c r="X260" s="635"/>
      <c r="Y260" s="636"/>
      <c r="Z260" s="636"/>
      <c r="AA260" s="637"/>
      <c r="AB260" s="178">
        <v>829</v>
      </c>
    </row>
    <row r="261" spans="1:28" ht="12.6" customHeight="1" x14ac:dyDescent="0.2">
      <c r="A261" s="17"/>
      <c r="B261" s="630" t="s">
        <v>749</v>
      </c>
      <c r="C261" s="631"/>
      <c r="D261" s="631"/>
      <c r="E261" s="631"/>
      <c r="F261" s="326">
        <f>5.7*X2</f>
        <v>8778</v>
      </c>
      <c r="G261" s="255">
        <f>+F261*$X$1</f>
        <v>8778</v>
      </c>
      <c r="H261" s="537">
        <f t="shared" si="633"/>
        <v>9478</v>
      </c>
      <c r="I261" s="255">
        <f t="shared" si="634"/>
        <v>9478</v>
      </c>
      <c r="J261" s="537">
        <f t="shared" si="635"/>
        <v>9088</v>
      </c>
      <c r="K261" s="255">
        <f t="shared" si="636"/>
        <v>9088</v>
      </c>
      <c r="L261" s="537">
        <f t="shared" si="637"/>
        <v>9018</v>
      </c>
      <c r="M261" s="255">
        <f t="shared" si="638"/>
        <v>9018</v>
      </c>
      <c r="N261" s="537">
        <f t="shared" si="639"/>
        <v>8978</v>
      </c>
      <c r="O261" s="255">
        <f t="shared" si="640"/>
        <v>8978</v>
      </c>
      <c r="P261" s="537">
        <f t="shared" si="641"/>
        <v>8948</v>
      </c>
      <c r="Q261" s="255">
        <f t="shared" si="642"/>
        <v>8948</v>
      </c>
      <c r="R261" s="537">
        <f t="shared" si="643"/>
        <v>8928</v>
      </c>
      <c r="S261" s="255">
        <f t="shared" si="644"/>
        <v>8928</v>
      </c>
      <c r="T261" s="93">
        <f t="shared" si="645"/>
        <v>8908</v>
      </c>
      <c r="U261" s="234">
        <f t="shared" si="652"/>
        <v>8908</v>
      </c>
      <c r="V261" s="93">
        <f t="shared" si="653"/>
        <v>8888</v>
      </c>
      <c r="W261" s="234">
        <f t="shared" si="654"/>
        <v>8888</v>
      </c>
      <c r="X261" s="635"/>
      <c r="Y261" s="636"/>
      <c r="Z261" s="636"/>
      <c r="AA261" s="637"/>
      <c r="AB261" s="178">
        <v>831</v>
      </c>
    </row>
    <row r="262" spans="1:28" ht="12.6" customHeight="1" x14ac:dyDescent="0.2">
      <c r="A262" s="17"/>
      <c r="B262" s="642" t="s">
        <v>887</v>
      </c>
      <c r="C262" s="643"/>
      <c r="D262" s="643"/>
      <c r="E262" s="643"/>
      <c r="F262" s="327">
        <f>2.1*X2</f>
        <v>3234</v>
      </c>
      <c r="G262" s="256">
        <f t="shared" ref="G262" si="658">+F262*$X$1</f>
        <v>3234</v>
      </c>
      <c r="H262" s="546">
        <f t="shared" ref="H262:H263" si="659">F262+700</f>
        <v>3934</v>
      </c>
      <c r="I262" s="256">
        <f t="shared" ref="I262:I263" si="660">+H262*$X$1</f>
        <v>3934</v>
      </c>
      <c r="J262" s="546">
        <f t="shared" ref="J262:J263" si="661">F262+310</f>
        <v>3544</v>
      </c>
      <c r="K262" s="256">
        <f t="shared" ref="K262:K263" si="662">+J262*$X$1</f>
        <v>3544</v>
      </c>
      <c r="L262" s="546"/>
      <c r="M262" s="256"/>
      <c r="N262" s="546"/>
      <c r="O262" s="256"/>
      <c r="P262" s="546"/>
      <c r="Q262" s="256"/>
      <c r="R262" s="546"/>
      <c r="S262" s="256"/>
      <c r="T262" s="92"/>
      <c r="U262" s="269"/>
      <c r="V262" s="92"/>
      <c r="W262" s="269"/>
      <c r="X262" s="635"/>
      <c r="Y262" s="636"/>
      <c r="Z262" s="636"/>
      <c r="AA262" s="637"/>
      <c r="AB262" s="178">
        <v>832</v>
      </c>
    </row>
    <row r="263" spans="1:28" ht="12.6" customHeight="1" x14ac:dyDescent="0.2">
      <c r="A263" s="17"/>
      <c r="B263" s="630" t="s">
        <v>514</v>
      </c>
      <c r="C263" s="631"/>
      <c r="D263" s="631"/>
      <c r="E263" s="631"/>
      <c r="F263" s="326">
        <f>11.8*X2</f>
        <v>18172</v>
      </c>
      <c r="G263" s="255">
        <f t="shared" ref="G263" si="663">+F263*$X$1</f>
        <v>18172</v>
      </c>
      <c r="H263" s="537">
        <f t="shared" si="659"/>
        <v>18872</v>
      </c>
      <c r="I263" s="255">
        <f t="shared" si="660"/>
        <v>18872</v>
      </c>
      <c r="J263" s="537">
        <f t="shared" si="661"/>
        <v>18482</v>
      </c>
      <c r="K263" s="255">
        <f t="shared" si="662"/>
        <v>18482</v>
      </c>
      <c r="L263" s="537">
        <f t="shared" ref="L263" si="664">F263+240</f>
        <v>18412</v>
      </c>
      <c r="M263" s="255">
        <f t="shared" ref="M263" si="665">+L263*$X$1</f>
        <v>18412</v>
      </c>
      <c r="N263" s="537">
        <f t="shared" ref="N263" si="666">F263+200</f>
        <v>18372</v>
      </c>
      <c r="O263" s="255">
        <f t="shared" ref="O263" si="667">+N263*$X$1</f>
        <v>18372</v>
      </c>
      <c r="P263" s="537">
        <f t="shared" ref="P263" si="668">F263+170</f>
        <v>18342</v>
      </c>
      <c r="Q263" s="255">
        <f t="shared" ref="Q263" si="669">+P263*$X$1</f>
        <v>18342</v>
      </c>
      <c r="R263" s="537">
        <f t="shared" ref="R263" si="670">F263+150</f>
        <v>18322</v>
      </c>
      <c r="S263" s="255">
        <f t="shared" ref="S263" si="671">+R263*$X$1</f>
        <v>18322</v>
      </c>
      <c r="T263" s="93">
        <f t="shared" ref="T263:T268" si="672">F263+130</f>
        <v>18302</v>
      </c>
      <c r="U263" s="234">
        <f t="shared" si="652"/>
        <v>18302</v>
      </c>
      <c r="V263" s="93">
        <f t="shared" si="653"/>
        <v>18282</v>
      </c>
      <c r="W263" s="234">
        <f t="shared" si="654"/>
        <v>18282</v>
      </c>
      <c r="X263" s="635"/>
      <c r="Y263" s="636"/>
      <c r="Z263" s="636"/>
      <c r="AA263" s="637"/>
      <c r="AB263" s="178">
        <v>833</v>
      </c>
    </row>
    <row r="264" spans="1:28" ht="12.6" customHeight="1" x14ac:dyDescent="0.2">
      <c r="A264" s="17"/>
      <c r="B264" s="939" t="s">
        <v>558</v>
      </c>
      <c r="C264" s="942"/>
      <c r="D264" s="942"/>
      <c r="E264" s="942"/>
      <c r="F264" s="464">
        <f>5.4*X2</f>
        <v>8316</v>
      </c>
      <c r="G264" s="460">
        <f t="shared" ref="G264" si="673">+F264*$X$1</f>
        <v>8316</v>
      </c>
      <c r="H264" s="596">
        <f t="shared" ref="H264:H268" si="674">F264+700</f>
        <v>9016</v>
      </c>
      <c r="I264" s="460">
        <f t="shared" ref="I264:I268" si="675">+H264*$X$1</f>
        <v>9016</v>
      </c>
      <c r="J264" s="596">
        <f t="shared" ref="J264:J268" si="676">F264+310</f>
        <v>8626</v>
      </c>
      <c r="K264" s="460">
        <f t="shared" ref="K264:K268" si="677">+J264*$X$1</f>
        <v>8626</v>
      </c>
      <c r="L264" s="596">
        <f t="shared" ref="L264:L268" si="678">F264+240</f>
        <v>8556</v>
      </c>
      <c r="M264" s="460">
        <f t="shared" ref="M264:M268" si="679">+L264*$X$1</f>
        <v>8556</v>
      </c>
      <c r="N264" s="596">
        <f t="shared" ref="N264:N268" si="680">F264+200</f>
        <v>8516</v>
      </c>
      <c r="O264" s="460">
        <f t="shared" ref="O264:O268" si="681">+N264*$X$1</f>
        <v>8516</v>
      </c>
      <c r="P264" s="596">
        <f t="shared" ref="P264:P268" si="682">F264+170</f>
        <v>8486</v>
      </c>
      <c r="Q264" s="460">
        <f t="shared" ref="Q264:Q268" si="683">+P264*$X$1</f>
        <v>8486</v>
      </c>
      <c r="R264" s="596">
        <f t="shared" ref="R264:R268" si="684">F264+150</f>
        <v>8466</v>
      </c>
      <c r="S264" s="460">
        <f t="shared" ref="S264:S268" si="685">+R264*$X$1</f>
        <v>8466</v>
      </c>
      <c r="T264" s="532">
        <f t="shared" si="672"/>
        <v>8446</v>
      </c>
      <c r="U264" s="531">
        <f t="shared" si="652"/>
        <v>8446</v>
      </c>
      <c r="V264" s="532">
        <f t="shared" si="653"/>
        <v>8426</v>
      </c>
      <c r="W264" s="531">
        <f t="shared" si="654"/>
        <v>8426</v>
      </c>
      <c r="X264" s="635"/>
      <c r="Y264" s="636"/>
      <c r="Z264" s="636"/>
      <c r="AA264" s="637"/>
      <c r="AB264" s="178">
        <v>834</v>
      </c>
    </row>
    <row r="265" spans="1:28" ht="12.6" customHeight="1" x14ac:dyDescent="0.2">
      <c r="A265" s="17"/>
      <c r="B265" s="630" t="s">
        <v>560</v>
      </c>
      <c r="C265" s="631"/>
      <c r="D265" s="631"/>
      <c r="E265" s="631"/>
      <c r="F265" s="326">
        <f>7.2*X2</f>
        <v>11088</v>
      </c>
      <c r="G265" s="255">
        <f>+F265*$X$1</f>
        <v>11088</v>
      </c>
      <c r="H265" s="537">
        <f t="shared" si="674"/>
        <v>11788</v>
      </c>
      <c r="I265" s="255">
        <f t="shared" si="675"/>
        <v>11788</v>
      </c>
      <c r="J265" s="537">
        <f t="shared" si="676"/>
        <v>11398</v>
      </c>
      <c r="K265" s="255">
        <f t="shared" si="677"/>
        <v>11398</v>
      </c>
      <c r="L265" s="537">
        <f t="shared" si="678"/>
        <v>11328</v>
      </c>
      <c r="M265" s="255">
        <f t="shared" si="679"/>
        <v>11328</v>
      </c>
      <c r="N265" s="537">
        <f t="shared" si="680"/>
        <v>11288</v>
      </c>
      <c r="O265" s="255">
        <f t="shared" si="681"/>
        <v>11288</v>
      </c>
      <c r="P265" s="537">
        <f t="shared" si="682"/>
        <v>11258</v>
      </c>
      <c r="Q265" s="255">
        <f t="shared" si="683"/>
        <v>11258</v>
      </c>
      <c r="R265" s="537">
        <f t="shared" si="684"/>
        <v>11238</v>
      </c>
      <c r="S265" s="255">
        <f t="shared" si="685"/>
        <v>11238</v>
      </c>
      <c r="T265" s="93">
        <f t="shared" si="672"/>
        <v>11218</v>
      </c>
      <c r="U265" s="234">
        <f t="shared" si="652"/>
        <v>11218</v>
      </c>
      <c r="V265" s="93">
        <f t="shared" si="653"/>
        <v>11198</v>
      </c>
      <c r="W265" s="234">
        <f t="shared" si="654"/>
        <v>11198</v>
      </c>
      <c r="X265" s="635"/>
      <c r="Y265" s="636"/>
      <c r="Z265" s="636"/>
      <c r="AA265" s="637"/>
      <c r="AB265" s="178">
        <v>836</v>
      </c>
    </row>
    <row r="266" spans="1:28" ht="12.6" customHeight="1" x14ac:dyDescent="0.2">
      <c r="A266" s="17"/>
      <c r="B266" s="669" t="s">
        <v>770</v>
      </c>
      <c r="C266" s="643"/>
      <c r="D266" s="643"/>
      <c r="E266" s="643"/>
      <c r="F266" s="327">
        <f>4.8*X2</f>
        <v>7392</v>
      </c>
      <c r="G266" s="256">
        <f t="shared" ref="G266" si="686">+F266*$X$1</f>
        <v>7392</v>
      </c>
      <c r="H266" s="546">
        <f t="shared" si="674"/>
        <v>8092</v>
      </c>
      <c r="I266" s="256">
        <f t="shared" si="675"/>
        <v>8092</v>
      </c>
      <c r="J266" s="546">
        <f t="shared" si="676"/>
        <v>7702</v>
      </c>
      <c r="K266" s="256">
        <f t="shared" si="677"/>
        <v>7702</v>
      </c>
      <c r="L266" s="546">
        <f t="shared" si="678"/>
        <v>7632</v>
      </c>
      <c r="M266" s="256">
        <f t="shared" si="679"/>
        <v>7632</v>
      </c>
      <c r="N266" s="546">
        <f t="shared" si="680"/>
        <v>7592</v>
      </c>
      <c r="O266" s="256">
        <f t="shared" si="681"/>
        <v>7592</v>
      </c>
      <c r="P266" s="546">
        <f t="shared" si="682"/>
        <v>7562</v>
      </c>
      <c r="Q266" s="256">
        <f t="shared" si="683"/>
        <v>7562</v>
      </c>
      <c r="R266" s="546">
        <f t="shared" si="684"/>
        <v>7542</v>
      </c>
      <c r="S266" s="256">
        <f t="shared" si="685"/>
        <v>7542</v>
      </c>
      <c r="T266" s="92">
        <f t="shared" si="672"/>
        <v>7522</v>
      </c>
      <c r="U266" s="269">
        <f t="shared" si="652"/>
        <v>7522</v>
      </c>
      <c r="V266" s="92">
        <f t="shared" si="653"/>
        <v>7502</v>
      </c>
      <c r="W266" s="269">
        <f t="shared" si="654"/>
        <v>7502</v>
      </c>
      <c r="X266" s="635"/>
      <c r="Y266" s="636"/>
      <c r="Z266" s="636"/>
      <c r="AA266" s="637"/>
      <c r="AB266" s="178">
        <v>837</v>
      </c>
    </row>
    <row r="267" spans="1:28" ht="12.6" customHeight="1" x14ac:dyDescent="0.2">
      <c r="A267" s="17"/>
      <c r="B267" s="943" t="s">
        <v>870</v>
      </c>
      <c r="C267" s="900"/>
      <c r="D267" s="900"/>
      <c r="E267" s="900"/>
      <c r="F267" s="326">
        <f>7.98*X2</f>
        <v>12289.2</v>
      </c>
      <c r="G267" s="255">
        <f t="shared" ref="G267" si="687">+F267*$X$1</f>
        <v>12289.2</v>
      </c>
      <c r="H267" s="537">
        <f t="shared" si="674"/>
        <v>12989.2</v>
      </c>
      <c r="I267" s="255">
        <f t="shared" si="675"/>
        <v>12989.2</v>
      </c>
      <c r="J267" s="537">
        <f t="shared" si="676"/>
        <v>12599.2</v>
      </c>
      <c r="K267" s="255">
        <f t="shared" si="677"/>
        <v>12599.2</v>
      </c>
      <c r="L267" s="537">
        <f t="shared" si="678"/>
        <v>12529.2</v>
      </c>
      <c r="M267" s="255">
        <f t="shared" si="679"/>
        <v>12529.2</v>
      </c>
      <c r="N267" s="537">
        <f t="shared" si="680"/>
        <v>12489.2</v>
      </c>
      <c r="O267" s="255">
        <f t="shared" si="681"/>
        <v>12489.2</v>
      </c>
      <c r="P267" s="537">
        <f t="shared" si="682"/>
        <v>12459.2</v>
      </c>
      <c r="Q267" s="255">
        <f t="shared" si="683"/>
        <v>12459.2</v>
      </c>
      <c r="R267" s="537">
        <f t="shared" si="684"/>
        <v>12439.2</v>
      </c>
      <c r="S267" s="255">
        <f t="shared" si="685"/>
        <v>12439.2</v>
      </c>
      <c r="T267" s="93">
        <f t="shared" si="672"/>
        <v>12419.2</v>
      </c>
      <c r="U267" s="234">
        <f t="shared" si="652"/>
        <v>12419.2</v>
      </c>
      <c r="V267" s="93">
        <f t="shared" si="653"/>
        <v>12399.2</v>
      </c>
      <c r="W267" s="234">
        <f t="shared" si="654"/>
        <v>12399.2</v>
      </c>
      <c r="X267" s="635"/>
      <c r="Y267" s="636"/>
      <c r="Z267" s="636"/>
      <c r="AA267" s="637"/>
      <c r="AB267" s="178">
        <v>838</v>
      </c>
    </row>
    <row r="268" spans="1:28" ht="12.6" customHeight="1" x14ac:dyDescent="0.2">
      <c r="A268" s="17"/>
      <c r="B268" s="669" t="s">
        <v>867</v>
      </c>
      <c r="C268" s="643"/>
      <c r="D268" s="643"/>
      <c r="E268" s="643"/>
      <c r="F268" s="327">
        <f>1.9*X2</f>
        <v>2926</v>
      </c>
      <c r="G268" s="256">
        <f t="shared" ref="G268" si="688">+F268*$X$1</f>
        <v>2926</v>
      </c>
      <c r="H268" s="546">
        <f t="shared" si="674"/>
        <v>3626</v>
      </c>
      <c r="I268" s="256">
        <f t="shared" si="675"/>
        <v>3626</v>
      </c>
      <c r="J268" s="546">
        <f t="shared" si="676"/>
        <v>3236</v>
      </c>
      <c r="K268" s="256">
        <f t="shared" si="677"/>
        <v>3236</v>
      </c>
      <c r="L268" s="546">
        <f t="shared" si="678"/>
        <v>3166</v>
      </c>
      <c r="M268" s="256">
        <f t="shared" si="679"/>
        <v>3166</v>
      </c>
      <c r="N268" s="546">
        <f t="shared" si="680"/>
        <v>3126</v>
      </c>
      <c r="O268" s="256">
        <f t="shared" si="681"/>
        <v>3126</v>
      </c>
      <c r="P268" s="546">
        <f t="shared" si="682"/>
        <v>3096</v>
      </c>
      <c r="Q268" s="256">
        <f t="shared" si="683"/>
        <v>3096</v>
      </c>
      <c r="R268" s="546">
        <f t="shared" si="684"/>
        <v>3076</v>
      </c>
      <c r="S268" s="256">
        <f t="shared" si="685"/>
        <v>3076</v>
      </c>
      <c r="T268" s="92">
        <f t="shared" si="672"/>
        <v>3056</v>
      </c>
      <c r="U268" s="269">
        <f t="shared" si="652"/>
        <v>3056</v>
      </c>
      <c r="V268" s="92">
        <f t="shared" si="653"/>
        <v>3036</v>
      </c>
      <c r="W268" s="269">
        <f t="shared" si="654"/>
        <v>3036</v>
      </c>
      <c r="X268" s="635"/>
      <c r="Y268" s="636"/>
      <c r="Z268" s="636"/>
      <c r="AA268" s="637"/>
      <c r="AB268" s="178">
        <v>839</v>
      </c>
    </row>
    <row r="269" spans="1:28" ht="12.6" customHeight="1" x14ac:dyDescent="0.2">
      <c r="A269" s="17"/>
      <c r="B269" s="727" t="s">
        <v>868</v>
      </c>
      <c r="C269" s="631"/>
      <c r="D269" s="631"/>
      <c r="E269" s="631"/>
      <c r="F269" s="326">
        <f>2.4*X2</f>
        <v>3696</v>
      </c>
      <c r="G269" s="255">
        <f t="shared" ref="G269" si="689">+F269*$X$1</f>
        <v>3696</v>
      </c>
      <c r="H269" s="537">
        <f t="shared" ref="H269" si="690">F269+700</f>
        <v>4396</v>
      </c>
      <c r="I269" s="255">
        <f t="shared" ref="I269" si="691">+H269*$X$1</f>
        <v>4396</v>
      </c>
      <c r="J269" s="537">
        <f t="shared" ref="J269" si="692">F269+310</f>
        <v>4006</v>
      </c>
      <c r="K269" s="255">
        <f t="shared" ref="K269" si="693">+J269*$X$1</f>
        <v>4006</v>
      </c>
      <c r="L269" s="537">
        <f t="shared" ref="L269" si="694">F269+240</f>
        <v>3936</v>
      </c>
      <c r="M269" s="255">
        <f t="shared" ref="M269" si="695">+L269*$X$1</f>
        <v>3936</v>
      </c>
      <c r="N269" s="537">
        <f t="shared" ref="N269" si="696">F269+200</f>
        <v>3896</v>
      </c>
      <c r="O269" s="255">
        <f t="shared" ref="O269" si="697">+N269*$X$1</f>
        <v>3896</v>
      </c>
      <c r="P269" s="537"/>
      <c r="Q269" s="255"/>
      <c r="R269" s="537"/>
      <c r="S269" s="255"/>
      <c r="T269" s="93"/>
      <c r="U269" s="234"/>
      <c r="V269" s="93"/>
      <c r="W269" s="234"/>
      <c r="X269" s="635"/>
      <c r="Y269" s="636"/>
      <c r="Z269" s="636"/>
      <c r="AA269" s="637"/>
      <c r="AB269" s="178">
        <v>840</v>
      </c>
    </row>
    <row r="270" spans="1:28" ht="12.6" customHeight="1" x14ac:dyDescent="0.2">
      <c r="A270" s="17"/>
      <c r="B270" s="656" t="s">
        <v>442</v>
      </c>
      <c r="C270" s="747"/>
      <c r="D270" s="747"/>
      <c r="E270" s="747"/>
      <c r="F270" s="328">
        <f>5*X2</f>
        <v>7700</v>
      </c>
      <c r="G270" s="280">
        <f>+F270*$X$1</f>
        <v>7700</v>
      </c>
      <c r="H270" s="546">
        <f t="shared" ref="H270" si="698">F270+700</f>
        <v>8400</v>
      </c>
      <c r="I270" s="256">
        <f t="shared" ref="I270" si="699">+H270*$X$1</f>
        <v>8400</v>
      </c>
      <c r="J270" s="546">
        <f t="shared" ref="J270" si="700">F270+310</f>
        <v>8010</v>
      </c>
      <c r="K270" s="256">
        <f t="shared" ref="K270" si="701">+J270*$X$1</f>
        <v>8010</v>
      </c>
      <c r="L270" s="546">
        <f t="shared" ref="L270" si="702">F270+240</f>
        <v>7940</v>
      </c>
      <c r="M270" s="256">
        <f t="shared" ref="M270" si="703">+L270*$X$1</f>
        <v>7940</v>
      </c>
      <c r="N270" s="546">
        <f t="shared" ref="N270" si="704">F270+200</f>
        <v>7900</v>
      </c>
      <c r="O270" s="256">
        <f t="shared" ref="O270" si="705">+N270*$X$1</f>
        <v>7900</v>
      </c>
      <c r="P270" s="546">
        <f t="shared" ref="P270" si="706">F270+170</f>
        <v>7870</v>
      </c>
      <c r="Q270" s="256">
        <f t="shared" ref="Q270" si="707">+P270*$X$1</f>
        <v>7870</v>
      </c>
      <c r="R270" s="546">
        <f t="shared" ref="R270" si="708">F270+150</f>
        <v>7850</v>
      </c>
      <c r="S270" s="256">
        <f t="shared" ref="S270" si="709">+R270*$X$1</f>
        <v>7850</v>
      </c>
      <c r="T270" s="92">
        <f t="shared" ref="T270" si="710">F270+130</f>
        <v>7830</v>
      </c>
      <c r="U270" s="269">
        <f t="shared" ref="U270" si="711">+T270*$X$1</f>
        <v>7830</v>
      </c>
      <c r="V270" s="92">
        <f t="shared" ref="V270" si="712">F270+110</f>
        <v>7810</v>
      </c>
      <c r="W270" s="269">
        <f t="shared" ref="W270" si="713">+V270*$X$1</f>
        <v>7810</v>
      </c>
      <c r="X270" s="635"/>
      <c r="Y270" s="636"/>
      <c r="Z270" s="636"/>
      <c r="AA270" s="637"/>
      <c r="AB270" s="346">
        <v>916</v>
      </c>
    </row>
    <row r="271" spans="1:28" ht="12.6" customHeight="1" x14ac:dyDescent="0.2">
      <c r="A271" s="17"/>
      <c r="B271" s="630" t="s">
        <v>712</v>
      </c>
      <c r="C271" s="631"/>
      <c r="D271" s="631"/>
      <c r="E271" s="631"/>
      <c r="F271" s="326">
        <f>6.41*X2</f>
        <v>9871.4</v>
      </c>
      <c r="G271" s="255">
        <f>+F271*$X$1</f>
        <v>9871.4</v>
      </c>
      <c r="H271" s="537">
        <f t="shared" ref="H271:H281" si="714">F271+700</f>
        <v>10571.4</v>
      </c>
      <c r="I271" s="255">
        <f t="shared" ref="I271:I281" si="715">+H271*$X$1</f>
        <v>10571.4</v>
      </c>
      <c r="J271" s="537">
        <f t="shared" ref="J271:J281" si="716">F271+310</f>
        <v>10181.4</v>
      </c>
      <c r="K271" s="255">
        <f t="shared" ref="K271:K281" si="717">+J271*$X$1</f>
        <v>10181.4</v>
      </c>
      <c r="L271" s="537">
        <f t="shared" ref="L271:L281" si="718">F271+240</f>
        <v>10111.4</v>
      </c>
      <c r="M271" s="255">
        <f t="shared" ref="M271:M281" si="719">+L271*$X$1</f>
        <v>10111.4</v>
      </c>
      <c r="N271" s="537">
        <f t="shared" ref="N271:N281" si="720">F271+200</f>
        <v>10071.4</v>
      </c>
      <c r="O271" s="255">
        <f t="shared" ref="O271:O281" si="721">+N271*$X$1</f>
        <v>10071.4</v>
      </c>
      <c r="P271" s="537">
        <f t="shared" ref="P271:P281" si="722">F271+170</f>
        <v>10041.4</v>
      </c>
      <c r="Q271" s="255">
        <f t="shared" ref="Q271:Q281" si="723">+P271*$X$1</f>
        <v>10041.4</v>
      </c>
      <c r="R271" s="537">
        <f t="shared" ref="R271:R281" si="724">F271+150</f>
        <v>10021.4</v>
      </c>
      <c r="S271" s="255">
        <f t="shared" ref="S271:S281" si="725">+R271*$X$1</f>
        <v>10021.4</v>
      </c>
      <c r="T271" s="93">
        <f t="shared" ref="T271:T281" si="726">F271+130</f>
        <v>10001.4</v>
      </c>
      <c r="U271" s="234">
        <f t="shared" ref="U271:U281" si="727">+T271*$X$1</f>
        <v>10001.4</v>
      </c>
      <c r="V271" s="93">
        <f t="shared" si="653"/>
        <v>9981.4</v>
      </c>
      <c r="W271" s="234">
        <f t="shared" si="654"/>
        <v>9981.4</v>
      </c>
      <c r="X271" s="635"/>
      <c r="Y271" s="636"/>
      <c r="Z271" s="636"/>
      <c r="AA271" s="637"/>
      <c r="AB271" s="178">
        <v>917</v>
      </c>
    </row>
    <row r="272" spans="1:28" ht="12.6" customHeight="1" x14ac:dyDescent="0.2">
      <c r="A272" s="17"/>
      <c r="B272" s="939" t="s">
        <v>178</v>
      </c>
      <c r="C272" s="942"/>
      <c r="D272" s="942"/>
      <c r="E272" s="942"/>
      <c r="F272" s="464">
        <f>4.8*X2</f>
        <v>7392</v>
      </c>
      <c r="G272" s="460">
        <f>+F272*$X$1</f>
        <v>7392</v>
      </c>
      <c r="H272" s="596">
        <f t="shared" si="714"/>
        <v>8092</v>
      </c>
      <c r="I272" s="460">
        <f t="shared" si="715"/>
        <v>8092</v>
      </c>
      <c r="J272" s="596">
        <f t="shared" si="716"/>
        <v>7702</v>
      </c>
      <c r="K272" s="460">
        <f t="shared" si="717"/>
        <v>7702</v>
      </c>
      <c r="L272" s="596">
        <f t="shared" si="718"/>
        <v>7632</v>
      </c>
      <c r="M272" s="460">
        <f t="shared" si="719"/>
        <v>7632</v>
      </c>
      <c r="N272" s="596">
        <f t="shared" si="720"/>
        <v>7592</v>
      </c>
      <c r="O272" s="460">
        <f t="shared" si="721"/>
        <v>7592</v>
      </c>
      <c r="P272" s="596">
        <f t="shared" si="722"/>
        <v>7562</v>
      </c>
      <c r="Q272" s="460">
        <f t="shared" si="723"/>
        <v>7562</v>
      </c>
      <c r="R272" s="596">
        <f t="shared" si="724"/>
        <v>7542</v>
      </c>
      <c r="S272" s="460">
        <f t="shared" si="725"/>
        <v>7542</v>
      </c>
      <c r="T272" s="532">
        <f t="shared" si="726"/>
        <v>7522</v>
      </c>
      <c r="U272" s="531">
        <f t="shared" si="727"/>
        <v>7522</v>
      </c>
      <c r="V272" s="532">
        <f t="shared" si="653"/>
        <v>7502</v>
      </c>
      <c r="W272" s="531">
        <f t="shared" si="654"/>
        <v>7502</v>
      </c>
      <c r="X272" s="1136"/>
      <c r="Y272" s="1137"/>
      <c r="Z272" s="1137"/>
      <c r="AA272" s="1138"/>
      <c r="AB272" s="357">
        <v>918</v>
      </c>
    </row>
    <row r="273" spans="1:33" ht="12.6" customHeight="1" x14ac:dyDescent="0.2">
      <c r="A273" s="17"/>
      <c r="B273" s="630" t="s">
        <v>391</v>
      </c>
      <c r="C273" s="631"/>
      <c r="D273" s="631"/>
      <c r="E273" s="631"/>
      <c r="F273" s="326">
        <f>8.9*X2</f>
        <v>13706</v>
      </c>
      <c r="G273" s="255">
        <f>+F273*$X$1</f>
        <v>13706</v>
      </c>
      <c r="H273" s="537">
        <f t="shared" si="714"/>
        <v>14406</v>
      </c>
      <c r="I273" s="255">
        <f t="shared" si="715"/>
        <v>14406</v>
      </c>
      <c r="J273" s="537">
        <f t="shared" si="716"/>
        <v>14016</v>
      </c>
      <c r="K273" s="255">
        <f t="shared" si="717"/>
        <v>14016</v>
      </c>
      <c r="L273" s="537">
        <f t="shared" si="718"/>
        <v>13946</v>
      </c>
      <c r="M273" s="255">
        <f t="shared" si="719"/>
        <v>13946</v>
      </c>
      <c r="N273" s="537">
        <f t="shared" si="720"/>
        <v>13906</v>
      </c>
      <c r="O273" s="255">
        <f t="shared" si="721"/>
        <v>13906</v>
      </c>
      <c r="P273" s="537">
        <f t="shared" si="722"/>
        <v>13876</v>
      </c>
      <c r="Q273" s="255">
        <f t="shared" si="723"/>
        <v>13876</v>
      </c>
      <c r="R273" s="537">
        <f t="shared" si="724"/>
        <v>13856</v>
      </c>
      <c r="S273" s="255">
        <f t="shared" si="725"/>
        <v>13856</v>
      </c>
      <c r="T273" s="93">
        <f t="shared" si="726"/>
        <v>13836</v>
      </c>
      <c r="U273" s="234">
        <f t="shared" si="727"/>
        <v>13836</v>
      </c>
      <c r="V273" s="93">
        <f t="shared" si="653"/>
        <v>13816</v>
      </c>
      <c r="W273" s="234">
        <f t="shared" si="654"/>
        <v>13816</v>
      </c>
      <c r="X273" s="635"/>
      <c r="Y273" s="638"/>
      <c r="Z273" s="638"/>
      <c r="AA273" s="637"/>
      <c r="AB273" s="178">
        <v>919</v>
      </c>
    </row>
    <row r="274" spans="1:33" ht="12.6" customHeight="1" x14ac:dyDescent="0.2">
      <c r="A274" s="17"/>
      <c r="B274" s="642" t="s">
        <v>731</v>
      </c>
      <c r="C274" s="643"/>
      <c r="D274" s="643"/>
      <c r="E274" s="643"/>
      <c r="F274" s="327">
        <f>7.53*X2</f>
        <v>11596.2</v>
      </c>
      <c r="G274" s="256">
        <f t="shared" ref="G274:G278" si="728">+F274*$X$1</f>
        <v>11596.2</v>
      </c>
      <c r="H274" s="546">
        <f t="shared" si="714"/>
        <v>12296.2</v>
      </c>
      <c r="I274" s="256">
        <f t="shared" si="715"/>
        <v>12296.2</v>
      </c>
      <c r="J274" s="546">
        <f t="shared" si="716"/>
        <v>11906.2</v>
      </c>
      <c r="K274" s="256">
        <f t="shared" si="717"/>
        <v>11906.2</v>
      </c>
      <c r="L274" s="546">
        <f t="shared" si="718"/>
        <v>11836.2</v>
      </c>
      <c r="M274" s="256">
        <f t="shared" si="719"/>
        <v>11836.2</v>
      </c>
      <c r="N274" s="546">
        <f t="shared" si="720"/>
        <v>11796.2</v>
      </c>
      <c r="O274" s="256">
        <f t="shared" si="721"/>
        <v>11796.2</v>
      </c>
      <c r="P274" s="546">
        <f t="shared" si="722"/>
        <v>11766.2</v>
      </c>
      <c r="Q274" s="256">
        <f t="shared" si="723"/>
        <v>11766.2</v>
      </c>
      <c r="R274" s="546">
        <f t="shared" si="724"/>
        <v>11746.2</v>
      </c>
      <c r="S274" s="256">
        <f t="shared" si="725"/>
        <v>11746.2</v>
      </c>
      <c r="T274" s="92">
        <f t="shared" si="726"/>
        <v>11726.2</v>
      </c>
      <c r="U274" s="269">
        <f t="shared" si="727"/>
        <v>11726.2</v>
      </c>
      <c r="V274" s="92">
        <f t="shared" si="653"/>
        <v>11706.2</v>
      </c>
      <c r="W274" s="269">
        <f t="shared" si="654"/>
        <v>11706.2</v>
      </c>
      <c r="X274" s="635"/>
      <c r="Y274" s="636"/>
      <c r="Z274" s="636"/>
      <c r="AA274" s="637"/>
      <c r="AB274" s="178">
        <v>920</v>
      </c>
    </row>
    <row r="275" spans="1:33" ht="12.6" customHeight="1" x14ac:dyDescent="0.2">
      <c r="A275" s="17"/>
      <c r="B275" s="630" t="s">
        <v>730</v>
      </c>
      <c r="C275" s="631"/>
      <c r="D275" s="631"/>
      <c r="E275" s="631"/>
      <c r="F275" s="326">
        <f>7.53*X2</f>
        <v>11596.2</v>
      </c>
      <c r="G275" s="255">
        <f t="shared" ref="G275" si="729">+F275*$X$1</f>
        <v>11596.2</v>
      </c>
      <c r="H275" s="537">
        <f t="shared" si="714"/>
        <v>12296.2</v>
      </c>
      <c r="I275" s="255">
        <f t="shared" si="715"/>
        <v>12296.2</v>
      </c>
      <c r="J275" s="537">
        <f t="shared" si="716"/>
        <v>11906.2</v>
      </c>
      <c r="K275" s="255">
        <f t="shared" si="717"/>
        <v>11906.2</v>
      </c>
      <c r="L275" s="537">
        <f t="shared" si="718"/>
        <v>11836.2</v>
      </c>
      <c r="M275" s="255">
        <f t="shared" si="719"/>
        <v>11836.2</v>
      </c>
      <c r="N275" s="537">
        <f t="shared" si="720"/>
        <v>11796.2</v>
      </c>
      <c r="O275" s="255">
        <f t="shared" si="721"/>
        <v>11796.2</v>
      </c>
      <c r="P275" s="537">
        <f t="shared" si="722"/>
        <v>11766.2</v>
      </c>
      <c r="Q275" s="255">
        <f t="shared" si="723"/>
        <v>11766.2</v>
      </c>
      <c r="R275" s="537">
        <f t="shared" si="724"/>
        <v>11746.2</v>
      </c>
      <c r="S275" s="255">
        <f t="shared" si="725"/>
        <v>11746.2</v>
      </c>
      <c r="T275" s="93">
        <f t="shared" si="726"/>
        <v>11726.2</v>
      </c>
      <c r="U275" s="234">
        <f t="shared" si="727"/>
        <v>11726.2</v>
      </c>
      <c r="V275" s="93">
        <f t="shared" si="653"/>
        <v>11706.2</v>
      </c>
      <c r="W275" s="234">
        <f t="shared" si="654"/>
        <v>11706.2</v>
      </c>
      <c r="X275" s="635"/>
      <c r="Y275" s="636"/>
      <c r="Z275" s="636"/>
      <c r="AA275" s="637"/>
      <c r="AB275" s="178" t="s">
        <v>732</v>
      </c>
    </row>
    <row r="276" spans="1:33" ht="12.6" customHeight="1" x14ac:dyDescent="0.2">
      <c r="A276" s="17"/>
      <c r="B276" s="642" t="s">
        <v>771</v>
      </c>
      <c r="C276" s="643"/>
      <c r="D276" s="643"/>
      <c r="E276" s="643"/>
      <c r="F276" s="327">
        <f>7.36*X2</f>
        <v>11334.4</v>
      </c>
      <c r="G276" s="256">
        <f t="shared" ref="G276:G277" si="730">+F276*$X$1</f>
        <v>11334.4</v>
      </c>
      <c r="H276" s="546">
        <f t="shared" si="714"/>
        <v>12034.4</v>
      </c>
      <c r="I276" s="256">
        <f t="shared" si="715"/>
        <v>12034.4</v>
      </c>
      <c r="J276" s="546">
        <f t="shared" si="716"/>
        <v>11644.4</v>
      </c>
      <c r="K276" s="256">
        <f t="shared" si="717"/>
        <v>11644.4</v>
      </c>
      <c r="L276" s="546">
        <f t="shared" si="718"/>
        <v>11574.4</v>
      </c>
      <c r="M276" s="256">
        <f t="shared" si="719"/>
        <v>11574.4</v>
      </c>
      <c r="N276" s="546">
        <f t="shared" si="720"/>
        <v>11534.4</v>
      </c>
      <c r="O276" s="256">
        <f t="shared" si="721"/>
        <v>11534.4</v>
      </c>
      <c r="P276" s="546">
        <f t="shared" si="722"/>
        <v>11504.4</v>
      </c>
      <c r="Q276" s="256">
        <f t="shared" si="723"/>
        <v>11504.4</v>
      </c>
      <c r="R276" s="546">
        <f t="shared" si="724"/>
        <v>11484.4</v>
      </c>
      <c r="S276" s="256">
        <f t="shared" si="725"/>
        <v>11484.4</v>
      </c>
      <c r="T276" s="92">
        <f t="shared" si="726"/>
        <v>11464.4</v>
      </c>
      <c r="U276" s="269">
        <f t="shared" si="727"/>
        <v>11464.4</v>
      </c>
      <c r="V276" s="92">
        <f t="shared" si="653"/>
        <v>11444.4</v>
      </c>
      <c r="W276" s="269">
        <f t="shared" si="654"/>
        <v>11444.4</v>
      </c>
      <c r="X276" s="635"/>
      <c r="Y276" s="636"/>
      <c r="Z276" s="636"/>
      <c r="AA276" s="637"/>
      <c r="AB276" s="178" t="s">
        <v>772</v>
      </c>
    </row>
    <row r="277" spans="1:33" ht="12.6" customHeight="1" x14ac:dyDescent="0.2">
      <c r="A277" s="17"/>
      <c r="B277" s="727" t="s">
        <v>807</v>
      </c>
      <c r="C277" s="631"/>
      <c r="D277" s="631"/>
      <c r="E277" s="631"/>
      <c r="F277" s="326">
        <f>5.03*X2</f>
        <v>7746.2000000000007</v>
      </c>
      <c r="G277" s="255">
        <f t="shared" si="730"/>
        <v>7746.2000000000007</v>
      </c>
      <c r="H277" s="537">
        <f t="shared" si="714"/>
        <v>8446.2000000000007</v>
      </c>
      <c r="I277" s="255">
        <f t="shared" si="715"/>
        <v>8446.2000000000007</v>
      </c>
      <c r="J277" s="537">
        <f t="shared" si="716"/>
        <v>8056.2000000000007</v>
      </c>
      <c r="K277" s="255">
        <f t="shared" si="717"/>
        <v>8056.2000000000007</v>
      </c>
      <c r="L277" s="537">
        <f t="shared" si="718"/>
        <v>7986.2000000000007</v>
      </c>
      <c r="M277" s="255">
        <f t="shared" si="719"/>
        <v>7986.2000000000007</v>
      </c>
      <c r="N277" s="537">
        <f t="shared" si="720"/>
        <v>7946.2000000000007</v>
      </c>
      <c r="O277" s="255">
        <f t="shared" si="721"/>
        <v>7946.2000000000007</v>
      </c>
      <c r="P277" s="537">
        <f t="shared" si="722"/>
        <v>7916.2000000000007</v>
      </c>
      <c r="Q277" s="255">
        <f t="shared" si="723"/>
        <v>7916.2000000000007</v>
      </c>
      <c r="R277" s="537">
        <f t="shared" si="724"/>
        <v>7896.2000000000007</v>
      </c>
      <c r="S277" s="255">
        <f t="shared" si="725"/>
        <v>7896.2000000000007</v>
      </c>
      <c r="T277" s="93">
        <f t="shared" si="726"/>
        <v>7876.2000000000007</v>
      </c>
      <c r="U277" s="234">
        <f t="shared" si="727"/>
        <v>7876.2000000000007</v>
      </c>
      <c r="V277" s="93">
        <f t="shared" si="653"/>
        <v>7856.2000000000007</v>
      </c>
      <c r="W277" s="234">
        <f t="shared" si="654"/>
        <v>7856.2000000000007</v>
      </c>
      <c r="X277" s="635"/>
      <c r="Y277" s="636"/>
      <c r="Z277" s="636"/>
      <c r="AA277" s="637"/>
      <c r="AB277" s="178">
        <v>923</v>
      </c>
    </row>
    <row r="278" spans="1:33" ht="12.6" customHeight="1" x14ac:dyDescent="0.2">
      <c r="A278" s="17"/>
      <c r="B278" s="642" t="s">
        <v>713</v>
      </c>
      <c r="C278" s="643"/>
      <c r="D278" s="643"/>
      <c r="E278" s="643"/>
      <c r="F278" s="327">
        <f>5.71*X2</f>
        <v>8793.4</v>
      </c>
      <c r="G278" s="256">
        <f t="shared" si="728"/>
        <v>8793.4</v>
      </c>
      <c r="H278" s="546">
        <f t="shared" si="714"/>
        <v>9493.4</v>
      </c>
      <c r="I278" s="256">
        <f t="shared" si="715"/>
        <v>9493.4</v>
      </c>
      <c r="J278" s="546">
        <f t="shared" si="716"/>
        <v>9103.4</v>
      </c>
      <c r="K278" s="256">
        <f t="shared" si="717"/>
        <v>9103.4</v>
      </c>
      <c r="L278" s="546">
        <f t="shared" si="718"/>
        <v>9033.4</v>
      </c>
      <c r="M278" s="256">
        <f t="shared" si="719"/>
        <v>9033.4</v>
      </c>
      <c r="N278" s="546">
        <f t="shared" si="720"/>
        <v>8993.4</v>
      </c>
      <c r="O278" s="256">
        <f t="shared" si="721"/>
        <v>8993.4</v>
      </c>
      <c r="P278" s="546">
        <f t="shared" si="722"/>
        <v>8963.4</v>
      </c>
      <c r="Q278" s="256">
        <f t="shared" si="723"/>
        <v>8963.4</v>
      </c>
      <c r="R278" s="546">
        <f t="shared" si="724"/>
        <v>8943.4</v>
      </c>
      <c r="S278" s="256">
        <f t="shared" si="725"/>
        <v>8943.4</v>
      </c>
      <c r="T278" s="92">
        <f t="shared" si="726"/>
        <v>8923.4</v>
      </c>
      <c r="U278" s="269">
        <f t="shared" si="727"/>
        <v>8923.4</v>
      </c>
      <c r="V278" s="92">
        <f t="shared" si="653"/>
        <v>8903.4</v>
      </c>
      <c r="W278" s="269">
        <f t="shared" si="654"/>
        <v>8903.4</v>
      </c>
      <c r="X278" s="628"/>
      <c r="Y278" s="634"/>
      <c r="Z278" s="634"/>
      <c r="AA278" s="629"/>
      <c r="AB278" s="178" t="s">
        <v>714</v>
      </c>
    </row>
    <row r="279" spans="1:33" ht="12.6" customHeight="1" x14ac:dyDescent="0.2">
      <c r="A279" s="17"/>
      <c r="B279" s="630" t="s">
        <v>828</v>
      </c>
      <c r="C279" s="631"/>
      <c r="D279" s="631"/>
      <c r="E279" s="631"/>
      <c r="F279" s="326">
        <f>1.07*X2</f>
        <v>1647.8000000000002</v>
      </c>
      <c r="G279" s="255">
        <f t="shared" ref="G279" si="731">+F279*$X$1</f>
        <v>1647.8000000000002</v>
      </c>
      <c r="H279" s="537">
        <f t="shared" si="714"/>
        <v>2347.8000000000002</v>
      </c>
      <c r="I279" s="255">
        <f t="shared" si="715"/>
        <v>2347.8000000000002</v>
      </c>
      <c r="J279" s="537">
        <f t="shared" si="716"/>
        <v>1957.8000000000002</v>
      </c>
      <c r="K279" s="255">
        <f t="shared" si="717"/>
        <v>1957.8000000000002</v>
      </c>
      <c r="L279" s="537">
        <f t="shared" si="718"/>
        <v>1887.8000000000002</v>
      </c>
      <c r="M279" s="255">
        <f t="shared" si="719"/>
        <v>1887.8000000000002</v>
      </c>
      <c r="N279" s="537">
        <f t="shared" si="720"/>
        <v>1847.8000000000002</v>
      </c>
      <c r="O279" s="255">
        <f t="shared" si="721"/>
        <v>1847.8000000000002</v>
      </c>
      <c r="P279" s="537">
        <f t="shared" si="722"/>
        <v>1817.8000000000002</v>
      </c>
      <c r="Q279" s="255">
        <f t="shared" si="723"/>
        <v>1817.8000000000002</v>
      </c>
      <c r="R279" s="537">
        <f t="shared" si="724"/>
        <v>1797.8000000000002</v>
      </c>
      <c r="S279" s="255">
        <f t="shared" si="725"/>
        <v>1797.8000000000002</v>
      </c>
      <c r="T279" s="93">
        <f t="shared" si="726"/>
        <v>1777.8000000000002</v>
      </c>
      <c r="U279" s="234">
        <f t="shared" si="727"/>
        <v>1777.8000000000002</v>
      </c>
      <c r="V279" s="93">
        <f t="shared" ref="V279:V282" si="732">F279+110</f>
        <v>1757.8000000000002</v>
      </c>
      <c r="W279" s="234">
        <f t="shared" ref="W279:W282" si="733">+V279*$X$1</f>
        <v>1757.8000000000002</v>
      </c>
      <c r="X279" s="635"/>
      <c r="Y279" s="636"/>
      <c r="Z279" s="636"/>
      <c r="AA279" s="637"/>
      <c r="AB279" s="178">
        <v>927</v>
      </c>
    </row>
    <row r="280" spans="1:33" ht="12.6" customHeight="1" x14ac:dyDescent="0.2">
      <c r="A280" s="94"/>
      <c r="B280" s="642" t="s">
        <v>380</v>
      </c>
      <c r="C280" s="643"/>
      <c r="D280" s="643"/>
      <c r="E280" s="643"/>
      <c r="F280" s="327">
        <f>7*X2</f>
        <v>10780</v>
      </c>
      <c r="G280" s="256">
        <f t="shared" ref="G280:G283" si="734">+F280*$X$1</f>
        <v>10780</v>
      </c>
      <c r="H280" s="546">
        <f t="shared" si="714"/>
        <v>11480</v>
      </c>
      <c r="I280" s="256">
        <f t="shared" si="715"/>
        <v>11480</v>
      </c>
      <c r="J280" s="546">
        <f t="shared" si="716"/>
        <v>11090</v>
      </c>
      <c r="K280" s="256">
        <f t="shared" si="717"/>
        <v>11090</v>
      </c>
      <c r="L280" s="546">
        <f t="shared" si="718"/>
        <v>11020</v>
      </c>
      <c r="M280" s="256">
        <f t="shared" si="719"/>
        <v>11020</v>
      </c>
      <c r="N280" s="546">
        <f t="shared" si="720"/>
        <v>10980</v>
      </c>
      <c r="O280" s="256">
        <f t="shared" si="721"/>
        <v>10980</v>
      </c>
      <c r="P280" s="546">
        <f t="shared" si="722"/>
        <v>10950</v>
      </c>
      <c r="Q280" s="256">
        <f t="shared" si="723"/>
        <v>10950</v>
      </c>
      <c r="R280" s="546">
        <f t="shared" si="724"/>
        <v>10930</v>
      </c>
      <c r="S280" s="256">
        <f t="shared" si="725"/>
        <v>10930</v>
      </c>
      <c r="T280" s="92">
        <f t="shared" si="726"/>
        <v>10910</v>
      </c>
      <c r="U280" s="269">
        <f t="shared" si="727"/>
        <v>10910</v>
      </c>
      <c r="V280" s="92">
        <f t="shared" si="732"/>
        <v>10890</v>
      </c>
      <c r="W280" s="269">
        <f t="shared" si="733"/>
        <v>10890</v>
      </c>
      <c r="X280" s="635"/>
      <c r="Y280" s="636"/>
      <c r="Z280" s="636"/>
      <c r="AA280" s="637"/>
      <c r="AB280" s="178">
        <v>928</v>
      </c>
    </row>
    <row r="281" spans="1:33" ht="12.6" customHeight="1" x14ac:dyDescent="0.2">
      <c r="A281" s="17"/>
      <c r="B281" s="630" t="s">
        <v>352</v>
      </c>
      <c r="C281" s="631"/>
      <c r="D281" s="631"/>
      <c r="E281" s="631"/>
      <c r="F281" s="326">
        <f>7.82*X2</f>
        <v>12042.800000000001</v>
      </c>
      <c r="G281" s="255">
        <f t="shared" si="734"/>
        <v>12042.800000000001</v>
      </c>
      <c r="H281" s="537">
        <f t="shared" si="714"/>
        <v>12742.800000000001</v>
      </c>
      <c r="I281" s="255">
        <f t="shared" si="715"/>
        <v>12742.800000000001</v>
      </c>
      <c r="J281" s="537">
        <f t="shared" si="716"/>
        <v>12352.800000000001</v>
      </c>
      <c r="K281" s="255">
        <f t="shared" si="717"/>
        <v>12352.800000000001</v>
      </c>
      <c r="L281" s="537">
        <f t="shared" si="718"/>
        <v>12282.800000000001</v>
      </c>
      <c r="M281" s="255">
        <f t="shared" si="719"/>
        <v>12282.800000000001</v>
      </c>
      <c r="N281" s="537">
        <f t="shared" si="720"/>
        <v>12242.800000000001</v>
      </c>
      <c r="O281" s="255">
        <f t="shared" si="721"/>
        <v>12242.800000000001</v>
      </c>
      <c r="P281" s="537">
        <f t="shared" si="722"/>
        <v>12212.800000000001</v>
      </c>
      <c r="Q281" s="255">
        <f t="shared" si="723"/>
        <v>12212.800000000001</v>
      </c>
      <c r="R281" s="537">
        <f t="shared" si="724"/>
        <v>12192.800000000001</v>
      </c>
      <c r="S281" s="255">
        <f t="shared" si="725"/>
        <v>12192.800000000001</v>
      </c>
      <c r="T281" s="93">
        <f t="shared" si="726"/>
        <v>12172.800000000001</v>
      </c>
      <c r="U281" s="234">
        <f t="shared" si="727"/>
        <v>12172.800000000001</v>
      </c>
      <c r="V281" s="93">
        <f t="shared" si="732"/>
        <v>12152.800000000001</v>
      </c>
      <c r="W281" s="234">
        <f t="shared" si="733"/>
        <v>12152.800000000001</v>
      </c>
      <c r="X281" s="635"/>
      <c r="Y281" s="638"/>
      <c r="Z281" s="638"/>
      <c r="AA281" s="637"/>
      <c r="AB281" s="178">
        <v>931</v>
      </c>
    </row>
    <row r="282" spans="1:33" ht="12.6" customHeight="1" x14ac:dyDescent="0.2">
      <c r="A282" s="17"/>
      <c r="B282" s="642" t="s">
        <v>711</v>
      </c>
      <c r="C282" s="643"/>
      <c r="D282" s="643"/>
      <c r="E282" s="643"/>
      <c r="F282" s="327">
        <f>2.98*X2</f>
        <v>4589.2</v>
      </c>
      <c r="G282" s="256">
        <f t="shared" si="734"/>
        <v>4589.2</v>
      </c>
      <c r="H282" s="546">
        <f t="shared" ref="H282:H289" si="735">F282+700</f>
        <v>5289.2</v>
      </c>
      <c r="I282" s="256">
        <f t="shared" ref="I282:I289" si="736">+H282*$X$1</f>
        <v>5289.2</v>
      </c>
      <c r="J282" s="546">
        <f t="shared" ref="J282:J289" si="737">F282+310</f>
        <v>4899.2</v>
      </c>
      <c r="K282" s="256">
        <f t="shared" ref="K282:K290" si="738">+J282*$X$1</f>
        <v>4899.2</v>
      </c>
      <c r="L282" s="546">
        <f t="shared" ref="L282:L289" si="739">F282+240</f>
        <v>4829.2</v>
      </c>
      <c r="M282" s="256">
        <f t="shared" ref="M282:M290" si="740">+L282*$X$1</f>
        <v>4829.2</v>
      </c>
      <c r="N282" s="546">
        <f t="shared" ref="N282:N289" si="741">F282+200</f>
        <v>4789.2</v>
      </c>
      <c r="O282" s="256">
        <f t="shared" ref="O282:O290" si="742">+N282*$X$1</f>
        <v>4789.2</v>
      </c>
      <c r="P282" s="546">
        <f t="shared" ref="P282:P289" si="743">F282+170</f>
        <v>4759.2</v>
      </c>
      <c r="Q282" s="256">
        <f t="shared" ref="Q282:Q290" si="744">+P282*$X$1</f>
        <v>4759.2</v>
      </c>
      <c r="R282" s="546">
        <f t="shared" ref="R282:R289" si="745">F282+150</f>
        <v>4739.2</v>
      </c>
      <c r="S282" s="256">
        <f t="shared" ref="S282:S290" si="746">+R282*$X$1</f>
        <v>4739.2</v>
      </c>
      <c r="T282" s="92">
        <f t="shared" ref="T282:T289" si="747">F282+130</f>
        <v>4719.2</v>
      </c>
      <c r="U282" s="269">
        <f t="shared" ref="U282:U290" si="748">+T282*$X$1</f>
        <v>4719.2</v>
      </c>
      <c r="V282" s="92">
        <f t="shared" si="732"/>
        <v>4699.2</v>
      </c>
      <c r="W282" s="269">
        <f t="shared" si="733"/>
        <v>4699.2</v>
      </c>
      <c r="X282" s="635"/>
      <c r="Y282" s="638"/>
      <c r="Z282" s="638"/>
      <c r="AA282" s="637"/>
      <c r="AB282" s="178">
        <v>933</v>
      </c>
    </row>
    <row r="283" spans="1:33" ht="12.6" customHeight="1" x14ac:dyDescent="0.2">
      <c r="A283" s="17"/>
      <c r="B283" s="630" t="s">
        <v>534</v>
      </c>
      <c r="C283" s="631"/>
      <c r="D283" s="631"/>
      <c r="E283" s="631"/>
      <c r="F283" s="326">
        <f>7.55*X2</f>
        <v>11627</v>
      </c>
      <c r="G283" s="255">
        <f t="shared" si="734"/>
        <v>11627</v>
      </c>
      <c r="H283" s="537">
        <f t="shared" si="735"/>
        <v>12327</v>
      </c>
      <c r="I283" s="255">
        <f t="shared" si="736"/>
        <v>12327</v>
      </c>
      <c r="J283" s="537">
        <f t="shared" si="737"/>
        <v>11937</v>
      </c>
      <c r="K283" s="255">
        <f t="shared" si="738"/>
        <v>11937</v>
      </c>
      <c r="L283" s="537">
        <f t="shared" si="739"/>
        <v>11867</v>
      </c>
      <c r="M283" s="255">
        <f t="shared" si="740"/>
        <v>11867</v>
      </c>
      <c r="N283" s="537">
        <f t="shared" si="741"/>
        <v>11827</v>
      </c>
      <c r="O283" s="255">
        <f t="shared" si="742"/>
        <v>11827</v>
      </c>
      <c r="P283" s="537">
        <f t="shared" si="743"/>
        <v>11797</v>
      </c>
      <c r="Q283" s="255">
        <f t="shared" si="744"/>
        <v>11797</v>
      </c>
      <c r="R283" s="537">
        <f t="shared" si="745"/>
        <v>11777</v>
      </c>
      <c r="S283" s="255">
        <f t="shared" si="746"/>
        <v>11777</v>
      </c>
      <c r="T283" s="93">
        <f t="shared" si="747"/>
        <v>11757</v>
      </c>
      <c r="U283" s="234">
        <f t="shared" si="748"/>
        <v>11757</v>
      </c>
      <c r="V283" s="93">
        <f t="shared" ref="V283:V289" si="749">F283+110</f>
        <v>11737</v>
      </c>
      <c r="W283" s="234">
        <f t="shared" ref="W283:W290" si="750">+V283*$X$1</f>
        <v>11737</v>
      </c>
      <c r="X283" s="325"/>
      <c r="Y283" s="325"/>
      <c r="Z283" s="325"/>
      <c r="AA283" s="325"/>
      <c r="AB283" s="178">
        <v>935</v>
      </c>
    </row>
    <row r="284" spans="1:33" ht="12.6" customHeight="1" x14ac:dyDescent="0.2">
      <c r="A284" s="17"/>
      <c r="B284" s="642" t="s">
        <v>561</v>
      </c>
      <c r="C284" s="643"/>
      <c r="D284" s="643"/>
      <c r="E284" s="643"/>
      <c r="F284" s="327">
        <f>10*X2</f>
        <v>15400</v>
      </c>
      <c r="G284" s="256">
        <f t="shared" ref="G284" si="751">+F284*$X$1</f>
        <v>15400</v>
      </c>
      <c r="H284" s="546">
        <f t="shared" si="735"/>
        <v>16100</v>
      </c>
      <c r="I284" s="256">
        <f t="shared" si="736"/>
        <v>16100</v>
      </c>
      <c r="J284" s="546">
        <f t="shared" si="737"/>
        <v>15710</v>
      </c>
      <c r="K284" s="256">
        <f t="shared" si="738"/>
        <v>15710</v>
      </c>
      <c r="L284" s="546">
        <f t="shared" si="739"/>
        <v>15640</v>
      </c>
      <c r="M284" s="256">
        <f t="shared" si="740"/>
        <v>15640</v>
      </c>
      <c r="N284" s="546">
        <f t="shared" si="741"/>
        <v>15600</v>
      </c>
      <c r="O284" s="256">
        <f t="shared" si="742"/>
        <v>15600</v>
      </c>
      <c r="P284" s="546">
        <f t="shared" si="743"/>
        <v>15570</v>
      </c>
      <c r="Q284" s="256">
        <f t="shared" si="744"/>
        <v>15570</v>
      </c>
      <c r="R284" s="546">
        <f t="shared" si="745"/>
        <v>15550</v>
      </c>
      <c r="S284" s="256">
        <f t="shared" si="746"/>
        <v>15550</v>
      </c>
      <c r="T284" s="92">
        <f t="shared" si="747"/>
        <v>15530</v>
      </c>
      <c r="U284" s="269">
        <f t="shared" si="748"/>
        <v>15530</v>
      </c>
      <c r="V284" s="92">
        <f t="shared" si="749"/>
        <v>15510</v>
      </c>
      <c r="W284" s="269">
        <f t="shared" si="750"/>
        <v>15510</v>
      </c>
      <c r="X284" s="635"/>
      <c r="Y284" s="636"/>
      <c r="Z284" s="636"/>
      <c r="AA284" s="637"/>
      <c r="AB284" s="178">
        <v>936</v>
      </c>
    </row>
    <row r="285" spans="1:33" ht="12.6" customHeight="1" x14ac:dyDescent="0.2">
      <c r="A285" s="17"/>
      <c r="B285" s="630" t="s">
        <v>765</v>
      </c>
      <c r="C285" s="631"/>
      <c r="D285" s="631"/>
      <c r="E285" s="631"/>
      <c r="F285" s="326">
        <f>4.66*X2</f>
        <v>7176.4000000000005</v>
      </c>
      <c r="G285" s="255">
        <f t="shared" ref="G285" si="752">+F285*$X$1</f>
        <v>7176.4000000000005</v>
      </c>
      <c r="H285" s="537">
        <f t="shared" si="735"/>
        <v>7876.4000000000005</v>
      </c>
      <c r="I285" s="255">
        <f t="shared" si="736"/>
        <v>7876.4000000000005</v>
      </c>
      <c r="J285" s="537">
        <f t="shared" si="737"/>
        <v>7486.4000000000005</v>
      </c>
      <c r="K285" s="255">
        <f t="shared" si="738"/>
        <v>7486.4000000000005</v>
      </c>
      <c r="L285" s="537">
        <f t="shared" si="739"/>
        <v>7416.4000000000005</v>
      </c>
      <c r="M285" s="255">
        <f t="shared" si="740"/>
        <v>7416.4000000000005</v>
      </c>
      <c r="N285" s="537">
        <f t="shared" si="741"/>
        <v>7376.4000000000005</v>
      </c>
      <c r="O285" s="255">
        <f t="shared" si="742"/>
        <v>7376.4000000000005</v>
      </c>
      <c r="P285" s="537">
        <f t="shared" si="743"/>
        <v>7346.4000000000005</v>
      </c>
      <c r="Q285" s="255">
        <f t="shared" si="744"/>
        <v>7346.4000000000005</v>
      </c>
      <c r="R285" s="537">
        <f t="shared" si="745"/>
        <v>7326.4000000000005</v>
      </c>
      <c r="S285" s="255">
        <f t="shared" si="746"/>
        <v>7326.4000000000005</v>
      </c>
      <c r="T285" s="93">
        <f t="shared" si="747"/>
        <v>7306.4000000000005</v>
      </c>
      <c r="U285" s="234">
        <f t="shared" si="748"/>
        <v>7306.4000000000005</v>
      </c>
      <c r="V285" s="93">
        <f t="shared" si="749"/>
        <v>7286.4000000000005</v>
      </c>
      <c r="W285" s="234">
        <f t="shared" si="750"/>
        <v>7286.4000000000005</v>
      </c>
      <c r="X285" s="635"/>
      <c r="Y285" s="636"/>
      <c r="Z285" s="636"/>
      <c r="AA285" s="637"/>
      <c r="AB285" s="178">
        <v>940</v>
      </c>
    </row>
    <row r="286" spans="1:33" ht="12.6" customHeight="1" x14ac:dyDescent="0.2">
      <c r="A286" s="17"/>
      <c r="B286" s="639" t="s">
        <v>179</v>
      </c>
      <c r="C286" s="640"/>
      <c r="D286" s="640"/>
      <c r="E286" s="641"/>
      <c r="F286" s="327">
        <f>5.483*X2</f>
        <v>8443.82</v>
      </c>
      <c r="G286" s="256">
        <f t="shared" ref="G286:G288" si="753">+F286*$X$1</f>
        <v>8443.82</v>
      </c>
      <c r="H286" s="546">
        <f t="shared" si="735"/>
        <v>9143.82</v>
      </c>
      <c r="I286" s="256">
        <f t="shared" si="736"/>
        <v>9143.82</v>
      </c>
      <c r="J286" s="546">
        <f t="shared" si="737"/>
        <v>8753.82</v>
      </c>
      <c r="K286" s="256">
        <f t="shared" si="738"/>
        <v>8753.82</v>
      </c>
      <c r="L286" s="546">
        <f t="shared" si="739"/>
        <v>8683.82</v>
      </c>
      <c r="M286" s="256">
        <f t="shared" si="740"/>
        <v>8683.82</v>
      </c>
      <c r="N286" s="546">
        <f t="shared" si="741"/>
        <v>8643.82</v>
      </c>
      <c r="O286" s="256">
        <f t="shared" si="742"/>
        <v>8643.82</v>
      </c>
      <c r="P286" s="546">
        <f t="shared" si="743"/>
        <v>8613.82</v>
      </c>
      <c r="Q286" s="256">
        <f t="shared" si="744"/>
        <v>8613.82</v>
      </c>
      <c r="R286" s="546">
        <f t="shared" si="745"/>
        <v>8593.82</v>
      </c>
      <c r="S286" s="256">
        <f t="shared" si="746"/>
        <v>8593.82</v>
      </c>
      <c r="T286" s="92">
        <f t="shared" si="747"/>
        <v>8573.82</v>
      </c>
      <c r="U286" s="269">
        <f t="shared" si="748"/>
        <v>8573.82</v>
      </c>
      <c r="V286" s="92">
        <f t="shared" si="749"/>
        <v>8553.82</v>
      </c>
      <c r="W286" s="269">
        <f t="shared" si="750"/>
        <v>8553.82</v>
      </c>
      <c r="X286" s="121"/>
      <c r="Y286" s="123"/>
      <c r="Z286" s="119"/>
      <c r="AA286" s="119"/>
      <c r="AB286" s="178">
        <v>945</v>
      </c>
      <c r="AD286" s="62"/>
      <c r="AE286" s="62"/>
      <c r="AF286" s="62"/>
      <c r="AG286" s="62"/>
    </row>
    <row r="287" spans="1:33" ht="12.6" customHeight="1" x14ac:dyDescent="0.2">
      <c r="A287" s="17"/>
      <c r="B287" s="630" t="s">
        <v>432</v>
      </c>
      <c r="C287" s="631"/>
      <c r="D287" s="631"/>
      <c r="E287" s="631"/>
      <c r="F287" s="326">
        <f>4.1*X2</f>
        <v>6313.9999999999991</v>
      </c>
      <c r="G287" s="255">
        <f t="shared" ref="G287" si="754">+F287*$X$1</f>
        <v>6313.9999999999991</v>
      </c>
      <c r="H287" s="537">
        <f t="shared" si="735"/>
        <v>7013.9999999999991</v>
      </c>
      <c r="I287" s="255">
        <f t="shared" si="736"/>
        <v>7013.9999999999991</v>
      </c>
      <c r="J287" s="537">
        <f t="shared" si="737"/>
        <v>6623.9999999999991</v>
      </c>
      <c r="K287" s="255">
        <f t="shared" si="738"/>
        <v>6623.9999999999991</v>
      </c>
      <c r="L287" s="537">
        <f t="shared" si="739"/>
        <v>6553.9999999999991</v>
      </c>
      <c r="M287" s="255">
        <f t="shared" si="740"/>
        <v>6553.9999999999991</v>
      </c>
      <c r="N287" s="537">
        <f t="shared" si="741"/>
        <v>6513.9999999999991</v>
      </c>
      <c r="O287" s="255">
        <f t="shared" si="742"/>
        <v>6513.9999999999991</v>
      </c>
      <c r="P287" s="537">
        <f t="shared" si="743"/>
        <v>6483.9999999999991</v>
      </c>
      <c r="Q287" s="255">
        <f t="shared" si="744"/>
        <v>6483.9999999999991</v>
      </c>
      <c r="R287" s="537">
        <f t="shared" si="745"/>
        <v>6463.9999999999991</v>
      </c>
      <c r="S287" s="255">
        <f t="shared" si="746"/>
        <v>6463.9999999999991</v>
      </c>
      <c r="T287" s="93">
        <f t="shared" si="747"/>
        <v>6443.9999999999991</v>
      </c>
      <c r="U287" s="234">
        <f t="shared" si="748"/>
        <v>6443.9999999999991</v>
      </c>
      <c r="V287" s="93">
        <f t="shared" si="749"/>
        <v>6423.9999999999991</v>
      </c>
      <c r="W287" s="234">
        <f t="shared" si="750"/>
        <v>6423.9999999999991</v>
      </c>
      <c r="X287" s="139"/>
      <c r="Y287" s="139"/>
      <c r="Z287" s="139"/>
      <c r="AA287" s="139"/>
      <c r="AB287" s="178">
        <v>946</v>
      </c>
    </row>
    <row r="288" spans="1:33" ht="12.6" customHeight="1" x14ac:dyDescent="0.2">
      <c r="A288" s="17"/>
      <c r="B288" s="642" t="s">
        <v>756</v>
      </c>
      <c r="C288" s="643"/>
      <c r="D288" s="643"/>
      <c r="E288" s="643"/>
      <c r="F288" s="327">
        <f>10.94*X2</f>
        <v>16847.599999999999</v>
      </c>
      <c r="G288" s="256">
        <f t="shared" si="753"/>
        <v>16847.599999999999</v>
      </c>
      <c r="H288" s="546">
        <f t="shared" si="735"/>
        <v>17547.599999999999</v>
      </c>
      <c r="I288" s="256">
        <f t="shared" si="736"/>
        <v>17547.599999999999</v>
      </c>
      <c r="J288" s="546">
        <f t="shared" si="737"/>
        <v>17157.599999999999</v>
      </c>
      <c r="K288" s="256">
        <f t="shared" si="738"/>
        <v>17157.599999999999</v>
      </c>
      <c r="L288" s="546">
        <f t="shared" si="739"/>
        <v>17087.599999999999</v>
      </c>
      <c r="M288" s="256">
        <f t="shared" si="740"/>
        <v>17087.599999999999</v>
      </c>
      <c r="N288" s="546">
        <f t="shared" si="741"/>
        <v>17047.599999999999</v>
      </c>
      <c r="O288" s="256">
        <f t="shared" si="742"/>
        <v>17047.599999999999</v>
      </c>
      <c r="P288" s="546">
        <f t="shared" si="743"/>
        <v>17017.599999999999</v>
      </c>
      <c r="Q288" s="256">
        <f t="shared" si="744"/>
        <v>17017.599999999999</v>
      </c>
      <c r="R288" s="546">
        <f t="shared" si="745"/>
        <v>16997.599999999999</v>
      </c>
      <c r="S288" s="256">
        <f t="shared" si="746"/>
        <v>16997.599999999999</v>
      </c>
      <c r="T288" s="92">
        <f t="shared" si="747"/>
        <v>16977.599999999999</v>
      </c>
      <c r="U288" s="269">
        <f t="shared" si="748"/>
        <v>16977.599999999999</v>
      </c>
      <c r="V288" s="92">
        <f t="shared" si="749"/>
        <v>16957.599999999999</v>
      </c>
      <c r="W288" s="269">
        <f t="shared" si="750"/>
        <v>16957.599999999999</v>
      </c>
      <c r="X288" s="396"/>
      <c r="Y288" s="396"/>
      <c r="Z288" s="396"/>
      <c r="AA288" s="396"/>
      <c r="AB288" s="178">
        <v>963</v>
      </c>
    </row>
    <row r="289" spans="1:38" ht="12.6" customHeight="1" x14ac:dyDescent="0.2">
      <c r="A289" s="17"/>
      <c r="B289" s="630" t="s">
        <v>789</v>
      </c>
      <c r="C289" s="631"/>
      <c r="D289" s="631"/>
      <c r="E289" s="631"/>
      <c r="F289" s="326">
        <f>7.1*X2</f>
        <v>10934</v>
      </c>
      <c r="G289" s="255">
        <f t="shared" ref="G289" si="755">+F289*$X$1</f>
        <v>10934</v>
      </c>
      <c r="H289" s="537">
        <f t="shared" si="735"/>
        <v>11634</v>
      </c>
      <c r="I289" s="255">
        <f t="shared" si="736"/>
        <v>11634</v>
      </c>
      <c r="J289" s="537">
        <f t="shared" si="737"/>
        <v>11244</v>
      </c>
      <c r="K289" s="255">
        <f t="shared" si="738"/>
        <v>11244</v>
      </c>
      <c r="L289" s="537">
        <f t="shared" si="739"/>
        <v>11174</v>
      </c>
      <c r="M289" s="255">
        <f t="shared" si="740"/>
        <v>11174</v>
      </c>
      <c r="N289" s="537">
        <f t="shared" si="741"/>
        <v>11134</v>
      </c>
      <c r="O289" s="255">
        <f t="shared" si="742"/>
        <v>11134</v>
      </c>
      <c r="P289" s="537">
        <f t="shared" si="743"/>
        <v>11104</v>
      </c>
      <c r="Q289" s="255">
        <f t="shared" si="744"/>
        <v>11104</v>
      </c>
      <c r="R289" s="537">
        <f t="shared" si="745"/>
        <v>11084</v>
      </c>
      <c r="S289" s="255">
        <f t="shared" si="746"/>
        <v>11084</v>
      </c>
      <c r="T289" s="93">
        <f t="shared" si="747"/>
        <v>11064</v>
      </c>
      <c r="U289" s="234">
        <f t="shared" si="748"/>
        <v>11064</v>
      </c>
      <c r="V289" s="93">
        <f t="shared" si="749"/>
        <v>11044</v>
      </c>
      <c r="W289" s="234">
        <f t="shared" si="750"/>
        <v>11044</v>
      </c>
      <c r="X289" s="396"/>
      <c r="Y289" s="396"/>
      <c r="Z289" s="396"/>
      <c r="AA289" s="396"/>
      <c r="AB289" s="178">
        <v>966</v>
      </c>
    </row>
    <row r="290" spans="1:38" s="1" customFormat="1" ht="12.6" customHeight="1" x14ac:dyDescent="0.2">
      <c r="A290" s="18"/>
      <c r="B290" s="642" t="s">
        <v>338</v>
      </c>
      <c r="C290" s="643"/>
      <c r="D290" s="643"/>
      <c r="E290" s="643"/>
      <c r="F290" s="256">
        <v>510</v>
      </c>
      <c r="G290" s="256">
        <f>+F290*$X$1</f>
        <v>510</v>
      </c>
      <c r="H290" s="250"/>
      <c r="I290" s="250"/>
      <c r="J290" s="82">
        <f>F290+280</f>
        <v>790</v>
      </c>
      <c r="K290" s="256">
        <f t="shared" si="738"/>
        <v>790</v>
      </c>
      <c r="L290" s="546">
        <f>F290+210</f>
        <v>720</v>
      </c>
      <c r="M290" s="256">
        <f t="shared" si="740"/>
        <v>720</v>
      </c>
      <c r="N290" s="546">
        <f>F290+160</f>
        <v>670</v>
      </c>
      <c r="O290" s="256">
        <f t="shared" si="742"/>
        <v>670</v>
      </c>
      <c r="P290" s="546">
        <f>F290+130</f>
        <v>640</v>
      </c>
      <c r="Q290" s="256">
        <f t="shared" si="744"/>
        <v>640</v>
      </c>
      <c r="R290" s="546">
        <f>F290+110</f>
        <v>620</v>
      </c>
      <c r="S290" s="256">
        <f t="shared" si="746"/>
        <v>620</v>
      </c>
      <c r="T290" s="546">
        <f>F290+90</f>
        <v>600</v>
      </c>
      <c r="U290" s="256">
        <f t="shared" si="748"/>
        <v>600</v>
      </c>
      <c r="V290" s="546">
        <f t="shared" ref="V290" si="756">F290+75</f>
        <v>585</v>
      </c>
      <c r="W290" s="256">
        <f t="shared" si="750"/>
        <v>585</v>
      </c>
      <c r="X290" s="136"/>
      <c r="Y290" s="136"/>
      <c r="Z290" s="136"/>
      <c r="AA290" s="136"/>
      <c r="AB290" s="178">
        <v>998</v>
      </c>
      <c r="AC290" s="71"/>
      <c r="AD290" s="4"/>
      <c r="AE290" s="4"/>
      <c r="AF290" s="4"/>
      <c r="AG290" s="4"/>
      <c r="AH290" s="4"/>
      <c r="AI290" s="4"/>
      <c r="AJ290" s="4"/>
      <c r="AK290" s="4"/>
      <c r="AL290" s="4"/>
    </row>
    <row r="291" spans="1:38" s="1" customFormat="1" ht="12.6" customHeight="1" x14ac:dyDescent="0.2">
      <c r="A291" s="18"/>
      <c r="B291" s="683" t="s">
        <v>979</v>
      </c>
      <c r="C291" s="652"/>
      <c r="D291" s="652"/>
      <c r="E291" s="653"/>
      <c r="F291" s="326">
        <f>6.98*X2</f>
        <v>10749.2</v>
      </c>
      <c r="G291" s="255">
        <f t="shared" ref="G291" si="757">+F291*$X$1</f>
        <v>10749.2</v>
      </c>
      <c r="H291" s="68">
        <f>F291+700</f>
        <v>11449.2</v>
      </c>
      <c r="I291" s="255">
        <f t="shared" ref="I291" si="758">+H291*$X$1</f>
        <v>11449.2</v>
      </c>
      <c r="J291" s="537">
        <f>F291+300</f>
        <v>11049.2</v>
      </c>
      <c r="K291" s="255">
        <f t="shared" ref="K291" si="759">+J291*$X$1</f>
        <v>11049.2</v>
      </c>
      <c r="L291" s="537">
        <f>F291+245</f>
        <v>10994.2</v>
      </c>
      <c r="M291" s="255">
        <f t="shared" ref="M291" si="760">+L291*$X$1</f>
        <v>10994.2</v>
      </c>
      <c r="N291" s="537">
        <f>F291+200</f>
        <v>10949.2</v>
      </c>
      <c r="O291" s="255">
        <f t="shared" ref="O291" si="761">+N291*$X$1</f>
        <v>10949.2</v>
      </c>
      <c r="P291" s="537">
        <f>F291+170</f>
        <v>10919.2</v>
      </c>
      <c r="Q291" s="255">
        <f t="shared" ref="Q291" si="762">+P291*$X$1</f>
        <v>10919.2</v>
      </c>
      <c r="R291" s="537">
        <f>F291+140</f>
        <v>10889.2</v>
      </c>
      <c r="S291" s="255">
        <f t="shared" ref="S291" si="763">+R291*$X$1</f>
        <v>10889.2</v>
      </c>
      <c r="T291" s="537">
        <f>F291+110</f>
        <v>10859.2</v>
      </c>
      <c r="U291" s="255">
        <f t="shared" ref="U291" si="764">+T291*$X$1</f>
        <v>10859.2</v>
      </c>
      <c r="V291" s="537">
        <f>F291+90</f>
        <v>10839.2</v>
      </c>
      <c r="W291" s="255">
        <f t="shared" ref="W291" si="765">+V291*$X$1</f>
        <v>10839.2</v>
      </c>
      <c r="X291" s="560"/>
      <c r="Y291" s="561"/>
      <c r="Z291" s="561"/>
      <c r="AA291" s="562"/>
      <c r="AB291" s="178">
        <v>1017</v>
      </c>
      <c r="AC291" s="4"/>
      <c r="AD291" s="4"/>
      <c r="AE291" s="4"/>
      <c r="AF291" s="4"/>
      <c r="AG291" s="4"/>
      <c r="AH291" s="116"/>
      <c r="AI291" s="4"/>
      <c r="AJ291" s="4"/>
      <c r="AK291" s="4"/>
      <c r="AL291" s="4"/>
    </row>
    <row r="292" spans="1:38" s="1" customFormat="1" ht="12.6" customHeight="1" x14ac:dyDescent="0.2">
      <c r="A292" s="18"/>
      <c r="B292" s="683" t="s">
        <v>964</v>
      </c>
      <c r="C292" s="652"/>
      <c r="D292" s="652"/>
      <c r="E292" s="653"/>
      <c r="F292" s="290">
        <v>37600</v>
      </c>
      <c r="G292" s="256">
        <f t="shared" ref="G292:G294" si="766">+F292*$X$1</f>
        <v>37600</v>
      </c>
      <c r="H292" s="82">
        <f>F292+700</f>
        <v>38300</v>
      </c>
      <c r="I292" s="256">
        <f t="shared" ref="I292:I293" si="767">+H292*$X$1</f>
        <v>38300</v>
      </c>
      <c r="J292" s="546">
        <f>F292+300</f>
        <v>37900</v>
      </c>
      <c r="K292" s="256">
        <f t="shared" ref="K292:K293" si="768">+J292*$X$1</f>
        <v>37900</v>
      </c>
      <c r="L292" s="546">
        <f>F292+245</f>
        <v>37845</v>
      </c>
      <c r="M292" s="256">
        <f t="shared" ref="M292:M293" si="769">+L292*$X$1</f>
        <v>37845</v>
      </c>
      <c r="N292" s="546">
        <f>F292+200</f>
        <v>37800</v>
      </c>
      <c r="O292" s="256">
        <f t="shared" ref="O292:O293" si="770">+N292*$X$1</f>
        <v>37800</v>
      </c>
      <c r="P292" s="546">
        <f>F292+170</f>
        <v>37770</v>
      </c>
      <c r="Q292" s="256">
        <f t="shared" ref="Q292:Q293" si="771">+P292*$X$1</f>
        <v>37770</v>
      </c>
      <c r="R292" s="546">
        <f>F292+140</f>
        <v>37740</v>
      </c>
      <c r="S292" s="256">
        <f t="shared" ref="S292:S293" si="772">+R292*$X$1</f>
        <v>37740</v>
      </c>
      <c r="T292" s="546">
        <f>F292+110</f>
        <v>37710</v>
      </c>
      <c r="U292" s="256">
        <f t="shared" ref="U292:U293" si="773">+T292*$X$1</f>
        <v>37710</v>
      </c>
      <c r="V292" s="546">
        <f>F292+90</f>
        <v>37690</v>
      </c>
      <c r="W292" s="256">
        <f t="shared" ref="W292:W293" si="774">+V292*$X$1</f>
        <v>37690</v>
      </c>
      <c r="X292" s="554"/>
      <c r="Y292" s="555"/>
      <c r="Z292" s="555"/>
      <c r="AA292" s="556"/>
      <c r="AB292" s="178">
        <v>1018</v>
      </c>
      <c r="AC292" s="4"/>
      <c r="AD292" s="4"/>
      <c r="AE292" s="4"/>
      <c r="AF292" s="4"/>
      <c r="AG292" s="4"/>
      <c r="AH292" s="116"/>
      <c r="AI292" s="4"/>
      <c r="AJ292" s="4"/>
      <c r="AK292" s="4"/>
      <c r="AL292" s="4"/>
    </row>
    <row r="293" spans="1:38" s="1" customFormat="1" ht="12.6" customHeight="1" x14ac:dyDescent="0.2">
      <c r="A293" s="18"/>
      <c r="B293" s="683" t="s">
        <v>978</v>
      </c>
      <c r="C293" s="652"/>
      <c r="D293" s="652"/>
      <c r="E293" s="653"/>
      <c r="F293" s="329">
        <f>8.7*X2</f>
        <v>13397.999999999998</v>
      </c>
      <c r="G293" s="271">
        <f t="shared" ref="G293" si="775">+F293*$X$1</f>
        <v>13397.999999999998</v>
      </c>
      <c r="H293" s="68">
        <f>F293+720</f>
        <v>14117.999999999998</v>
      </c>
      <c r="I293" s="255">
        <f t="shared" si="767"/>
        <v>14117.999999999998</v>
      </c>
      <c r="J293" s="537">
        <f>F293+320</f>
        <v>13717.999999999998</v>
      </c>
      <c r="K293" s="255">
        <f t="shared" si="768"/>
        <v>13717.999999999998</v>
      </c>
      <c r="L293" s="537">
        <f>F293+260</f>
        <v>13657.999999999998</v>
      </c>
      <c r="M293" s="255">
        <f t="shared" si="769"/>
        <v>13657.999999999998</v>
      </c>
      <c r="N293" s="537">
        <f>F293+220</f>
        <v>13617.999999999998</v>
      </c>
      <c r="O293" s="255">
        <f t="shared" si="770"/>
        <v>13617.999999999998</v>
      </c>
      <c r="P293" s="537">
        <f>F293+190</f>
        <v>13587.999999999998</v>
      </c>
      <c r="Q293" s="255">
        <f t="shared" si="771"/>
        <v>13587.999999999998</v>
      </c>
      <c r="R293" s="537">
        <f>F293+160</f>
        <v>13557.999999999998</v>
      </c>
      <c r="S293" s="255">
        <f t="shared" si="772"/>
        <v>13557.999999999998</v>
      </c>
      <c r="T293" s="537">
        <f>F293+130</f>
        <v>13527.999999999998</v>
      </c>
      <c r="U293" s="255">
        <f t="shared" si="773"/>
        <v>13527.999999999998</v>
      </c>
      <c r="V293" s="537">
        <f>F293+110</f>
        <v>13507.999999999998</v>
      </c>
      <c r="W293" s="255">
        <f t="shared" si="774"/>
        <v>13507.999999999998</v>
      </c>
      <c r="X293" s="560"/>
      <c r="Y293" s="561"/>
      <c r="Z293" s="561"/>
      <c r="AA293" s="562"/>
      <c r="AB293" s="178">
        <v>1019</v>
      </c>
      <c r="AC293" s="4"/>
      <c r="AD293" s="4"/>
      <c r="AE293" s="4"/>
      <c r="AF293" s="4"/>
      <c r="AG293" s="4"/>
      <c r="AH293" s="116"/>
      <c r="AI293" s="4"/>
      <c r="AJ293" s="4"/>
      <c r="AK293" s="4"/>
      <c r="AL293" s="4"/>
    </row>
    <row r="294" spans="1:38" ht="12.6" customHeight="1" x14ac:dyDescent="0.2">
      <c r="A294" s="17"/>
      <c r="B294" s="625" t="s">
        <v>945</v>
      </c>
      <c r="C294" s="626"/>
      <c r="D294" s="626"/>
      <c r="E294" s="626"/>
      <c r="F294" s="328">
        <f>3.18*X2</f>
        <v>4897.2</v>
      </c>
      <c r="G294" s="300">
        <f t="shared" si="766"/>
        <v>4897.2</v>
      </c>
      <c r="H294" s="546">
        <f>F294+800</f>
        <v>5697.2</v>
      </c>
      <c r="I294" s="256">
        <f>+H294*$X$1</f>
        <v>5697.2</v>
      </c>
      <c r="J294" s="546">
        <f>F294+600</f>
        <v>5497.2</v>
      </c>
      <c r="K294" s="256">
        <f>+J294*$X$1</f>
        <v>5497.2</v>
      </c>
      <c r="L294" s="546">
        <f>F294+500</f>
        <v>5397.2</v>
      </c>
      <c r="M294" s="256">
        <f t="shared" ref="M294" si="776">+L294*$X$1</f>
        <v>5397.2</v>
      </c>
      <c r="N294" s="546">
        <f>F294+450</f>
        <v>5347.2</v>
      </c>
      <c r="O294" s="256">
        <f t="shared" ref="O294" si="777">+N294*$X$1</f>
        <v>5347.2</v>
      </c>
      <c r="P294" s="546">
        <f>F294+360</f>
        <v>5257.2</v>
      </c>
      <c r="Q294" s="256">
        <f t="shared" ref="Q294" si="778">+P294*$X$1</f>
        <v>5257.2</v>
      </c>
      <c r="R294" s="546">
        <f>F294+330</f>
        <v>5227.2</v>
      </c>
      <c r="S294" s="256">
        <f t="shared" ref="S294" si="779">+R294*$X$1</f>
        <v>5227.2</v>
      </c>
      <c r="T294" s="92">
        <f>F294+300</f>
        <v>5197.2</v>
      </c>
      <c r="U294" s="269">
        <f t="shared" ref="U294" si="780">+T294*$X$1</f>
        <v>5197.2</v>
      </c>
      <c r="V294" s="92">
        <f>F294+260</f>
        <v>5157.2</v>
      </c>
      <c r="W294" s="269">
        <f t="shared" ref="W294" si="781">+V294*$X$1</f>
        <v>5157.2</v>
      </c>
      <c r="X294" s="135"/>
      <c r="Y294" s="135"/>
      <c r="Z294" s="135"/>
      <c r="AA294" s="135"/>
      <c r="AB294" s="178">
        <v>1021</v>
      </c>
    </row>
    <row r="295" spans="1:38" ht="12.6" customHeight="1" x14ac:dyDescent="0.2">
      <c r="A295" s="17"/>
      <c r="B295" s="625" t="s">
        <v>946</v>
      </c>
      <c r="C295" s="626"/>
      <c r="D295" s="626"/>
      <c r="E295" s="626"/>
      <c r="F295" s="444">
        <v>12830</v>
      </c>
      <c r="G295" s="271">
        <f t="shared" ref="G295" si="782">+F295*$X$1</f>
        <v>12830</v>
      </c>
      <c r="H295" s="537"/>
      <c r="I295" s="255"/>
      <c r="J295" s="537">
        <f>F295+600</f>
        <v>13430</v>
      </c>
      <c r="K295" s="255">
        <f>+J295*$X$1</f>
        <v>13430</v>
      </c>
      <c r="L295" s="537">
        <f>F295+500</f>
        <v>13330</v>
      </c>
      <c r="M295" s="255">
        <f t="shared" ref="M295:M296" si="783">+L295*$X$1</f>
        <v>13330</v>
      </c>
      <c r="N295" s="537">
        <f>F295+450</f>
        <v>13280</v>
      </c>
      <c r="O295" s="255">
        <f t="shared" ref="O295:O296" si="784">+N295*$X$1</f>
        <v>13280</v>
      </c>
      <c r="P295" s="537">
        <f>F295+360</f>
        <v>13190</v>
      </c>
      <c r="Q295" s="255">
        <f t="shared" ref="Q295:Q296" si="785">+P295*$X$1</f>
        <v>13190</v>
      </c>
      <c r="R295" s="537">
        <f>F295+330</f>
        <v>13160</v>
      </c>
      <c r="S295" s="255">
        <f t="shared" ref="S295:S296" si="786">+R295*$X$1</f>
        <v>13160</v>
      </c>
      <c r="T295" s="93">
        <f>F295+300</f>
        <v>13130</v>
      </c>
      <c r="U295" s="234">
        <f t="shared" ref="U295:U296" si="787">+T295*$X$1</f>
        <v>13130</v>
      </c>
      <c r="V295" s="93">
        <f>F295+260</f>
        <v>13090</v>
      </c>
      <c r="W295" s="234">
        <f t="shared" ref="W295:W296" si="788">+V295*$X$1</f>
        <v>13090</v>
      </c>
      <c r="X295" s="135"/>
      <c r="Y295" s="135"/>
      <c r="Z295" s="135"/>
      <c r="AA295" s="135"/>
      <c r="AB295" s="178">
        <v>1022</v>
      </c>
    </row>
    <row r="296" spans="1:38" ht="12.6" customHeight="1" x14ac:dyDescent="0.2">
      <c r="A296" s="17"/>
      <c r="B296" s="690" t="s">
        <v>886</v>
      </c>
      <c r="C296" s="900"/>
      <c r="D296" s="900"/>
      <c r="E296" s="900"/>
      <c r="F296" s="327">
        <v>5650</v>
      </c>
      <c r="G296" s="256">
        <f>+F296*$X$1</f>
        <v>5650</v>
      </c>
      <c r="H296" s="82">
        <f>F296+720</f>
        <v>6370</v>
      </c>
      <c r="I296" s="256">
        <f t="shared" ref="I296" si="789">+H296*$X$1</f>
        <v>6370</v>
      </c>
      <c r="J296" s="546">
        <f>F296+320</f>
        <v>5970</v>
      </c>
      <c r="K296" s="256">
        <f t="shared" ref="K296" si="790">+J296*$X$1</f>
        <v>5970</v>
      </c>
      <c r="L296" s="546">
        <f t="shared" ref="L296:L302" si="791">F296+260</f>
        <v>5910</v>
      </c>
      <c r="M296" s="256">
        <f t="shared" si="783"/>
        <v>5910</v>
      </c>
      <c r="N296" s="546">
        <f t="shared" ref="N296:N302" si="792">F296+220</f>
        <v>5870</v>
      </c>
      <c r="O296" s="256">
        <f t="shared" si="784"/>
        <v>5870</v>
      </c>
      <c r="P296" s="546">
        <f>F296+190</f>
        <v>5840</v>
      </c>
      <c r="Q296" s="256">
        <f t="shared" si="785"/>
        <v>5840</v>
      </c>
      <c r="R296" s="546">
        <f>F296+160</f>
        <v>5810</v>
      </c>
      <c r="S296" s="256">
        <f t="shared" si="786"/>
        <v>5810</v>
      </c>
      <c r="T296" s="546">
        <f>F296+130</f>
        <v>5780</v>
      </c>
      <c r="U296" s="256">
        <f t="shared" si="787"/>
        <v>5780</v>
      </c>
      <c r="V296" s="546">
        <f>F296+110</f>
        <v>5760</v>
      </c>
      <c r="W296" s="256">
        <f t="shared" si="788"/>
        <v>5760</v>
      </c>
      <c r="X296" s="627"/>
      <c r="Y296" s="628"/>
      <c r="Z296" s="628"/>
      <c r="AA296" s="629"/>
      <c r="AB296" s="178">
        <v>1023</v>
      </c>
    </row>
    <row r="297" spans="1:38" s="1" customFormat="1" ht="12.6" customHeight="1" x14ac:dyDescent="0.2">
      <c r="A297" s="18"/>
      <c r="B297" s="666" t="s">
        <v>808</v>
      </c>
      <c r="C297" s="684"/>
      <c r="D297" s="684"/>
      <c r="E297" s="685"/>
      <c r="F297" s="326">
        <f>2.5*X2</f>
        <v>3850</v>
      </c>
      <c r="G297" s="255">
        <f>+F297*$X$1</f>
        <v>3850</v>
      </c>
      <c r="H297" s="537">
        <f>F297+700</f>
        <v>4550</v>
      </c>
      <c r="I297" s="255">
        <f t="shared" ref="I297" si="793">+H297*$X$1</f>
        <v>4550</v>
      </c>
      <c r="J297" s="537">
        <f>F297+300</f>
        <v>4150</v>
      </c>
      <c r="K297" s="255">
        <f t="shared" ref="K297" si="794">+J297*$X$1</f>
        <v>4150</v>
      </c>
      <c r="L297" s="537">
        <f t="shared" si="791"/>
        <v>4110</v>
      </c>
      <c r="M297" s="255">
        <f t="shared" ref="M297:M304" si="795">+L297*$X$1</f>
        <v>4110</v>
      </c>
      <c r="N297" s="537">
        <f t="shared" si="792"/>
        <v>4070</v>
      </c>
      <c r="O297" s="255">
        <f t="shared" ref="O297:O304" si="796">+N297*$X$1</f>
        <v>4070</v>
      </c>
      <c r="P297" s="537">
        <f>F297+185</f>
        <v>4035</v>
      </c>
      <c r="Q297" s="255">
        <f t="shared" ref="Q297:Q304" si="797">+P297*$X$1</f>
        <v>4035</v>
      </c>
      <c r="R297" s="537">
        <f>F297+165</f>
        <v>4015</v>
      </c>
      <c r="S297" s="255">
        <f t="shared" ref="S297:S304" si="798">+R297*$X$1</f>
        <v>4015</v>
      </c>
      <c r="T297" s="93">
        <f>F297+145</f>
        <v>3995</v>
      </c>
      <c r="U297" s="234">
        <f t="shared" ref="U297:U304" si="799">+T297*$X$1</f>
        <v>3995</v>
      </c>
      <c r="V297" s="93">
        <f>F297+125</f>
        <v>3975</v>
      </c>
      <c r="W297" s="234">
        <f t="shared" ref="W297:W304" si="800">+V297*$X$1</f>
        <v>3975</v>
      </c>
      <c r="X297" s="476"/>
      <c r="Y297" s="478"/>
      <c r="Z297" s="478"/>
      <c r="AA297" s="477"/>
      <c r="AB297" s="178">
        <v>1024</v>
      </c>
      <c r="AC297" s="4"/>
      <c r="AD297" s="4"/>
      <c r="AE297" s="4"/>
      <c r="AF297" s="4"/>
      <c r="AG297" s="4"/>
      <c r="AH297" s="425"/>
      <c r="AI297" s="4"/>
      <c r="AJ297" s="4"/>
      <c r="AK297" s="4"/>
      <c r="AL297" s="4"/>
    </row>
    <row r="298" spans="1:38" s="1" customFormat="1" ht="12.6" customHeight="1" x14ac:dyDescent="0.2">
      <c r="A298" s="18"/>
      <c r="B298" s="639" t="s">
        <v>918</v>
      </c>
      <c r="C298" s="649"/>
      <c r="D298" s="649"/>
      <c r="E298" s="650"/>
      <c r="F298" s="327">
        <f>2.46*X2</f>
        <v>3788.4</v>
      </c>
      <c r="G298" s="256">
        <f>+F298*$X$1</f>
        <v>3788.4</v>
      </c>
      <c r="H298" s="546">
        <f>F298+700</f>
        <v>4488.3999999999996</v>
      </c>
      <c r="I298" s="256">
        <f t="shared" ref="I298:I299" si="801">+H298*$X$1</f>
        <v>4488.3999999999996</v>
      </c>
      <c r="J298" s="546">
        <f>F298+300</f>
        <v>4088.4</v>
      </c>
      <c r="K298" s="256">
        <f t="shared" ref="K298:K299" si="802">+J298*$X$1</f>
        <v>4088.4</v>
      </c>
      <c r="L298" s="546">
        <f t="shared" si="791"/>
        <v>4048.4</v>
      </c>
      <c r="M298" s="256">
        <f t="shared" ref="M298:M299" si="803">+L298*$X$1</f>
        <v>4048.4</v>
      </c>
      <c r="N298" s="546">
        <f t="shared" si="792"/>
        <v>4008.4</v>
      </c>
      <c r="O298" s="256">
        <f t="shared" ref="O298:O299" si="804">+N298*$X$1</f>
        <v>4008.4</v>
      </c>
      <c r="P298" s="546">
        <f>F298+185</f>
        <v>3973.4</v>
      </c>
      <c r="Q298" s="256">
        <f t="shared" ref="Q298:Q299" si="805">+P298*$X$1</f>
        <v>3973.4</v>
      </c>
      <c r="R298" s="546">
        <f>F298+165</f>
        <v>3953.4</v>
      </c>
      <c r="S298" s="256">
        <f t="shared" ref="S298:S299" si="806">+R298*$X$1</f>
        <v>3953.4</v>
      </c>
      <c r="T298" s="92">
        <f>F298+145</f>
        <v>3933.4</v>
      </c>
      <c r="U298" s="269">
        <f t="shared" ref="U298:U299" si="807">+T298*$X$1</f>
        <v>3933.4</v>
      </c>
      <c r="V298" s="92">
        <f>F298+125</f>
        <v>3913.4</v>
      </c>
      <c r="W298" s="269">
        <f t="shared" ref="W298:W299" si="808">+V298*$X$1</f>
        <v>3913.4</v>
      </c>
      <c r="X298" s="424"/>
      <c r="Y298" s="422"/>
      <c r="Z298" s="422"/>
      <c r="AA298" s="423"/>
      <c r="AB298" s="178">
        <v>1026</v>
      </c>
      <c r="AC298" s="4"/>
      <c r="AD298" s="4"/>
      <c r="AE298" s="4"/>
      <c r="AF298" s="4"/>
      <c r="AG298" s="4"/>
      <c r="AH298" s="425"/>
      <c r="AI298" s="4"/>
      <c r="AJ298" s="4"/>
      <c r="AK298" s="4"/>
      <c r="AL298" s="4"/>
    </row>
    <row r="299" spans="1:38" s="1" customFormat="1" ht="12.6" customHeight="1" x14ac:dyDescent="0.2">
      <c r="A299" s="18"/>
      <c r="B299" s="666" t="s">
        <v>538</v>
      </c>
      <c r="C299" s="684"/>
      <c r="D299" s="684"/>
      <c r="E299" s="685"/>
      <c r="F299" s="457">
        <f>12*X2</f>
        <v>18480</v>
      </c>
      <c r="G299" s="257">
        <f t="shared" ref="G299:G301" si="809">+F299*$X$1</f>
        <v>18480</v>
      </c>
      <c r="H299" s="68">
        <f>F299+720</f>
        <v>19200</v>
      </c>
      <c r="I299" s="255">
        <f t="shared" si="801"/>
        <v>19200</v>
      </c>
      <c r="J299" s="537">
        <f>F299+320</f>
        <v>18800</v>
      </c>
      <c r="K299" s="255">
        <f t="shared" si="802"/>
        <v>18800</v>
      </c>
      <c r="L299" s="537">
        <f t="shared" si="791"/>
        <v>18740</v>
      </c>
      <c r="M299" s="255">
        <f t="shared" si="803"/>
        <v>18740</v>
      </c>
      <c r="N299" s="537">
        <f t="shared" si="792"/>
        <v>18700</v>
      </c>
      <c r="O299" s="255">
        <f t="shared" si="804"/>
        <v>18700</v>
      </c>
      <c r="P299" s="537">
        <f>F299+190</f>
        <v>18670</v>
      </c>
      <c r="Q299" s="255">
        <f t="shared" si="805"/>
        <v>18670</v>
      </c>
      <c r="R299" s="537">
        <f>F299+160</f>
        <v>18640</v>
      </c>
      <c r="S299" s="255">
        <f t="shared" si="806"/>
        <v>18640</v>
      </c>
      <c r="T299" s="537">
        <f>F299+130</f>
        <v>18610</v>
      </c>
      <c r="U299" s="255">
        <f t="shared" si="807"/>
        <v>18610</v>
      </c>
      <c r="V299" s="537">
        <f>F299+110</f>
        <v>18590</v>
      </c>
      <c r="W299" s="255">
        <f t="shared" si="808"/>
        <v>18590</v>
      </c>
      <c r="X299" s="296"/>
      <c r="Y299" s="297"/>
      <c r="Z299" s="297"/>
      <c r="AA299" s="298"/>
      <c r="AB299" s="178">
        <v>1028</v>
      </c>
      <c r="AC299" s="4"/>
      <c r="AD299" s="4"/>
      <c r="AE299" s="4"/>
      <c r="AF299" s="4"/>
      <c r="AG299" s="4"/>
      <c r="AH299" s="116"/>
      <c r="AI299" s="4"/>
      <c r="AJ299" s="4"/>
      <c r="AK299" s="4"/>
      <c r="AL299" s="4"/>
    </row>
    <row r="300" spans="1:38" s="1" customFormat="1" ht="12.6" customHeight="1" x14ac:dyDescent="0.2">
      <c r="A300" s="18"/>
      <c r="B300" s="639" t="s">
        <v>758</v>
      </c>
      <c r="C300" s="649"/>
      <c r="D300" s="649"/>
      <c r="E300" s="650"/>
      <c r="F300" s="290">
        <v>3980</v>
      </c>
      <c r="G300" s="256">
        <f t="shared" ref="G300" si="810">+F300*$X$1</f>
        <v>3980</v>
      </c>
      <c r="H300" s="546"/>
      <c r="I300" s="256"/>
      <c r="J300" s="546"/>
      <c r="K300" s="256"/>
      <c r="L300" s="546">
        <f t="shared" si="791"/>
        <v>4240</v>
      </c>
      <c r="M300" s="256">
        <f t="shared" si="795"/>
        <v>4240</v>
      </c>
      <c r="N300" s="546">
        <f t="shared" si="792"/>
        <v>4200</v>
      </c>
      <c r="O300" s="256">
        <f t="shared" si="796"/>
        <v>4200</v>
      </c>
      <c r="P300" s="546">
        <f>F300+185</f>
        <v>4165</v>
      </c>
      <c r="Q300" s="256">
        <f t="shared" si="797"/>
        <v>4165</v>
      </c>
      <c r="R300" s="546">
        <f>F300+165</f>
        <v>4145</v>
      </c>
      <c r="S300" s="256">
        <f t="shared" si="798"/>
        <v>4145</v>
      </c>
      <c r="T300" s="92">
        <f>F300+145</f>
        <v>4125</v>
      </c>
      <c r="U300" s="269">
        <f t="shared" si="799"/>
        <v>4125</v>
      </c>
      <c r="V300" s="92">
        <f>F300+125</f>
        <v>4105</v>
      </c>
      <c r="W300" s="269">
        <f t="shared" si="800"/>
        <v>4105</v>
      </c>
      <c r="X300" s="430"/>
      <c r="Y300" s="431"/>
      <c r="Z300" s="431"/>
      <c r="AA300" s="432"/>
      <c r="AB300" s="178">
        <v>1029</v>
      </c>
      <c r="AC300" s="4"/>
      <c r="AD300" s="4"/>
      <c r="AE300" s="4"/>
      <c r="AF300" s="4"/>
      <c r="AG300" s="4"/>
      <c r="AH300" s="116"/>
      <c r="AI300" s="4"/>
      <c r="AJ300" s="4"/>
      <c r="AK300" s="4"/>
      <c r="AL300" s="4"/>
    </row>
    <row r="301" spans="1:38" s="1" customFormat="1" ht="12.6" customHeight="1" x14ac:dyDescent="0.2">
      <c r="A301" s="18"/>
      <c r="B301" s="666" t="s">
        <v>536</v>
      </c>
      <c r="C301" s="684"/>
      <c r="D301" s="684"/>
      <c r="E301" s="685"/>
      <c r="F301" s="291">
        <v>3980</v>
      </c>
      <c r="G301" s="255">
        <f t="shared" si="809"/>
        <v>3980</v>
      </c>
      <c r="H301" s="537"/>
      <c r="I301" s="255"/>
      <c r="J301" s="537"/>
      <c r="K301" s="255"/>
      <c r="L301" s="537">
        <f t="shared" si="791"/>
        <v>4240</v>
      </c>
      <c r="M301" s="255">
        <f t="shared" si="795"/>
        <v>4240</v>
      </c>
      <c r="N301" s="537">
        <f t="shared" si="792"/>
        <v>4200</v>
      </c>
      <c r="O301" s="255">
        <f t="shared" si="796"/>
        <v>4200</v>
      </c>
      <c r="P301" s="537">
        <f>F301+185</f>
        <v>4165</v>
      </c>
      <c r="Q301" s="255">
        <f t="shared" si="797"/>
        <v>4165</v>
      </c>
      <c r="R301" s="537">
        <f>F301+165</f>
        <v>4145</v>
      </c>
      <c r="S301" s="255">
        <f t="shared" si="798"/>
        <v>4145</v>
      </c>
      <c r="T301" s="93">
        <f>F301+145</f>
        <v>4125</v>
      </c>
      <c r="U301" s="234">
        <f t="shared" si="799"/>
        <v>4125</v>
      </c>
      <c r="V301" s="93">
        <f>F301+125</f>
        <v>4105</v>
      </c>
      <c r="W301" s="234">
        <f t="shared" si="800"/>
        <v>4105</v>
      </c>
      <c r="X301" s="286"/>
      <c r="Y301" s="284"/>
      <c r="Z301" s="284"/>
      <c r="AA301" s="285"/>
      <c r="AB301" s="178">
        <v>1030</v>
      </c>
      <c r="AC301" s="4"/>
      <c r="AD301" s="4"/>
      <c r="AE301" s="4"/>
      <c r="AF301" s="4"/>
      <c r="AG301" s="4"/>
      <c r="AH301" s="116"/>
      <c r="AI301" s="4"/>
      <c r="AJ301" s="4"/>
      <c r="AK301" s="4"/>
      <c r="AL301" s="4"/>
    </row>
    <row r="302" spans="1:38" s="1" customFormat="1" ht="12.6" customHeight="1" x14ac:dyDescent="0.2">
      <c r="A302" s="18"/>
      <c r="B302" s="639" t="s">
        <v>537</v>
      </c>
      <c r="C302" s="649"/>
      <c r="D302" s="649"/>
      <c r="E302" s="650"/>
      <c r="F302" s="290">
        <v>3980</v>
      </c>
      <c r="G302" s="256">
        <f t="shared" ref="G302:G303" si="811">+F302*$X$1</f>
        <v>3980</v>
      </c>
      <c r="H302" s="546"/>
      <c r="I302" s="256"/>
      <c r="J302" s="546"/>
      <c r="K302" s="256"/>
      <c r="L302" s="546">
        <f t="shared" si="791"/>
        <v>4240</v>
      </c>
      <c r="M302" s="256">
        <f t="shared" si="795"/>
        <v>4240</v>
      </c>
      <c r="N302" s="546">
        <f t="shared" si="792"/>
        <v>4200</v>
      </c>
      <c r="O302" s="256">
        <f t="shared" si="796"/>
        <v>4200</v>
      </c>
      <c r="P302" s="546">
        <f>F302+185</f>
        <v>4165</v>
      </c>
      <c r="Q302" s="256">
        <f t="shared" si="797"/>
        <v>4165</v>
      </c>
      <c r="R302" s="546">
        <f>F302+165</f>
        <v>4145</v>
      </c>
      <c r="S302" s="256">
        <f t="shared" si="798"/>
        <v>4145</v>
      </c>
      <c r="T302" s="92">
        <f>F302+145</f>
        <v>4125</v>
      </c>
      <c r="U302" s="269">
        <f t="shared" si="799"/>
        <v>4125</v>
      </c>
      <c r="V302" s="92">
        <f>F302+125</f>
        <v>4105</v>
      </c>
      <c r="W302" s="269">
        <f t="shared" si="800"/>
        <v>4105</v>
      </c>
      <c r="X302" s="292"/>
      <c r="Y302" s="293"/>
      <c r="Z302" s="293"/>
      <c r="AA302" s="294"/>
      <c r="AB302" s="178">
        <v>1031</v>
      </c>
      <c r="AC302" s="4"/>
      <c r="AD302" s="4"/>
      <c r="AE302" s="4"/>
      <c r="AF302" s="4"/>
      <c r="AG302" s="4"/>
      <c r="AH302" s="116"/>
      <c r="AI302" s="4"/>
      <c r="AJ302" s="4"/>
      <c r="AK302" s="4"/>
      <c r="AL302" s="4"/>
    </row>
    <row r="303" spans="1:38" s="1" customFormat="1" ht="12.6" customHeight="1" x14ac:dyDescent="0.2">
      <c r="A303" s="18"/>
      <c r="B303" s="666" t="s">
        <v>768</v>
      </c>
      <c r="C303" s="684"/>
      <c r="D303" s="684"/>
      <c r="E303" s="685"/>
      <c r="F303" s="326">
        <f>13.8*X2</f>
        <v>21252</v>
      </c>
      <c r="G303" s="255">
        <f t="shared" si="811"/>
        <v>21252</v>
      </c>
      <c r="H303" s="68">
        <f>F303+700</f>
        <v>21952</v>
      </c>
      <c r="I303" s="255">
        <f t="shared" ref="I303:I304" si="812">+H303*$X$1</f>
        <v>21952</v>
      </c>
      <c r="J303" s="537">
        <f>F303+300</f>
        <v>21552</v>
      </c>
      <c r="K303" s="255">
        <f t="shared" ref="K303:K304" si="813">+J303*$X$1</f>
        <v>21552</v>
      </c>
      <c r="L303" s="537">
        <f>F303+245</f>
        <v>21497</v>
      </c>
      <c r="M303" s="255">
        <f t="shared" si="795"/>
        <v>21497</v>
      </c>
      <c r="N303" s="537">
        <f>F303+200</f>
        <v>21452</v>
      </c>
      <c r="O303" s="255">
        <f t="shared" si="796"/>
        <v>21452</v>
      </c>
      <c r="P303" s="537">
        <f>F303+170</f>
        <v>21422</v>
      </c>
      <c r="Q303" s="255">
        <f t="shared" si="797"/>
        <v>21422</v>
      </c>
      <c r="R303" s="537">
        <f>F303+140</f>
        <v>21392</v>
      </c>
      <c r="S303" s="255">
        <f t="shared" si="798"/>
        <v>21392</v>
      </c>
      <c r="T303" s="537">
        <f>F303+110</f>
        <v>21362</v>
      </c>
      <c r="U303" s="255">
        <f t="shared" si="799"/>
        <v>21362</v>
      </c>
      <c r="V303" s="537">
        <f>F303+90</f>
        <v>21342</v>
      </c>
      <c r="W303" s="255">
        <f t="shared" si="800"/>
        <v>21342</v>
      </c>
      <c r="X303" s="228"/>
      <c r="Y303" s="229"/>
      <c r="Z303" s="229"/>
      <c r="AA303" s="230"/>
      <c r="AB303" s="178">
        <v>1032</v>
      </c>
      <c r="AC303" s="4"/>
      <c r="AD303" s="4"/>
      <c r="AE303" s="4"/>
      <c r="AF303" s="4"/>
      <c r="AG303" s="4"/>
      <c r="AH303" s="116"/>
      <c r="AI303" s="4"/>
      <c r="AJ303" s="4"/>
      <c r="AK303" s="4"/>
      <c r="AL303" s="4"/>
    </row>
    <row r="304" spans="1:38" s="1" customFormat="1" ht="12.6" customHeight="1" x14ac:dyDescent="0.2">
      <c r="A304" s="18"/>
      <c r="B304" s="639" t="s">
        <v>420</v>
      </c>
      <c r="C304" s="649"/>
      <c r="D304" s="649"/>
      <c r="E304" s="650"/>
      <c r="F304" s="327">
        <f>20.46*X2</f>
        <v>31508.400000000001</v>
      </c>
      <c r="G304" s="256">
        <f t="shared" ref="G304" si="814">+F304*$X$1</f>
        <v>31508.400000000001</v>
      </c>
      <c r="H304" s="82">
        <f>F304+720</f>
        <v>32228.400000000001</v>
      </c>
      <c r="I304" s="256">
        <f t="shared" si="812"/>
        <v>32228.400000000001</v>
      </c>
      <c r="J304" s="546">
        <f>F304+320</f>
        <v>31828.400000000001</v>
      </c>
      <c r="K304" s="256">
        <f t="shared" si="813"/>
        <v>31828.400000000001</v>
      </c>
      <c r="L304" s="546">
        <f>F304+260</f>
        <v>31768.400000000001</v>
      </c>
      <c r="M304" s="256">
        <f t="shared" si="795"/>
        <v>31768.400000000001</v>
      </c>
      <c r="N304" s="546">
        <f>F304+220</f>
        <v>31728.400000000001</v>
      </c>
      <c r="O304" s="256">
        <f t="shared" si="796"/>
        <v>31728.400000000001</v>
      </c>
      <c r="P304" s="546">
        <f>F304+190</f>
        <v>31698.400000000001</v>
      </c>
      <c r="Q304" s="256">
        <f t="shared" si="797"/>
        <v>31698.400000000001</v>
      </c>
      <c r="R304" s="546">
        <f>F304+160</f>
        <v>31668.400000000001</v>
      </c>
      <c r="S304" s="256">
        <f t="shared" si="798"/>
        <v>31668.400000000001</v>
      </c>
      <c r="T304" s="546">
        <f>F304+130</f>
        <v>31638.400000000001</v>
      </c>
      <c r="U304" s="256">
        <f t="shared" si="799"/>
        <v>31638.400000000001</v>
      </c>
      <c r="V304" s="546">
        <f>F304+110</f>
        <v>31618.400000000001</v>
      </c>
      <c r="W304" s="256">
        <f t="shared" si="800"/>
        <v>31618.400000000001</v>
      </c>
      <c r="X304" s="221"/>
      <c r="Y304" s="223"/>
      <c r="Z304" s="223"/>
      <c r="AA304" s="222"/>
      <c r="AB304" s="178">
        <v>1034</v>
      </c>
      <c r="AC304" s="4"/>
      <c r="AD304" s="4"/>
      <c r="AE304" s="4"/>
      <c r="AF304" s="4"/>
      <c r="AG304" s="4"/>
      <c r="AH304" s="116"/>
      <c r="AI304" s="4"/>
      <c r="AJ304" s="4"/>
      <c r="AK304" s="4"/>
      <c r="AL304" s="4"/>
    </row>
    <row r="305" spans="1:34" ht="12.6" customHeight="1" x14ac:dyDescent="0.2">
      <c r="A305" s="17"/>
      <c r="B305" s="630" t="s">
        <v>384</v>
      </c>
      <c r="C305" s="631"/>
      <c r="D305" s="631"/>
      <c r="E305" s="631"/>
      <c r="F305" s="291">
        <v>9930</v>
      </c>
      <c r="G305" s="255">
        <f>+F305*$X$1</f>
        <v>9930</v>
      </c>
      <c r="H305" s="68">
        <f>F305+700</f>
        <v>10630</v>
      </c>
      <c r="I305" s="255">
        <f t="shared" ref="I305:I312" si="815">+H305*$X$1</f>
        <v>10630</v>
      </c>
      <c r="J305" s="537">
        <f>F305+300</f>
        <v>10230</v>
      </c>
      <c r="K305" s="255">
        <f t="shared" ref="K305:K312" si="816">+J305*$X$1</f>
        <v>10230</v>
      </c>
      <c r="L305" s="537">
        <f>F305+245</f>
        <v>10175</v>
      </c>
      <c r="M305" s="255">
        <f t="shared" ref="M305:M307" si="817">+L305*$X$1</f>
        <v>10175</v>
      </c>
      <c r="N305" s="537">
        <f>F305+200</f>
        <v>10130</v>
      </c>
      <c r="O305" s="255">
        <f t="shared" ref="O305:O307" si="818">+N305*$X$1</f>
        <v>10130</v>
      </c>
      <c r="P305" s="537">
        <f>F305+170</f>
        <v>10100</v>
      </c>
      <c r="Q305" s="255">
        <f t="shared" ref="Q305:Q307" si="819">+P305*$X$1</f>
        <v>10100</v>
      </c>
      <c r="R305" s="537">
        <f>F305+140</f>
        <v>10070</v>
      </c>
      <c r="S305" s="255">
        <f t="shared" ref="S305:S307" si="820">+R305*$X$1</f>
        <v>10070</v>
      </c>
      <c r="T305" s="537">
        <f>F305+110</f>
        <v>10040</v>
      </c>
      <c r="U305" s="255">
        <f t="shared" ref="U305:U307" si="821">+T305*$X$1</f>
        <v>10040</v>
      </c>
      <c r="V305" s="537">
        <f>F305+90</f>
        <v>10020</v>
      </c>
      <c r="W305" s="255">
        <f t="shared" ref="W305:W307" si="822">+V305*$X$1</f>
        <v>10020</v>
      </c>
      <c r="X305" s="627"/>
      <c r="Y305" s="628"/>
      <c r="Z305" s="628"/>
      <c r="AA305" s="629"/>
      <c r="AB305" s="178">
        <v>1040</v>
      </c>
      <c r="AC305" s="61"/>
    </row>
    <row r="306" spans="1:34" ht="12.6" customHeight="1" x14ac:dyDescent="0.2">
      <c r="A306" s="17"/>
      <c r="B306" s="642" t="s">
        <v>692</v>
      </c>
      <c r="C306" s="643"/>
      <c r="D306" s="643"/>
      <c r="E306" s="643"/>
      <c r="F306" s="327">
        <f>19.97*X2</f>
        <v>30753.8</v>
      </c>
      <c r="G306" s="256">
        <f>+F306*$X$1</f>
        <v>30753.8</v>
      </c>
      <c r="H306" s="82">
        <f>F306+700</f>
        <v>31453.8</v>
      </c>
      <c r="I306" s="256">
        <f t="shared" si="815"/>
        <v>31453.8</v>
      </c>
      <c r="J306" s="546">
        <f>F306+300</f>
        <v>31053.8</v>
      </c>
      <c r="K306" s="256">
        <f t="shared" si="816"/>
        <v>31053.8</v>
      </c>
      <c r="L306" s="546">
        <f>F306+245</f>
        <v>30998.799999999999</v>
      </c>
      <c r="M306" s="256">
        <f t="shared" si="817"/>
        <v>30998.799999999999</v>
      </c>
      <c r="N306" s="546">
        <f>F306+200</f>
        <v>30953.8</v>
      </c>
      <c r="O306" s="256">
        <f t="shared" si="818"/>
        <v>30953.8</v>
      </c>
      <c r="P306" s="546">
        <f>F306+170</f>
        <v>30923.8</v>
      </c>
      <c r="Q306" s="256">
        <f t="shared" si="819"/>
        <v>30923.8</v>
      </c>
      <c r="R306" s="546">
        <f>F306+140</f>
        <v>30893.8</v>
      </c>
      <c r="S306" s="256">
        <f t="shared" si="820"/>
        <v>30893.8</v>
      </c>
      <c r="T306" s="546">
        <f>F306+110</f>
        <v>30863.8</v>
      </c>
      <c r="U306" s="256">
        <f t="shared" si="821"/>
        <v>30863.8</v>
      </c>
      <c r="V306" s="546">
        <f>F306+90</f>
        <v>30843.8</v>
      </c>
      <c r="W306" s="256">
        <f t="shared" si="822"/>
        <v>30843.8</v>
      </c>
      <c r="X306" s="627"/>
      <c r="Y306" s="628"/>
      <c r="Z306" s="628"/>
      <c r="AA306" s="629"/>
      <c r="AB306" s="178">
        <v>1041</v>
      </c>
      <c r="AC306" s="61"/>
    </row>
    <row r="307" spans="1:34" ht="12.6" customHeight="1" x14ac:dyDescent="0.2">
      <c r="A307" s="17"/>
      <c r="B307" s="630" t="s">
        <v>691</v>
      </c>
      <c r="C307" s="631"/>
      <c r="D307" s="631"/>
      <c r="E307" s="631"/>
      <c r="F307" s="326">
        <f>12.6*X2</f>
        <v>19404</v>
      </c>
      <c r="G307" s="255">
        <f t="shared" ref="G307" si="823">+F307*$X$1</f>
        <v>19404</v>
      </c>
      <c r="H307" s="68">
        <f>F307+720</f>
        <v>20124</v>
      </c>
      <c r="I307" s="255">
        <f t="shared" si="815"/>
        <v>20124</v>
      </c>
      <c r="J307" s="537">
        <f>F307+320</f>
        <v>19724</v>
      </c>
      <c r="K307" s="255">
        <f t="shared" si="816"/>
        <v>19724</v>
      </c>
      <c r="L307" s="537">
        <f>F307+260</f>
        <v>19664</v>
      </c>
      <c r="M307" s="255">
        <f t="shared" si="817"/>
        <v>19664</v>
      </c>
      <c r="N307" s="537">
        <f>F307+220</f>
        <v>19624</v>
      </c>
      <c r="O307" s="255">
        <f t="shared" si="818"/>
        <v>19624</v>
      </c>
      <c r="P307" s="537">
        <f>F307+190</f>
        <v>19594</v>
      </c>
      <c r="Q307" s="255">
        <f t="shared" si="819"/>
        <v>19594</v>
      </c>
      <c r="R307" s="537">
        <f>F307+160</f>
        <v>19564</v>
      </c>
      <c r="S307" s="255">
        <f t="shared" si="820"/>
        <v>19564</v>
      </c>
      <c r="T307" s="537">
        <f>F307+130</f>
        <v>19534</v>
      </c>
      <c r="U307" s="255">
        <f t="shared" si="821"/>
        <v>19534</v>
      </c>
      <c r="V307" s="537">
        <f>F307+110</f>
        <v>19514</v>
      </c>
      <c r="W307" s="255">
        <f t="shared" si="822"/>
        <v>19514</v>
      </c>
      <c r="X307" s="627"/>
      <c r="Y307" s="628"/>
      <c r="Z307" s="628"/>
      <c r="AA307" s="629"/>
      <c r="AB307" s="178">
        <v>1042</v>
      </c>
    </row>
    <row r="308" spans="1:34" ht="12.6" customHeight="1" x14ac:dyDescent="0.2">
      <c r="A308" s="17"/>
      <c r="B308" s="642" t="s">
        <v>469</v>
      </c>
      <c r="C308" s="643"/>
      <c r="D308" s="643"/>
      <c r="E308" s="643"/>
      <c r="F308" s="290">
        <v>18950</v>
      </c>
      <c r="G308" s="256">
        <f t="shared" ref="G308:G312" si="824">+F308*$X$1</f>
        <v>18950</v>
      </c>
      <c r="H308" s="82">
        <f t="shared" ref="H308:H313" si="825">F308+700</f>
        <v>19650</v>
      </c>
      <c r="I308" s="256">
        <f t="shared" si="815"/>
        <v>19650</v>
      </c>
      <c r="J308" s="546">
        <f t="shared" ref="J308:J313" si="826">F308+300</f>
        <v>19250</v>
      </c>
      <c r="K308" s="256">
        <f t="shared" si="816"/>
        <v>19250</v>
      </c>
      <c r="L308" s="546">
        <f t="shared" ref="L308:L313" si="827">F308+245</f>
        <v>19195</v>
      </c>
      <c r="M308" s="256">
        <f t="shared" ref="M308:M312" si="828">+L308*$X$1</f>
        <v>19195</v>
      </c>
      <c r="N308" s="546">
        <f t="shared" ref="N308:N313" si="829">F308+200</f>
        <v>19150</v>
      </c>
      <c r="O308" s="256">
        <f t="shared" ref="O308:O312" si="830">+N308*$X$1</f>
        <v>19150</v>
      </c>
      <c r="P308" s="546">
        <f t="shared" ref="P308:P313" si="831">F308+170</f>
        <v>19120</v>
      </c>
      <c r="Q308" s="256">
        <f t="shared" ref="Q308:Q312" si="832">+P308*$X$1</f>
        <v>19120</v>
      </c>
      <c r="R308" s="546">
        <f t="shared" ref="R308:R313" si="833">F308+140</f>
        <v>19090</v>
      </c>
      <c r="S308" s="256">
        <f t="shared" ref="S308:S312" si="834">+R308*$X$1</f>
        <v>19090</v>
      </c>
      <c r="T308" s="546">
        <f t="shared" ref="T308:T313" si="835">F308+110</f>
        <v>19060</v>
      </c>
      <c r="U308" s="256">
        <f t="shared" ref="U308:U312" si="836">+T308*$X$1</f>
        <v>19060</v>
      </c>
      <c r="V308" s="546">
        <f t="shared" ref="V308:V313" si="837">F308+90</f>
        <v>19040</v>
      </c>
      <c r="W308" s="256">
        <f t="shared" ref="W308:W312" si="838">+V308*$X$1</f>
        <v>19040</v>
      </c>
      <c r="X308" s="627"/>
      <c r="Y308" s="628"/>
      <c r="Z308" s="628"/>
      <c r="AA308" s="629"/>
      <c r="AB308" s="178">
        <v>1043</v>
      </c>
      <c r="AC308" s="61"/>
    </row>
    <row r="309" spans="1:34" ht="12.6" customHeight="1" x14ac:dyDescent="0.2">
      <c r="A309" s="17"/>
      <c r="B309" s="630" t="s">
        <v>894</v>
      </c>
      <c r="C309" s="631"/>
      <c r="D309" s="631"/>
      <c r="E309" s="631"/>
      <c r="F309" s="291">
        <v>22160</v>
      </c>
      <c r="G309" s="255">
        <f t="shared" si="824"/>
        <v>22160</v>
      </c>
      <c r="H309" s="68">
        <f t="shared" si="825"/>
        <v>22860</v>
      </c>
      <c r="I309" s="255">
        <f t="shared" si="815"/>
        <v>22860</v>
      </c>
      <c r="J309" s="537">
        <f t="shared" si="826"/>
        <v>22460</v>
      </c>
      <c r="K309" s="255">
        <f t="shared" si="816"/>
        <v>22460</v>
      </c>
      <c r="L309" s="537">
        <f t="shared" si="827"/>
        <v>22405</v>
      </c>
      <c r="M309" s="255">
        <f t="shared" si="828"/>
        <v>22405</v>
      </c>
      <c r="N309" s="537">
        <f t="shared" si="829"/>
        <v>22360</v>
      </c>
      <c r="O309" s="255">
        <f t="shared" si="830"/>
        <v>22360</v>
      </c>
      <c r="P309" s="537">
        <f t="shared" si="831"/>
        <v>22330</v>
      </c>
      <c r="Q309" s="255">
        <f t="shared" si="832"/>
        <v>22330</v>
      </c>
      <c r="R309" s="537">
        <f t="shared" si="833"/>
        <v>22300</v>
      </c>
      <c r="S309" s="255">
        <f t="shared" si="834"/>
        <v>22300</v>
      </c>
      <c r="T309" s="537">
        <f t="shared" si="835"/>
        <v>22270</v>
      </c>
      <c r="U309" s="255">
        <f t="shared" si="836"/>
        <v>22270</v>
      </c>
      <c r="V309" s="537">
        <f t="shared" si="837"/>
        <v>22250</v>
      </c>
      <c r="W309" s="255">
        <f t="shared" si="838"/>
        <v>22250</v>
      </c>
      <c r="X309" s="627"/>
      <c r="Y309" s="628"/>
      <c r="Z309" s="628"/>
      <c r="AA309" s="629"/>
      <c r="AB309" s="178">
        <v>1044</v>
      </c>
      <c r="AC309" s="61"/>
    </row>
    <row r="310" spans="1:34" ht="12.6" customHeight="1" x14ac:dyDescent="0.2">
      <c r="A310" s="17"/>
      <c r="B310" s="642" t="s">
        <v>723</v>
      </c>
      <c r="C310" s="643"/>
      <c r="D310" s="643"/>
      <c r="E310" s="643"/>
      <c r="F310" s="290">
        <v>19210</v>
      </c>
      <c r="G310" s="256">
        <f>+F310*$X$1</f>
        <v>19210</v>
      </c>
      <c r="H310" s="82">
        <f t="shared" si="825"/>
        <v>19910</v>
      </c>
      <c r="I310" s="256">
        <f t="shared" si="815"/>
        <v>19910</v>
      </c>
      <c r="J310" s="546">
        <f t="shared" si="826"/>
        <v>19510</v>
      </c>
      <c r="K310" s="256">
        <f t="shared" si="816"/>
        <v>19510</v>
      </c>
      <c r="L310" s="546">
        <f t="shared" si="827"/>
        <v>19455</v>
      </c>
      <c r="M310" s="256">
        <f t="shared" si="828"/>
        <v>19455</v>
      </c>
      <c r="N310" s="546">
        <f t="shared" si="829"/>
        <v>19410</v>
      </c>
      <c r="O310" s="256">
        <f t="shared" si="830"/>
        <v>19410</v>
      </c>
      <c r="P310" s="546">
        <f t="shared" si="831"/>
        <v>19380</v>
      </c>
      <c r="Q310" s="256">
        <f t="shared" si="832"/>
        <v>19380</v>
      </c>
      <c r="R310" s="546">
        <f t="shared" si="833"/>
        <v>19350</v>
      </c>
      <c r="S310" s="256">
        <f t="shared" si="834"/>
        <v>19350</v>
      </c>
      <c r="T310" s="546">
        <f t="shared" si="835"/>
        <v>19320</v>
      </c>
      <c r="U310" s="256">
        <f t="shared" si="836"/>
        <v>19320</v>
      </c>
      <c r="V310" s="546">
        <f t="shared" si="837"/>
        <v>19300</v>
      </c>
      <c r="W310" s="256">
        <f t="shared" si="838"/>
        <v>19300</v>
      </c>
      <c r="X310" s="628"/>
      <c r="Y310" s="628"/>
      <c r="Z310" s="628"/>
      <c r="AA310" s="629"/>
      <c r="AB310" s="178">
        <v>1045</v>
      </c>
      <c r="AC310" s="61"/>
    </row>
    <row r="311" spans="1:34" ht="12.6" customHeight="1" x14ac:dyDescent="0.2">
      <c r="A311" s="17"/>
      <c r="B311" s="630" t="s">
        <v>501</v>
      </c>
      <c r="C311" s="631"/>
      <c r="D311" s="631"/>
      <c r="E311" s="631"/>
      <c r="F311" s="291">
        <v>10910</v>
      </c>
      <c r="G311" s="255">
        <f t="shared" si="824"/>
        <v>10910</v>
      </c>
      <c r="H311" s="68">
        <f t="shared" si="825"/>
        <v>11610</v>
      </c>
      <c r="I311" s="255">
        <f t="shared" si="815"/>
        <v>11610</v>
      </c>
      <c r="J311" s="537">
        <f t="shared" si="826"/>
        <v>11210</v>
      </c>
      <c r="K311" s="255">
        <f t="shared" si="816"/>
        <v>11210</v>
      </c>
      <c r="L311" s="537">
        <f t="shared" si="827"/>
        <v>11155</v>
      </c>
      <c r="M311" s="255">
        <f t="shared" si="828"/>
        <v>11155</v>
      </c>
      <c r="N311" s="537">
        <f t="shared" si="829"/>
        <v>11110</v>
      </c>
      <c r="O311" s="255">
        <f t="shared" si="830"/>
        <v>11110</v>
      </c>
      <c r="P311" s="537">
        <f t="shared" si="831"/>
        <v>11080</v>
      </c>
      <c r="Q311" s="255">
        <f t="shared" si="832"/>
        <v>11080</v>
      </c>
      <c r="R311" s="537">
        <f t="shared" si="833"/>
        <v>11050</v>
      </c>
      <c r="S311" s="255">
        <f t="shared" si="834"/>
        <v>11050</v>
      </c>
      <c r="T311" s="537">
        <f t="shared" si="835"/>
        <v>11020</v>
      </c>
      <c r="U311" s="255">
        <f t="shared" si="836"/>
        <v>11020</v>
      </c>
      <c r="V311" s="537">
        <f t="shared" si="837"/>
        <v>11000</v>
      </c>
      <c r="W311" s="255">
        <f t="shared" si="838"/>
        <v>11000</v>
      </c>
      <c r="X311" s="627"/>
      <c r="Y311" s="628"/>
      <c r="Z311" s="628"/>
      <c r="AA311" s="629"/>
      <c r="AB311" s="178">
        <v>1048</v>
      </c>
      <c r="AC311" s="61"/>
    </row>
    <row r="312" spans="1:34" ht="12.6" customHeight="1" x14ac:dyDescent="0.2">
      <c r="A312" s="17"/>
      <c r="B312" s="642" t="s">
        <v>500</v>
      </c>
      <c r="C312" s="643"/>
      <c r="D312" s="643"/>
      <c r="E312" s="643"/>
      <c r="F312" s="290">
        <v>9931</v>
      </c>
      <c r="G312" s="256">
        <f t="shared" si="824"/>
        <v>9931</v>
      </c>
      <c r="H312" s="82">
        <f t="shared" si="825"/>
        <v>10631</v>
      </c>
      <c r="I312" s="256">
        <f t="shared" si="815"/>
        <v>10631</v>
      </c>
      <c r="J312" s="546">
        <f t="shared" si="826"/>
        <v>10231</v>
      </c>
      <c r="K312" s="256">
        <f t="shared" si="816"/>
        <v>10231</v>
      </c>
      <c r="L312" s="546">
        <f t="shared" si="827"/>
        <v>10176</v>
      </c>
      <c r="M312" s="256">
        <f t="shared" si="828"/>
        <v>10176</v>
      </c>
      <c r="N312" s="546">
        <f t="shared" si="829"/>
        <v>10131</v>
      </c>
      <c r="O312" s="256">
        <f t="shared" si="830"/>
        <v>10131</v>
      </c>
      <c r="P312" s="546">
        <f t="shared" si="831"/>
        <v>10101</v>
      </c>
      <c r="Q312" s="256">
        <f t="shared" si="832"/>
        <v>10101</v>
      </c>
      <c r="R312" s="546">
        <f t="shared" si="833"/>
        <v>10071</v>
      </c>
      <c r="S312" s="256">
        <f t="shared" si="834"/>
        <v>10071</v>
      </c>
      <c r="T312" s="546">
        <f t="shared" si="835"/>
        <v>10041</v>
      </c>
      <c r="U312" s="256">
        <f t="shared" si="836"/>
        <v>10041</v>
      </c>
      <c r="V312" s="546">
        <f t="shared" si="837"/>
        <v>10021</v>
      </c>
      <c r="W312" s="256">
        <f t="shared" si="838"/>
        <v>10021</v>
      </c>
      <c r="X312" s="627"/>
      <c r="Y312" s="628"/>
      <c r="Z312" s="628"/>
      <c r="AA312" s="629"/>
      <c r="AB312" s="178">
        <v>1049</v>
      </c>
      <c r="AC312" s="61"/>
    </row>
    <row r="313" spans="1:34" ht="12.6" customHeight="1" x14ac:dyDescent="0.2">
      <c r="A313" s="17"/>
      <c r="B313" s="630" t="s">
        <v>502</v>
      </c>
      <c r="C313" s="631"/>
      <c r="D313" s="631"/>
      <c r="E313" s="631"/>
      <c r="F313" s="291">
        <v>9931</v>
      </c>
      <c r="G313" s="255">
        <f>+F313*$X$1</f>
        <v>9931</v>
      </c>
      <c r="H313" s="68">
        <f t="shared" si="825"/>
        <v>10631</v>
      </c>
      <c r="I313" s="255">
        <f t="shared" ref="I313" si="839">+H313*$X$1</f>
        <v>10631</v>
      </c>
      <c r="J313" s="537">
        <f t="shared" si="826"/>
        <v>10231</v>
      </c>
      <c r="K313" s="255">
        <f t="shared" ref="K313" si="840">+J313*$X$1</f>
        <v>10231</v>
      </c>
      <c r="L313" s="537">
        <f t="shared" si="827"/>
        <v>10176</v>
      </c>
      <c r="M313" s="255">
        <f t="shared" ref="M313" si="841">+L313*$X$1</f>
        <v>10176</v>
      </c>
      <c r="N313" s="537">
        <f t="shared" si="829"/>
        <v>10131</v>
      </c>
      <c r="O313" s="255">
        <f t="shared" ref="O313" si="842">+N313*$X$1</f>
        <v>10131</v>
      </c>
      <c r="P313" s="537">
        <f t="shared" si="831"/>
        <v>10101</v>
      </c>
      <c r="Q313" s="255">
        <f t="shared" ref="Q313" si="843">+P313*$X$1</f>
        <v>10101</v>
      </c>
      <c r="R313" s="537">
        <f t="shared" si="833"/>
        <v>10071</v>
      </c>
      <c r="S313" s="255">
        <f t="shared" ref="S313" si="844">+R313*$X$1</f>
        <v>10071</v>
      </c>
      <c r="T313" s="537">
        <f t="shared" si="835"/>
        <v>10041</v>
      </c>
      <c r="U313" s="255">
        <f t="shared" ref="U313" si="845">+T313*$X$1</f>
        <v>10041</v>
      </c>
      <c r="V313" s="537">
        <f t="shared" si="837"/>
        <v>10021</v>
      </c>
      <c r="W313" s="255">
        <f t="shared" ref="W313" si="846">+V313*$X$1</f>
        <v>10021</v>
      </c>
      <c r="X313" s="627"/>
      <c r="Y313" s="628"/>
      <c r="Z313" s="628"/>
      <c r="AA313" s="629"/>
      <c r="AB313" s="178">
        <v>1050</v>
      </c>
      <c r="AC313" s="61"/>
    </row>
    <row r="314" spans="1:34" ht="12.6" customHeight="1" x14ac:dyDescent="0.2">
      <c r="A314" s="17"/>
      <c r="B314" s="656" t="s">
        <v>897</v>
      </c>
      <c r="C314" s="657"/>
      <c r="D314" s="657"/>
      <c r="E314" s="657"/>
      <c r="F314" s="328">
        <f>13*X2</f>
        <v>20020</v>
      </c>
      <c r="G314" s="300">
        <f>+F314*$X$1</f>
        <v>20020</v>
      </c>
      <c r="H314" s="546">
        <f>F314+800</f>
        <v>20820</v>
      </c>
      <c r="I314" s="256">
        <f>+H314*$X$1</f>
        <v>20820</v>
      </c>
      <c r="J314" s="546"/>
      <c r="K314" s="256"/>
      <c r="L314" s="546"/>
      <c r="M314" s="256"/>
      <c r="N314" s="546"/>
      <c r="O314" s="256"/>
      <c r="P314" s="546"/>
      <c r="Q314" s="256"/>
      <c r="R314" s="546"/>
      <c r="S314" s="256"/>
      <c r="T314" s="92"/>
      <c r="U314" s="269"/>
      <c r="V314" s="92"/>
      <c r="W314" s="269"/>
      <c r="X314" s="135"/>
      <c r="Y314" s="135"/>
      <c r="Z314" s="135"/>
      <c r="AA314" s="135"/>
      <c r="AB314" s="178">
        <v>1051</v>
      </c>
    </row>
    <row r="315" spans="1:34" ht="12.6" customHeight="1" x14ac:dyDescent="0.2">
      <c r="A315" s="17"/>
      <c r="B315" s="666" t="s">
        <v>724</v>
      </c>
      <c r="C315" s="692"/>
      <c r="D315" s="692"/>
      <c r="E315" s="693"/>
      <c r="F315" s="326">
        <f>10.05*X2</f>
        <v>15477.000000000002</v>
      </c>
      <c r="G315" s="255">
        <f t="shared" ref="G315" si="847">+F315*$X$1</f>
        <v>15477.000000000002</v>
      </c>
      <c r="H315" s="68">
        <f>F315+700</f>
        <v>16177.000000000002</v>
      </c>
      <c r="I315" s="255">
        <f>+H315*$X$1</f>
        <v>16177.000000000002</v>
      </c>
      <c r="J315" s="537">
        <f>F315+300</f>
        <v>15777.000000000002</v>
      </c>
      <c r="K315" s="255">
        <f>+J315*$X$1</f>
        <v>15777.000000000002</v>
      </c>
      <c r="L315" s="537">
        <f>F315+245</f>
        <v>15722.000000000002</v>
      </c>
      <c r="M315" s="255">
        <f>+L315*$X$1</f>
        <v>15722.000000000002</v>
      </c>
      <c r="N315" s="537">
        <f>F315+200</f>
        <v>15677.000000000002</v>
      </c>
      <c r="O315" s="255">
        <f>+N315*$X$1</f>
        <v>15677.000000000002</v>
      </c>
      <c r="P315" s="537">
        <f>F315+170</f>
        <v>15647.000000000002</v>
      </c>
      <c r="Q315" s="255">
        <f>+P315*$X$1</f>
        <v>15647.000000000002</v>
      </c>
      <c r="R315" s="537">
        <f>F315+140</f>
        <v>15617.000000000002</v>
      </c>
      <c r="S315" s="255">
        <f>+R315*$X$1</f>
        <v>15617.000000000002</v>
      </c>
      <c r="T315" s="537">
        <f>F315+110</f>
        <v>15587.000000000002</v>
      </c>
      <c r="U315" s="255">
        <f>+T315*$X$1</f>
        <v>15587.000000000002</v>
      </c>
      <c r="V315" s="537">
        <f>F315+90</f>
        <v>15567.000000000002</v>
      </c>
      <c r="W315" s="255">
        <f>+V315*$X$1</f>
        <v>15567.000000000002</v>
      </c>
      <c r="X315" s="627"/>
      <c r="Y315" s="628"/>
      <c r="Z315" s="628"/>
      <c r="AA315" s="629"/>
      <c r="AB315" s="178">
        <v>1052</v>
      </c>
      <c r="AC315" s="61"/>
    </row>
    <row r="316" spans="1:34" ht="12.75" customHeight="1" x14ac:dyDescent="0.2">
      <c r="A316" s="17"/>
      <c r="B316" s="3"/>
      <c r="C316" s="3"/>
      <c r="D316" s="3"/>
      <c r="E316" s="3"/>
      <c r="F316" s="4"/>
      <c r="G316" s="4"/>
      <c r="H316" s="22"/>
      <c r="I316" s="22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4" ht="12.75" customHeight="1" x14ac:dyDescent="0.2">
      <c r="A317" s="17"/>
      <c r="B317" s="3"/>
      <c r="C317" s="3"/>
      <c r="D317" s="3"/>
      <c r="E317" s="3"/>
      <c r="F317" s="4"/>
      <c r="G317" s="4"/>
      <c r="H317" s="22"/>
      <c r="I317" s="22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4" ht="12.75" customHeight="1" x14ac:dyDescent="0.2">
      <c r="A318" s="17"/>
      <c r="B318" s="62"/>
      <c r="C318" s="62"/>
      <c r="D318" s="62"/>
      <c r="E318" s="62"/>
      <c r="F318" s="4"/>
      <c r="G318" s="4"/>
      <c r="H318" s="22"/>
      <c r="I318" s="22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7"/>
      <c r="W318" s="7"/>
    </row>
    <row r="319" spans="1:34" ht="14.25" customHeight="1" x14ac:dyDescent="0.2">
      <c r="A319" s="17"/>
      <c r="B319" s="729" t="s">
        <v>11</v>
      </c>
      <c r="C319" s="688" t="s">
        <v>12</v>
      </c>
      <c r="D319" s="689"/>
      <c r="E319" s="689"/>
      <c r="F319" s="644" t="s">
        <v>13</v>
      </c>
      <c r="G319" s="644" t="s">
        <v>13</v>
      </c>
      <c r="H319" s="632" t="s">
        <v>726</v>
      </c>
      <c r="I319" s="632"/>
      <c r="J319" s="633"/>
      <c r="K319" s="633"/>
      <c r="L319" s="633"/>
      <c r="M319" s="633"/>
      <c r="N319" s="633"/>
      <c r="O319" s="633"/>
      <c r="P319" s="633"/>
      <c r="Q319" s="633"/>
      <c r="R319" s="633"/>
      <c r="S319" s="633"/>
      <c r="T319" s="633"/>
      <c r="U319" s="633"/>
      <c r="V319" s="633"/>
      <c r="W319" s="633"/>
      <c r="X319" s="658" t="s">
        <v>14</v>
      </c>
      <c r="Y319" s="659"/>
      <c r="Z319" s="659"/>
      <c r="AA319" s="660"/>
      <c r="AB319" s="760" t="s">
        <v>15</v>
      </c>
      <c r="AF319" s="748" t="s">
        <v>3</v>
      </c>
      <c r="AG319" s="749"/>
      <c r="AH319" s="749"/>
    </row>
    <row r="320" spans="1:34" ht="11.25" customHeight="1" x14ac:dyDescent="0.2">
      <c r="A320" s="17"/>
      <c r="B320" s="729"/>
      <c r="C320" s="689"/>
      <c r="D320" s="689"/>
      <c r="E320" s="689"/>
      <c r="F320" s="645"/>
      <c r="G320" s="645"/>
      <c r="H320" s="413"/>
      <c r="I320" s="405" t="s">
        <v>261</v>
      </c>
      <c r="J320" s="407"/>
      <c r="K320" s="405" t="s">
        <v>17</v>
      </c>
      <c r="L320" s="408"/>
      <c r="M320" s="408" t="s">
        <v>18</v>
      </c>
      <c r="N320" s="408"/>
      <c r="O320" s="405" t="s">
        <v>19</v>
      </c>
      <c r="P320" s="408"/>
      <c r="Q320" s="408" t="s">
        <v>262</v>
      </c>
      <c r="R320" s="408"/>
      <c r="S320" s="408" t="s">
        <v>20</v>
      </c>
      <c r="T320" s="408"/>
      <c r="U320" s="408" t="s">
        <v>21</v>
      </c>
      <c r="V320" s="408"/>
      <c r="W320" s="408" t="s">
        <v>22</v>
      </c>
      <c r="X320" s="661"/>
      <c r="Y320" s="662"/>
      <c r="Z320" s="662"/>
      <c r="AA320" s="663"/>
      <c r="AB320" s="761"/>
    </row>
    <row r="321" spans="1:29" ht="12.6" customHeight="1" x14ac:dyDescent="0.2">
      <c r="A321" s="17"/>
      <c r="B321" s="639" t="s">
        <v>412</v>
      </c>
      <c r="C321" s="664"/>
      <c r="D321" s="664"/>
      <c r="E321" s="665"/>
      <c r="F321" s="327">
        <f>21.22*X2</f>
        <v>32678.799999999999</v>
      </c>
      <c r="G321" s="256">
        <f>+F321*$X$1</f>
        <v>32678.799999999999</v>
      </c>
      <c r="H321" s="82">
        <f t="shared" ref="H321:H328" si="848">F321+700</f>
        <v>33378.800000000003</v>
      </c>
      <c r="I321" s="256">
        <f t="shared" ref="I321:I329" si="849">+H321*$X$1</f>
        <v>33378.800000000003</v>
      </c>
      <c r="J321" s="546">
        <f t="shared" ref="J321:J328" si="850">F321+300</f>
        <v>32978.800000000003</v>
      </c>
      <c r="K321" s="256">
        <f t="shared" ref="K321:K329" si="851">+J321*$X$1</f>
        <v>32978.800000000003</v>
      </c>
      <c r="L321" s="546">
        <f t="shared" ref="L321:L328" si="852">F321+245</f>
        <v>32923.800000000003</v>
      </c>
      <c r="M321" s="256">
        <f t="shared" ref="M321:M329" si="853">+L321*$X$1</f>
        <v>32923.800000000003</v>
      </c>
      <c r="N321" s="546">
        <f t="shared" ref="N321:N328" si="854">F321+200</f>
        <v>32878.800000000003</v>
      </c>
      <c r="O321" s="256">
        <f t="shared" ref="O321:O329" si="855">+N321*$X$1</f>
        <v>32878.800000000003</v>
      </c>
      <c r="P321" s="546">
        <f t="shared" ref="P321:P328" si="856">F321+170</f>
        <v>32848.800000000003</v>
      </c>
      <c r="Q321" s="256">
        <f t="shared" ref="Q321:Q329" si="857">+P321*$X$1</f>
        <v>32848.800000000003</v>
      </c>
      <c r="R321" s="546">
        <f t="shared" ref="R321:R328" si="858">F321+140</f>
        <v>32818.800000000003</v>
      </c>
      <c r="S321" s="256">
        <f t="shared" ref="S321:S329" si="859">+R321*$X$1</f>
        <v>32818.800000000003</v>
      </c>
      <c r="T321" s="546">
        <f t="shared" ref="T321:T328" si="860">F321+110</f>
        <v>32788.800000000003</v>
      </c>
      <c r="U321" s="256">
        <f t="shared" ref="U321:U329" si="861">+T321*$X$1</f>
        <v>32788.800000000003</v>
      </c>
      <c r="V321" s="546">
        <f t="shared" ref="V321:V328" si="862">F321+90</f>
        <v>32768.800000000003</v>
      </c>
      <c r="W321" s="256">
        <f t="shared" ref="W321:W329" si="863">+V321*$X$1</f>
        <v>32768.800000000003</v>
      </c>
      <c r="X321" s="627"/>
      <c r="Y321" s="628"/>
      <c r="Z321" s="628"/>
      <c r="AA321" s="629"/>
      <c r="AB321" s="178">
        <v>1053</v>
      </c>
      <c r="AC321" s="61"/>
    </row>
    <row r="322" spans="1:29" ht="12.6" customHeight="1" x14ac:dyDescent="0.2">
      <c r="A322" s="17"/>
      <c r="B322" s="666" t="s">
        <v>773</v>
      </c>
      <c r="C322" s="692"/>
      <c r="D322" s="692"/>
      <c r="E322" s="693"/>
      <c r="F322" s="326">
        <f>7.55*X2</f>
        <v>11627</v>
      </c>
      <c r="G322" s="255">
        <f t="shared" ref="G322" si="864">+F322*$X$1</f>
        <v>11627</v>
      </c>
      <c r="H322" s="68">
        <f t="shared" si="848"/>
        <v>12327</v>
      </c>
      <c r="I322" s="255">
        <f t="shared" si="849"/>
        <v>12327</v>
      </c>
      <c r="J322" s="537">
        <f t="shared" si="850"/>
        <v>11927</v>
      </c>
      <c r="K322" s="255">
        <f t="shared" si="851"/>
        <v>11927</v>
      </c>
      <c r="L322" s="537">
        <f t="shared" si="852"/>
        <v>11872</v>
      </c>
      <c r="M322" s="255">
        <f t="shared" si="853"/>
        <v>11872</v>
      </c>
      <c r="N322" s="537">
        <f t="shared" si="854"/>
        <v>11827</v>
      </c>
      <c r="O322" s="255">
        <f t="shared" si="855"/>
        <v>11827</v>
      </c>
      <c r="P322" s="537">
        <f t="shared" si="856"/>
        <v>11797</v>
      </c>
      <c r="Q322" s="255">
        <f t="shared" si="857"/>
        <v>11797</v>
      </c>
      <c r="R322" s="537">
        <f t="shared" si="858"/>
        <v>11767</v>
      </c>
      <c r="S322" s="255">
        <f t="shared" si="859"/>
        <v>11767</v>
      </c>
      <c r="T322" s="537">
        <f t="shared" si="860"/>
        <v>11737</v>
      </c>
      <c r="U322" s="255">
        <f t="shared" si="861"/>
        <v>11737</v>
      </c>
      <c r="V322" s="537">
        <f t="shared" si="862"/>
        <v>11717</v>
      </c>
      <c r="W322" s="255">
        <f t="shared" si="863"/>
        <v>11717</v>
      </c>
      <c r="X322" s="627"/>
      <c r="Y322" s="628"/>
      <c r="Z322" s="628"/>
      <c r="AA322" s="629"/>
      <c r="AB322" s="178">
        <v>1054</v>
      </c>
      <c r="AC322" s="61"/>
    </row>
    <row r="323" spans="1:29" ht="12.6" customHeight="1" x14ac:dyDescent="0.2">
      <c r="A323" s="17"/>
      <c r="B323" s="639" t="s">
        <v>829</v>
      </c>
      <c r="C323" s="664"/>
      <c r="D323" s="664"/>
      <c r="E323" s="665"/>
      <c r="F323" s="327">
        <f>20.8*X2</f>
        <v>32032</v>
      </c>
      <c r="G323" s="256">
        <f t="shared" ref="G323" si="865">+F323*$X$1</f>
        <v>32032</v>
      </c>
      <c r="H323" s="82">
        <f t="shared" si="848"/>
        <v>32732</v>
      </c>
      <c r="I323" s="256">
        <f t="shared" si="849"/>
        <v>32732</v>
      </c>
      <c r="J323" s="546">
        <f t="shared" si="850"/>
        <v>32332</v>
      </c>
      <c r="K323" s="256">
        <f t="shared" si="851"/>
        <v>32332</v>
      </c>
      <c r="L323" s="546">
        <f t="shared" si="852"/>
        <v>32277</v>
      </c>
      <c r="M323" s="256">
        <f t="shared" si="853"/>
        <v>32277</v>
      </c>
      <c r="N323" s="546">
        <f t="shared" si="854"/>
        <v>32232</v>
      </c>
      <c r="O323" s="256">
        <f t="shared" si="855"/>
        <v>32232</v>
      </c>
      <c r="P323" s="546">
        <f t="shared" si="856"/>
        <v>32202</v>
      </c>
      <c r="Q323" s="256">
        <f t="shared" si="857"/>
        <v>32202</v>
      </c>
      <c r="R323" s="546">
        <f t="shared" si="858"/>
        <v>32172</v>
      </c>
      <c r="S323" s="256">
        <f t="shared" si="859"/>
        <v>32172</v>
      </c>
      <c r="T323" s="546">
        <f t="shared" si="860"/>
        <v>32142</v>
      </c>
      <c r="U323" s="256">
        <f t="shared" si="861"/>
        <v>32142</v>
      </c>
      <c r="V323" s="546">
        <f t="shared" si="862"/>
        <v>32122</v>
      </c>
      <c r="W323" s="256">
        <f t="shared" si="863"/>
        <v>32122</v>
      </c>
      <c r="X323" s="627"/>
      <c r="Y323" s="628"/>
      <c r="Z323" s="628"/>
      <c r="AA323" s="629"/>
      <c r="AB323" s="178">
        <v>1056</v>
      </c>
      <c r="AC323" s="61"/>
    </row>
    <row r="324" spans="1:29" ht="12.6" customHeight="1" x14ac:dyDescent="0.2">
      <c r="A324" s="17"/>
      <c r="B324" s="630" t="s">
        <v>546</v>
      </c>
      <c r="C324" s="631"/>
      <c r="D324" s="631"/>
      <c r="E324" s="631"/>
      <c r="F324" s="291">
        <v>18690</v>
      </c>
      <c r="G324" s="255">
        <f>+F324*$X$1</f>
        <v>18690</v>
      </c>
      <c r="H324" s="68">
        <f t="shared" si="848"/>
        <v>19390</v>
      </c>
      <c r="I324" s="255">
        <f t="shared" si="849"/>
        <v>19390</v>
      </c>
      <c r="J324" s="537">
        <f t="shared" si="850"/>
        <v>18990</v>
      </c>
      <c r="K324" s="255">
        <f t="shared" si="851"/>
        <v>18990</v>
      </c>
      <c r="L324" s="537">
        <f t="shared" si="852"/>
        <v>18935</v>
      </c>
      <c r="M324" s="255">
        <f t="shared" si="853"/>
        <v>18935</v>
      </c>
      <c r="N324" s="537">
        <f t="shared" si="854"/>
        <v>18890</v>
      </c>
      <c r="O324" s="255">
        <f t="shared" si="855"/>
        <v>18890</v>
      </c>
      <c r="P324" s="537">
        <f t="shared" si="856"/>
        <v>18860</v>
      </c>
      <c r="Q324" s="255">
        <f t="shared" si="857"/>
        <v>18860</v>
      </c>
      <c r="R324" s="537">
        <f t="shared" si="858"/>
        <v>18830</v>
      </c>
      <c r="S324" s="255">
        <f t="shared" si="859"/>
        <v>18830</v>
      </c>
      <c r="T324" s="537">
        <f t="shared" si="860"/>
        <v>18800</v>
      </c>
      <c r="U324" s="255">
        <f t="shared" si="861"/>
        <v>18800</v>
      </c>
      <c r="V324" s="537">
        <f t="shared" si="862"/>
        <v>18780</v>
      </c>
      <c r="W324" s="255">
        <f t="shared" si="863"/>
        <v>18780</v>
      </c>
      <c r="X324" s="627"/>
      <c r="Y324" s="628"/>
      <c r="Z324" s="628"/>
      <c r="AA324" s="629"/>
      <c r="AB324" s="178">
        <v>1057</v>
      </c>
    </row>
    <row r="325" spans="1:29" ht="12.6" customHeight="1" x14ac:dyDescent="0.2">
      <c r="A325" s="17"/>
      <c r="B325" s="683" t="s">
        <v>885</v>
      </c>
      <c r="C325" s="1134"/>
      <c r="D325" s="1134"/>
      <c r="E325" s="1135"/>
      <c r="F325" s="327">
        <f>10.63*X2</f>
        <v>16370.2</v>
      </c>
      <c r="G325" s="256">
        <f t="shared" ref="G325:G326" si="866">+F325*$X$1</f>
        <v>16370.2</v>
      </c>
      <c r="H325" s="82">
        <f t="shared" si="848"/>
        <v>17070.2</v>
      </c>
      <c r="I325" s="256">
        <f t="shared" si="849"/>
        <v>17070.2</v>
      </c>
      <c r="J325" s="546">
        <f t="shared" si="850"/>
        <v>16670.2</v>
      </c>
      <c r="K325" s="256">
        <f t="shared" si="851"/>
        <v>16670.2</v>
      </c>
      <c r="L325" s="546">
        <f t="shared" si="852"/>
        <v>16615.2</v>
      </c>
      <c r="M325" s="256">
        <f t="shared" si="853"/>
        <v>16615.2</v>
      </c>
      <c r="N325" s="546">
        <f t="shared" si="854"/>
        <v>16570.2</v>
      </c>
      <c r="O325" s="256">
        <f t="shared" si="855"/>
        <v>16570.2</v>
      </c>
      <c r="P325" s="546">
        <f t="shared" si="856"/>
        <v>16540.2</v>
      </c>
      <c r="Q325" s="256">
        <f t="shared" si="857"/>
        <v>16540.2</v>
      </c>
      <c r="R325" s="546">
        <f t="shared" si="858"/>
        <v>16510.2</v>
      </c>
      <c r="S325" s="256">
        <f t="shared" si="859"/>
        <v>16510.2</v>
      </c>
      <c r="T325" s="546">
        <f t="shared" si="860"/>
        <v>16480.2</v>
      </c>
      <c r="U325" s="256">
        <f t="shared" si="861"/>
        <v>16480.2</v>
      </c>
      <c r="V325" s="546">
        <f t="shared" si="862"/>
        <v>16460.2</v>
      </c>
      <c r="W325" s="256">
        <f t="shared" si="863"/>
        <v>16460.2</v>
      </c>
      <c r="X325" s="627"/>
      <c r="Y325" s="628"/>
      <c r="Z325" s="628"/>
      <c r="AA325" s="629"/>
      <c r="AB325" s="178">
        <v>1059</v>
      </c>
      <c r="AC325" s="61"/>
    </row>
    <row r="326" spans="1:29" ht="12.6" customHeight="1" x14ac:dyDescent="0.2">
      <c r="A326" s="17"/>
      <c r="B326" s="683" t="s">
        <v>969</v>
      </c>
      <c r="C326" s="1134"/>
      <c r="D326" s="1134"/>
      <c r="E326" s="1135"/>
      <c r="F326" s="326">
        <f>19.4*X2</f>
        <v>29875.999999999996</v>
      </c>
      <c r="G326" s="255">
        <f t="shared" si="866"/>
        <v>29875.999999999996</v>
      </c>
      <c r="H326" s="68">
        <f t="shared" si="848"/>
        <v>30575.999999999996</v>
      </c>
      <c r="I326" s="255">
        <f t="shared" si="849"/>
        <v>30575.999999999996</v>
      </c>
      <c r="J326" s="537">
        <f t="shared" si="850"/>
        <v>30175.999999999996</v>
      </c>
      <c r="K326" s="255">
        <f t="shared" si="851"/>
        <v>30175.999999999996</v>
      </c>
      <c r="L326" s="537">
        <f t="shared" si="852"/>
        <v>30120.999999999996</v>
      </c>
      <c r="M326" s="255">
        <f t="shared" si="853"/>
        <v>30120.999999999996</v>
      </c>
      <c r="N326" s="537">
        <f t="shared" si="854"/>
        <v>30075.999999999996</v>
      </c>
      <c r="O326" s="255">
        <f t="shared" si="855"/>
        <v>30075.999999999996</v>
      </c>
      <c r="P326" s="537">
        <f t="shared" si="856"/>
        <v>30045.999999999996</v>
      </c>
      <c r="Q326" s="255">
        <f t="shared" si="857"/>
        <v>30045.999999999996</v>
      </c>
      <c r="R326" s="537">
        <f t="shared" si="858"/>
        <v>30015.999999999996</v>
      </c>
      <c r="S326" s="255">
        <f t="shared" si="859"/>
        <v>30015.999999999996</v>
      </c>
      <c r="T326" s="537">
        <f t="shared" si="860"/>
        <v>29985.999999999996</v>
      </c>
      <c r="U326" s="255">
        <f t="shared" si="861"/>
        <v>29985.999999999996</v>
      </c>
      <c r="V326" s="537">
        <f t="shared" si="862"/>
        <v>29965.999999999996</v>
      </c>
      <c r="W326" s="255">
        <f t="shared" si="863"/>
        <v>29965.999999999996</v>
      </c>
      <c r="X326" s="627"/>
      <c r="Y326" s="628"/>
      <c r="Z326" s="628"/>
      <c r="AA326" s="629"/>
      <c r="AB326" s="178">
        <v>1062</v>
      </c>
      <c r="AC326" s="61"/>
    </row>
    <row r="327" spans="1:29" ht="12.6" customHeight="1" x14ac:dyDescent="0.2">
      <c r="A327" s="17"/>
      <c r="B327" s="642" t="s">
        <v>382</v>
      </c>
      <c r="C327" s="643"/>
      <c r="D327" s="643"/>
      <c r="E327" s="643"/>
      <c r="F327" s="328">
        <f>12.77*X2</f>
        <v>19665.8</v>
      </c>
      <c r="G327" s="280">
        <f t="shared" ref="G327:G328" si="867">+F327*$X$1</f>
        <v>19665.8</v>
      </c>
      <c r="H327" s="82">
        <f t="shared" si="848"/>
        <v>20365.8</v>
      </c>
      <c r="I327" s="256">
        <f t="shared" si="849"/>
        <v>20365.8</v>
      </c>
      <c r="J327" s="546">
        <f t="shared" si="850"/>
        <v>19965.8</v>
      </c>
      <c r="K327" s="256">
        <f t="shared" si="851"/>
        <v>19965.8</v>
      </c>
      <c r="L327" s="546">
        <f t="shared" si="852"/>
        <v>19910.8</v>
      </c>
      <c r="M327" s="256">
        <f t="shared" si="853"/>
        <v>19910.8</v>
      </c>
      <c r="N327" s="546">
        <f t="shared" si="854"/>
        <v>19865.8</v>
      </c>
      <c r="O327" s="256">
        <f t="shared" si="855"/>
        <v>19865.8</v>
      </c>
      <c r="P327" s="546">
        <f t="shared" si="856"/>
        <v>19835.8</v>
      </c>
      <c r="Q327" s="256">
        <f t="shared" si="857"/>
        <v>19835.8</v>
      </c>
      <c r="R327" s="546">
        <f t="shared" si="858"/>
        <v>19805.8</v>
      </c>
      <c r="S327" s="256">
        <f t="shared" si="859"/>
        <v>19805.8</v>
      </c>
      <c r="T327" s="546">
        <f t="shared" si="860"/>
        <v>19775.8</v>
      </c>
      <c r="U327" s="256">
        <f t="shared" si="861"/>
        <v>19775.8</v>
      </c>
      <c r="V327" s="546">
        <f t="shared" si="862"/>
        <v>19755.8</v>
      </c>
      <c r="W327" s="256">
        <f t="shared" si="863"/>
        <v>19755.8</v>
      </c>
      <c r="X327" s="627"/>
      <c r="Y327" s="628"/>
      <c r="Z327" s="628"/>
      <c r="AA327" s="629"/>
      <c r="AB327" s="178">
        <v>1064</v>
      </c>
      <c r="AC327" s="61"/>
    </row>
    <row r="328" spans="1:29" ht="12.6" customHeight="1" x14ac:dyDescent="0.2">
      <c r="A328" s="17"/>
      <c r="B328" s="666" t="s">
        <v>966</v>
      </c>
      <c r="C328" s="692"/>
      <c r="D328" s="692"/>
      <c r="E328" s="693"/>
      <c r="F328" s="326">
        <f>16.6*X2</f>
        <v>25564.000000000004</v>
      </c>
      <c r="G328" s="255">
        <f t="shared" si="867"/>
        <v>25564.000000000004</v>
      </c>
      <c r="H328" s="68">
        <f t="shared" si="848"/>
        <v>26264.000000000004</v>
      </c>
      <c r="I328" s="255">
        <f t="shared" si="849"/>
        <v>26264.000000000004</v>
      </c>
      <c r="J328" s="537">
        <f t="shared" si="850"/>
        <v>25864.000000000004</v>
      </c>
      <c r="K328" s="255">
        <f t="shared" si="851"/>
        <v>25864.000000000004</v>
      </c>
      <c r="L328" s="537">
        <f t="shared" si="852"/>
        <v>25809.000000000004</v>
      </c>
      <c r="M328" s="255">
        <f t="shared" si="853"/>
        <v>25809.000000000004</v>
      </c>
      <c r="N328" s="537">
        <f t="shared" si="854"/>
        <v>25764.000000000004</v>
      </c>
      <c r="O328" s="255">
        <f t="shared" si="855"/>
        <v>25764.000000000004</v>
      </c>
      <c r="P328" s="537">
        <f t="shared" si="856"/>
        <v>25734.000000000004</v>
      </c>
      <c r="Q328" s="255">
        <f t="shared" si="857"/>
        <v>25734.000000000004</v>
      </c>
      <c r="R328" s="537">
        <f t="shared" si="858"/>
        <v>25704.000000000004</v>
      </c>
      <c r="S328" s="255">
        <f t="shared" si="859"/>
        <v>25704.000000000004</v>
      </c>
      <c r="T328" s="537">
        <f t="shared" si="860"/>
        <v>25674.000000000004</v>
      </c>
      <c r="U328" s="255">
        <f t="shared" si="861"/>
        <v>25674.000000000004</v>
      </c>
      <c r="V328" s="537">
        <f t="shared" si="862"/>
        <v>25654.000000000004</v>
      </c>
      <c r="W328" s="255">
        <f t="shared" si="863"/>
        <v>25654.000000000004</v>
      </c>
      <c r="X328" s="627"/>
      <c r="Y328" s="628"/>
      <c r="Z328" s="628"/>
      <c r="AA328" s="629"/>
      <c r="AB328" s="178">
        <v>1065</v>
      </c>
      <c r="AC328" s="61"/>
    </row>
    <row r="329" spans="1:29" ht="12.6" customHeight="1" x14ac:dyDescent="0.2">
      <c r="A329" s="17"/>
      <c r="B329" s="671" t="s">
        <v>830</v>
      </c>
      <c r="C329" s="672"/>
      <c r="D329" s="672"/>
      <c r="E329" s="673"/>
      <c r="F329" s="464">
        <f>4.2*X2</f>
        <v>6468</v>
      </c>
      <c r="G329" s="460">
        <f>+F329*$X$1</f>
        <v>6468</v>
      </c>
      <c r="H329" s="462">
        <f>F329+720</f>
        <v>7188</v>
      </c>
      <c r="I329" s="460">
        <f t="shared" si="849"/>
        <v>7188</v>
      </c>
      <c r="J329" s="596">
        <f>F329+320</f>
        <v>6788</v>
      </c>
      <c r="K329" s="460">
        <f t="shared" si="851"/>
        <v>6788</v>
      </c>
      <c r="L329" s="596">
        <f>F329+260</f>
        <v>6728</v>
      </c>
      <c r="M329" s="460">
        <f t="shared" si="853"/>
        <v>6728</v>
      </c>
      <c r="N329" s="596">
        <f>F329+220</f>
        <v>6688</v>
      </c>
      <c r="O329" s="460">
        <f t="shared" si="855"/>
        <v>6688</v>
      </c>
      <c r="P329" s="596">
        <f>F329+190</f>
        <v>6658</v>
      </c>
      <c r="Q329" s="460">
        <f t="shared" si="857"/>
        <v>6658</v>
      </c>
      <c r="R329" s="596">
        <f>F329+160</f>
        <v>6628</v>
      </c>
      <c r="S329" s="460">
        <f t="shared" si="859"/>
        <v>6628</v>
      </c>
      <c r="T329" s="596">
        <f>F329+130</f>
        <v>6598</v>
      </c>
      <c r="U329" s="460">
        <f t="shared" si="861"/>
        <v>6598</v>
      </c>
      <c r="V329" s="596">
        <f>F329+110</f>
        <v>6578</v>
      </c>
      <c r="W329" s="460">
        <f t="shared" si="863"/>
        <v>6578</v>
      </c>
      <c r="X329" s="479"/>
      <c r="Y329" s="485"/>
      <c r="Z329" s="485"/>
      <c r="AA329" s="480"/>
      <c r="AB329" s="178">
        <v>1066</v>
      </c>
    </row>
    <row r="330" spans="1:29" ht="12.6" customHeight="1" x14ac:dyDescent="0.2">
      <c r="A330" s="17"/>
      <c r="B330" s="683" t="s">
        <v>965</v>
      </c>
      <c r="C330" s="1134"/>
      <c r="D330" s="1134"/>
      <c r="E330" s="1135"/>
      <c r="F330" s="326">
        <f>21.21*X2</f>
        <v>32663.4</v>
      </c>
      <c r="G330" s="255">
        <f t="shared" ref="G330:G331" si="868">+F330*$X$1</f>
        <v>32663.4</v>
      </c>
      <c r="H330" s="68">
        <f>F330+700</f>
        <v>33363.4</v>
      </c>
      <c r="I330" s="255">
        <f t="shared" ref="I330:I332" si="869">+H330*$X$1</f>
        <v>33363.4</v>
      </c>
      <c r="J330" s="537">
        <f>F330+300</f>
        <v>32963.4</v>
      </c>
      <c r="K330" s="255">
        <f t="shared" ref="K330:K332" si="870">+J330*$X$1</f>
        <v>32963.4</v>
      </c>
      <c r="L330" s="537">
        <f>F330+245</f>
        <v>32908.400000000001</v>
      </c>
      <c r="M330" s="255">
        <f t="shared" ref="M330:M332" si="871">+L330*$X$1</f>
        <v>32908.400000000001</v>
      </c>
      <c r="N330" s="537">
        <f>F330+200</f>
        <v>32863.4</v>
      </c>
      <c r="O330" s="255">
        <f t="shared" ref="O330:O332" si="872">+N330*$X$1</f>
        <v>32863.4</v>
      </c>
      <c r="P330" s="537">
        <f>F330+170</f>
        <v>32833.4</v>
      </c>
      <c r="Q330" s="255">
        <f t="shared" ref="Q330:Q332" si="873">+P330*$X$1</f>
        <v>32833.4</v>
      </c>
      <c r="R330" s="537">
        <f>F330+140</f>
        <v>32803.4</v>
      </c>
      <c r="S330" s="255">
        <f t="shared" ref="S330:S332" si="874">+R330*$X$1</f>
        <v>32803.4</v>
      </c>
      <c r="T330" s="537">
        <f>F330+110</f>
        <v>32773.4</v>
      </c>
      <c r="U330" s="255">
        <f t="shared" ref="U330:U332" si="875">+T330*$X$1</f>
        <v>32773.4</v>
      </c>
      <c r="V330" s="537">
        <f>F330+90</f>
        <v>32753.4</v>
      </c>
      <c r="W330" s="255">
        <f t="shared" ref="W330:W332" si="876">+V330*$X$1</f>
        <v>32753.4</v>
      </c>
      <c r="X330" s="627"/>
      <c r="Y330" s="628"/>
      <c r="Z330" s="628"/>
      <c r="AA330" s="629"/>
      <c r="AB330" s="178">
        <v>1070</v>
      </c>
      <c r="AC330" s="61"/>
    </row>
    <row r="331" spans="1:29" ht="12.6" customHeight="1" x14ac:dyDescent="0.2">
      <c r="A331" s="17"/>
      <c r="B331" s="683" t="s">
        <v>967</v>
      </c>
      <c r="C331" s="1134"/>
      <c r="D331" s="1134"/>
      <c r="E331" s="1135"/>
      <c r="F331" s="327">
        <f>23.7*X2</f>
        <v>36498</v>
      </c>
      <c r="G331" s="256">
        <f t="shared" si="868"/>
        <v>36498</v>
      </c>
      <c r="H331" s="82">
        <f>F331+700</f>
        <v>37198</v>
      </c>
      <c r="I331" s="256">
        <f t="shared" si="869"/>
        <v>37198</v>
      </c>
      <c r="J331" s="546">
        <f>F331+300</f>
        <v>36798</v>
      </c>
      <c r="K331" s="256">
        <f t="shared" si="870"/>
        <v>36798</v>
      </c>
      <c r="L331" s="546">
        <f>F331+245</f>
        <v>36743</v>
      </c>
      <c r="M331" s="256">
        <f t="shared" si="871"/>
        <v>36743</v>
      </c>
      <c r="N331" s="546">
        <f>F331+200</f>
        <v>36698</v>
      </c>
      <c r="O331" s="256">
        <f t="shared" si="872"/>
        <v>36698</v>
      </c>
      <c r="P331" s="546">
        <f>F331+170</f>
        <v>36668</v>
      </c>
      <c r="Q331" s="256">
        <f t="shared" si="873"/>
        <v>36668</v>
      </c>
      <c r="R331" s="546">
        <f>F331+140</f>
        <v>36638</v>
      </c>
      <c r="S331" s="256">
        <f t="shared" si="874"/>
        <v>36638</v>
      </c>
      <c r="T331" s="546">
        <f>F331+110</f>
        <v>36608</v>
      </c>
      <c r="U331" s="256">
        <f t="shared" si="875"/>
        <v>36608</v>
      </c>
      <c r="V331" s="546">
        <f>F331+90</f>
        <v>36588</v>
      </c>
      <c r="W331" s="256">
        <f t="shared" si="876"/>
        <v>36588</v>
      </c>
      <c r="X331" s="627"/>
      <c r="Y331" s="628"/>
      <c r="Z331" s="628"/>
      <c r="AA331" s="629"/>
      <c r="AB331" s="178">
        <v>1073</v>
      </c>
      <c r="AC331" s="61"/>
    </row>
    <row r="332" spans="1:29" ht="12.6" customHeight="1" x14ac:dyDescent="0.2">
      <c r="A332" s="17"/>
      <c r="B332" s="666" t="s">
        <v>192</v>
      </c>
      <c r="C332" s="684"/>
      <c r="D332" s="684"/>
      <c r="E332" s="685"/>
      <c r="F332" s="326">
        <f>12.16*X2</f>
        <v>18726.400000000001</v>
      </c>
      <c r="G332" s="255">
        <f>+F332*$X$1</f>
        <v>18726.400000000001</v>
      </c>
      <c r="H332" s="537">
        <f>F332+700</f>
        <v>19426.400000000001</v>
      </c>
      <c r="I332" s="255">
        <f t="shared" si="869"/>
        <v>19426.400000000001</v>
      </c>
      <c r="J332" s="537">
        <f>F332+300</f>
        <v>19026.400000000001</v>
      </c>
      <c r="K332" s="255">
        <f t="shared" si="870"/>
        <v>19026.400000000001</v>
      </c>
      <c r="L332" s="537">
        <f>F332+260</f>
        <v>18986.400000000001</v>
      </c>
      <c r="M332" s="255">
        <f t="shared" si="871"/>
        <v>18986.400000000001</v>
      </c>
      <c r="N332" s="537">
        <f>F332+220</f>
        <v>18946.400000000001</v>
      </c>
      <c r="O332" s="255">
        <f t="shared" si="872"/>
        <v>18946.400000000001</v>
      </c>
      <c r="P332" s="537">
        <f>F332+185</f>
        <v>18911.400000000001</v>
      </c>
      <c r="Q332" s="255">
        <f t="shared" si="873"/>
        <v>18911.400000000001</v>
      </c>
      <c r="R332" s="537">
        <f>F332+165</f>
        <v>18891.400000000001</v>
      </c>
      <c r="S332" s="255">
        <f t="shared" si="874"/>
        <v>18891.400000000001</v>
      </c>
      <c r="T332" s="93">
        <f>F332+145</f>
        <v>18871.400000000001</v>
      </c>
      <c r="U332" s="234">
        <f t="shared" si="875"/>
        <v>18871.400000000001</v>
      </c>
      <c r="V332" s="93">
        <f>F332+125</f>
        <v>18851.400000000001</v>
      </c>
      <c r="W332" s="234">
        <f t="shared" si="876"/>
        <v>18851.400000000001</v>
      </c>
      <c r="X332" s="165"/>
      <c r="Y332" s="168"/>
      <c r="Z332" s="168"/>
      <c r="AA332" s="167"/>
      <c r="AB332" s="178">
        <v>1075</v>
      </c>
    </row>
    <row r="333" spans="1:29" ht="12.6" customHeight="1" x14ac:dyDescent="0.2">
      <c r="A333" s="17"/>
      <c r="B333" s="642" t="s">
        <v>961</v>
      </c>
      <c r="C333" s="914"/>
      <c r="D333" s="914"/>
      <c r="E333" s="914"/>
      <c r="F333" s="290">
        <v>9380</v>
      </c>
      <c r="G333" s="256">
        <f>+F333*$X$1</f>
        <v>9380</v>
      </c>
      <c r="H333" s="82"/>
      <c r="I333" s="256"/>
      <c r="J333" s="546">
        <f>F333+320</f>
        <v>9700</v>
      </c>
      <c r="K333" s="256">
        <f t="shared" ref="K333:K334" si="877">+J333*$X$1</f>
        <v>9700</v>
      </c>
      <c r="L333" s="546">
        <f>F333+260</f>
        <v>9640</v>
      </c>
      <c r="M333" s="256">
        <f t="shared" ref="M333" si="878">+L333*$X$1</f>
        <v>9640</v>
      </c>
      <c r="N333" s="546">
        <f>F333+220</f>
        <v>9600</v>
      </c>
      <c r="O333" s="256">
        <f t="shared" ref="O333" si="879">+N333*$X$1</f>
        <v>9600</v>
      </c>
      <c r="P333" s="546">
        <f>F333+190</f>
        <v>9570</v>
      </c>
      <c r="Q333" s="256">
        <f t="shared" ref="Q333" si="880">+P333*$X$1</f>
        <v>9570</v>
      </c>
      <c r="R333" s="546">
        <f>F333+160</f>
        <v>9540</v>
      </c>
      <c r="S333" s="256">
        <f t="shared" ref="S333" si="881">+R333*$X$1</f>
        <v>9540</v>
      </c>
      <c r="T333" s="546">
        <f>F333+130</f>
        <v>9510</v>
      </c>
      <c r="U333" s="256">
        <f t="shared" ref="U333" si="882">+T333*$X$1</f>
        <v>9510</v>
      </c>
      <c r="V333" s="546">
        <f>F333+110</f>
        <v>9490</v>
      </c>
      <c r="W333" s="256">
        <f t="shared" ref="W333" si="883">+V333*$X$1</f>
        <v>9490</v>
      </c>
      <c r="X333" s="627"/>
      <c r="Y333" s="628"/>
      <c r="Z333" s="628"/>
      <c r="AA333" s="629"/>
      <c r="AB333" s="178">
        <v>1076</v>
      </c>
    </row>
    <row r="334" spans="1:29" ht="12.6" customHeight="1" x14ac:dyDescent="0.2">
      <c r="A334" s="17"/>
      <c r="B334" s="690" t="s">
        <v>944</v>
      </c>
      <c r="C334" s="691"/>
      <c r="D334" s="691"/>
      <c r="E334" s="691"/>
      <c r="F334" s="329">
        <f>8.78*X2</f>
        <v>13521.199999999999</v>
      </c>
      <c r="G334" s="270">
        <f t="shared" ref="G334" si="884">+F334*$X$1</f>
        <v>13521.199999999999</v>
      </c>
      <c r="H334" s="68">
        <f>F334+720</f>
        <v>14241.199999999999</v>
      </c>
      <c r="I334" s="255">
        <f t="shared" ref="I334" si="885">+H334*$X$1</f>
        <v>14241.199999999999</v>
      </c>
      <c r="J334" s="537">
        <f>F334+320</f>
        <v>13841.199999999999</v>
      </c>
      <c r="K334" s="255">
        <f t="shared" si="877"/>
        <v>13841.199999999999</v>
      </c>
      <c r="L334" s="537">
        <f>F334+260</f>
        <v>13781.199999999999</v>
      </c>
      <c r="M334" s="255">
        <f t="shared" ref="M334" si="886">+L334*$X$1</f>
        <v>13781.199999999999</v>
      </c>
      <c r="N334" s="537">
        <f>F334+220</f>
        <v>13741.199999999999</v>
      </c>
      <c r="O334" s="255">
        <f t="shared" ref="O334" si="887">+N334*$X$1</f>
        <v>13741.199999999999</v>
      </c>
      <c r="P334" s="537">
        <f>F334+190</f>
        <v>13711.199999999999</v>
      </c>
      <c r="Q334" s="255">
        <f t="shared" ref="Q334" si="888">+P334*$X$1</f>
        <v>13711.199999999999</v>
      </c>
      <c r="R334" s="537">
        <f>F334+160</f>
        <v>13681.199999999999</v>
      </c>
      <c r="S334" s="255">
        <f t="shared" ref="S334" si="889">+R334*$X$1</f>
        <v>13681.199999999999</v>
      </c>
      <c r="T334" s="537">
        <f>F334+130</f>
        <v>13651.199999999999</v>
      </c>
      <c r="U334" s="255">
        <f t="shared" ref="U334" si="890">+T334*$X$1</f>
        <v>13651.199999999999</v>
      </c>
      <c r="V334" s="537">
        <f>F334+110</f>
        <v>13631.199999999999</v>
      </c>
      <c r="W334" s="255">
        <f t="shared" ref="W334" si="891">+V334*$X$1</f>
        <v>13631.199999999999</v>
      </c>
      <c r="X334" s="627"/>
      <c r="Y334" s="628"/>
      <c r="Z334" s="628"/>
      <c r="AA334" s="629"/>
      <c r="AB334" s="178">
        <v>1077</v>
      </c>
    </row>
    <row r="335" spans="1:29" ht="12.6" customHeight="1" x14ac:dyDescent="0.2">
      <c r="A335" s="17"/>
      <c r="B335" s="642" t="s">
        <v>345</v>
      </c>
      <c r="C335" s="914"/>
      <c r="D335" s="914"/>
      <c r="E335" s="914"/>
      <c r="F335" s="328">
        <f>6.03*X2</f>
        <v>9286.2000000000007</v>
      </c>
      <c r="G335" s="280">
        <f t="shared" ref="G335" si="892">+F335*$X$1</f>
        <v>9286.2000000000007</v>
      </c>
      <c r="H335" s="82">
        <f>F335+720</f>
        <v>10006.200000000001</v>
      </c>
      <c r="I335" s="256">
        <f t="shared" ref="I335:I340" si="893">+H335*$X$1</f>
        <v>10006.200000000001</v>
      </c>
      <c r="J335" s="546">
        <f>F335+320</f>
        <v>9606.2000000000007</v>
      </c>
      <c r="K335" s="256">
        <f t="shared" ref="K335:K340" si="894">+J335*$X$1</f>
        <v>9606.2000000000007</v>
      </c>
      <c r="L335" s="546">
        <f>F335+260</f>
        <v>9546.2000000000007</v>
      </c>
      <c r="M335" s="256">
        <f t="shared" ref="M335:M336" si="895">+L335*$X$1</f>
        <v>9546.2000000000007</v>
      </c>
      <c r="N335" s="546">
        <f>F335+220</f>
        <v>9506.2000000000007</v>
      </c>
      <c r="O335" s="256">
        <f t="shared" ref="O335:O336" si="896">+N335*$X$1</f>
        <v>9506.2000000000007</v>
      </c>
      <c r="P335" s="546">
        <f>F335+190</f>
        <v>9476.2000000000007</v>
      </c>
      <c r="Q335" s="256">
        <f t="shared" ref="Q335:Q336" si="897">+P335*$X$1</f>
        <v>9476.2000000000007</v>
      </c>
      <c r="R335" s="546">
        <f>F335+160</f>
        <v>9446.2000000000007</v>
      </c>
      <c r="S335" s="256">
        <f t="shared" ref="S335:S336" si="898">+R335*$X$1</f>
        <v>9446.2000000000007</v>
      </c>
      <c r="T335" s="546">
        <f>F335+130</f>
        <v>9416.2000000000007</v>
      </c>
      <c r="U335" s="256">
        <f t="shared" ref="U335:U336" si="899">+T335*$X$1</f>
        <v>9416.2000000000007</v>
      </c>
      <c r="V335" s="546">
        <f>F335+110</f>
        <v>9396.2000000000007</v>
      </c>
      <c r="W335" s="256">
        <f t="shared" ref="W335:W336" si="900">+V335*$X$1</f>
        <v>9396.2000000000007</v>
      </c>
      <c r="X335" s="627"/>
      <c r="Y335" s="628"/>
      <c r="Z335" s="628"/>
      <c r="AA335" s="629"/>
      <c r="AB335" s="178">
        <v>1078</v>
      </c>
    </row>
    <row r="336" spans="1:29" ht="12.6" customHeight="1" x14ac:dyDescent="0.2">
      <c r="A336" s="17"/>
      <c r="B336" s="699" t="s">
        <v>347</v>
      </c>
      <c r="C336" s="700"/>
      <c r="D336" s="700"/>
      <c r="E336" s="700"/>
      <c r="F336" s="329">
        <f>5.02*X2</f>
        <v>7730.7999999999993</v>
      </c>
      <c r="G336" s="270">
        <f t="shared" ref="G336" si="901">+F336*$X$1</f>
        <v>7730.7999999999993</v>
      </c>
      <c r="H336" s="68">
        <f>F336+720</f>
        <v>8450.7999999999993</v>
      </c>
      <c r="I336" s="255">
        <f t="shared" si="893"/>
        <v>8450.7999999999993</v>
      </c>
      <c r="J336" s="537">
        <f>F336+320</f>
        <v>8050.7999999999993</v>
      </c>
      <c r="K336" s="255">
        <f t="shared" si="894"/>
        <v>8050.7999999999993</v>
      </c>
      <c r="L336" s="537">
        <f>F336+260</f>
        <v>7990.7999999999993</v>
      </c>
      <c r="M336" s="255">
        <f t="shared" si="895"/>
        <v>7990.7999999999993</v>
      </c>
      <c r="N336" s="537">
        <f>F336+220</f>
        <v>7950.7999999999993</v>
      </c>
      <c r="O336" s="255">
        <f t="shared" si="896"/>
        <v>7950.7999999999993</v>
      </c>
      <c r="P336" s="537">
        <f>F336+190</f>
        <v>7920.7999999999993</v>
      </c>
      <c r="Q336" s="255">
        <f t="shared" si="897"/>
        <v>7920.7999999999993</v>
      </c>
      <c r="R336" s="537">
        <f>F336+160</f>
        <v>7890.7999999999993</v>
      </c>
      <c r="S336" s="255">
        <f t="shared" si="898"/>
        <v>7890.7999999999993</v>
      </c>
      <c r="T336" s="537">
        <f>F336+130</f>
        <v>7860.7999999999993</v>
      </c>
      <c r="U336" s="255">
        <f t="shared" si="899"/>
        <v>7860.7999999999993</v>
      </c>
      <c r="V336" s="537">
        <f>F336+110</f>
        <v>7840.7999999999993</v>
      </c>
      <c r="W336" s="255">
        <f t="shared" si="900"/>
        <v>7840.7999999999993</v>
      </c>
      <c r="X336" s="628"/>
      <c r="Y336" s="628"/>
      <c r="Z336" s="628"/>
      <c r="AA336" s="629"/>
      <c r="AB336" s="178">
        <v>1079</v>
      </c>
    </row>
    <row r="337" spans="1:34" ht="12.6" customHeight="1" x14ac:dyDescent="0.2">
      <c r="A337" s="17"/>
      <c r="B337" s="642" t="s">
        <v>467</v>
      </c>
      <c r="C337" s="643"/>
      <c r="D337" s="643"/>
      <c r="E337" s="643"/>
      <c r="F337" s="290">
        <v>16280</v>
      </c>
      <c r="G337" s="256">
        <f>+F337*$X$1</f>
        <v>16280</v>
      </c>
      <c r="H337" s="82">
        <f>F337+700</f>
        <v>16980</v>
      </c>
      <c r="I337" s="256">
        <f t="shared" si="893"/>
        <v>16980</v>
      </c>
      <c r="J337" s="546">
        <f>F337+300</f>
        <v>16580</v>
      </c>
      <c r="K337" s="256">
        <f t="shared" si="894"/>
        <v>16580</v>
      </c>
      <c r="L337" s="546">
        <f>F337+245</f>
        <v>16525</v>
      </c>
      <c r="M337" s="256">
        <f t="shared" ref="M337:M340" si="902">+L337*$X$1</f>
        <v>16525</v>
      </c>
      <c r="N337" s="546">
        <f>F337+200</f>
        <v>16480</v>
      </c>
      <c r="O337" s="256">
        <f t="shared" ref="O337:O340" si="903">+N337*$X$1</f>
        <v>16480</v>
      </c>
      <c r="P337" s="546">
        <f>F337+170</f>
        <v>16450</v>
      </c>
      <c r="Q337" s="256">
        <f t="shared" ref="Q337:Q340" si="904">+P337*$X$1</f>
        <v>16450</v>
      </c>
      <c r="R337" s="546">
        <f>F337+140</f>
        <v>16420</v>
      </c>
      <c r="S337" s="256">
        <f t="shared" ref="S337:S340" si="905">+R337*$X$1</f>
        <v>16420</v>
      </c>
      <c r="T337" s="546">
        <f>F337+110</f>
        <v>16390</v>
      </c>
      <c r="U337" s="256">
        <f t="shared" ref="U337:U340" si="906">+T337*$X$1</f>
        <v>16390</v>
      </c>
      <c r="V337" s="546">
        <f>F337+90</f>
        <v>16370</v>
      </c>
      <c r="W337" s="256">
        <f t="shared" ref="W337:W340" si="907">+V337*$X$1</f>
        <v>16370</v>
      </c>
      <c r="X337" s="628"/>
      <c r="Y337" s="628"/>
      <c r="Z337" s="628"/>
      <c r="AA337" s="629"/>
      <c r="AB337" s="178">
        <v>1080</v>
      </c>
      <c r="AC337" s="61"/>
    </row>
    <row r="338" spans="1:34" ht="12.6" customHeight="1" x14ac:dyDescent="0.2">
      <c r="A338" s="17"/>
      <c r="B338" s="630" t="s">
        <v>468</v>
      </c>
      <c r="C338" s="631"/>
      <c r="D338" s="631"/>
      <c r="E338" s="631"/>
      <c r="F338" s="291">
        <v>17550</v>
      </c>
      <c r="G338" s="255">
        <f>+F338*$X$1</f>
        <v>17550</v>
      </c>
      <c r="H338" s="68">
        <f>F338+700</f>
        <v>18250</v>
      </c>
      <c r="I338" s="255">
        <f t="shared" si="893"/>
        <v>18250</v>
      </c>
      <c r="J338" s="537">
        <f>F338+300</f>
        <v>17850</v>
      </c>
      <c r="K338" s="255">
        <f t="shared" si="894"/>
        <v>17850</v>
      </c>
      <c r="L338" s="537">
        <f>F338+245</f>
        <v>17795</v>
      </c>
      <c r="M338" s="255">
        <f t="shared" si="902"/>
        <v>17795</v>
      </c>
      <c r="N338" s="537">
        <f>F338+200</f>
        <v>17750</v>
      </c>
      <c r="O338" s="255">
        <f t="shared" si="903"/>
        <v>17750</v>
      </c>
      <c r="P338" s="537">
        <f>F338+170</f>
        <v>17720</v>
      </c>
      <c r="Q338" s="255">
        <f t="shared" si="904"/>
        <v>17720</v>
      </c>
      <c r="R338" s="537">
        <f>F338+140</f>
        <v>17690</v>
      </c>
      <c r="S338" s="255">
        <f t="shared" si="905"/>
        <v>17690</v>
      </c>
      <c r="T338" s="537">
        <f>F338+110</f>
        <v>17660</v>
      </c>
      <c r="U338" s="255">
        <f t="shared" si="906"/>
        <v>17660</v>
      </c>
      <c r="V338" s="537">
        <f>F338+90</f>
        <v>17640</v>
      </c>
      <c r="W338" s="255">
        <f t="shared" si="907"/>
        <v>17640</v>
      </c>
      <c r="X338" s="628"/>
      <c r="Y338" s="628"/>
      <c r="Z338" s="628"/>
      <c r="AA338" s="629"/>
      <c r="AB338" s="178">
        <v>1081</v>
      </c>
      <c r="AC338" s="61"/>
    </row>
    <row r="339" spans="1:34" ht="12.6" customHeight="1" x14ac:dyDescent="0.2">
      <c r="A339" s="17"/>
      <c r="B339" s="642" t="s">
        <v>386</v>
      </c>
      <c r="C339" s="643"/>
      <c r="D339" s="643"/>
      <c r="E339" s="643"/>
      <c r="F339" s="290">
        <v>14600</v>
      </c>
      <c r="G339" s="256">
        <f>+F339*$X$1</f>
        <v>14600</v>
      </c>
      <c r="H339" s="82">
        <f>F339+700</f>
        <v>15300</v>
      </c>
      <c r="I339" s="256">
        <f t="shared" si="893"/>
        <v>15300</v>
      </c>
      <c r="J339" s="546">
        <f>F339+300</f>
        <v>14900</v>
      </c>
      <c r="K339" s="256">
        <f t="shared" si="894"/>
        <v>14900</v>
      </c>
      <c r="L339" s="546">
        <f>F339+245</f>
        <v>14845</v>
      </c>
      <c r="M339" s="256">
        <f t="shared" si="902"/>
        <v>14845</v>
      </c>
      <c r="N339" s="546">
        <f>F339+200</f>
        <v>14800</v>
      </c>
      <c r="O339" s="256">
        <f t="shared" si="903"/>
        <v>14800</v>
      </c>
      <c r="P339" s="546">
        <f>F339+170</f>
        <v>14770</v>
      </c>
      <c r="Q339" s="256">
        <f t="shared" si="904"/>
        <v>14770</v>
      </c>
      <c r="R339" s="546">
        <f>F339+140</f>
        <v>14740</v>
      </c>
      <c r="S339" s="256">
        <f t="shared" si="905"/>
        <v>14740</v>
      </c>
      <c r="T339" s="546">
        <f>F339+110</f>
        <v>14710</v>
      </c>
      <c r="U339" s="256">
        <f t="shared" si="906"/>
        <v>14710</v>
      </c>
      <c r="V339" s="546">
        <f>F339+90</f>
        <v>14690</v>
      </c>
      <c r="W339" s="256">
        <f t="shared" si="907"/>
        <v>14690</v>
      </c>
      <c r="X339" s="628"/>
      <c r="Y339" s="628"/>
      <c r="Z339" s="628"/>
      <c r="AA339" s="629"/>
      <c r="AB339" s="178">
        <v>1083</v>
      </c>
      <c r="AC339" s="61"/>
    </row>
    <row r="340" spans="1:34" ht="12.6" customHeight="1" x14ac:dyDescent="0.2">
      <c r="A340" s="17"/>
      <c r="B340" s="690" t="s">
        <v>962</v>
      </c>
      <c r="C340" s="691"/>
      <c r="D340" s="691"/>
      <c r="E340" s="691"/>
      <c r="F340" s="329">
        <f>8.53*X2</f>
        <v>13136.199999999999</v>
      </c>
      <c r="G340" s="270">
        <f t="shared" ref="G340" si="908">+F340*$X$1</f>
        <v>13136.199999999999</v>
      </c>
      <c r="H340" s="68">
        <f>F340+720</f>
        <v>13856.199999999999</v>
      </c>
      <c r="I340" s="255">
        <f t="shared" si="893"/>
        <v>13856.199999999999</v>
      </c>
      <c r="J340" s="537">
        <f>F340+320</f>
        <v>13456.199999999999</v>
      </c>
      <c r="K340" s="255">
        <f t="shared" si="894"/>
        <v>13456.199999999999</v>
      </c>
      <c r="L340" s="537">
        <f>F340+260</f>
        <v>13396.199999999999</v>
      </c>
      <c r="M340" s="255">
        <f t="shared" si="902"/>
        <v>13396.199999999999</v>
      </c>
      <c r="N340" s="537">
        <f>F340+220</f>
        <v>13356.199999999999</v>
      </c>
      <c r="O340" s="255">
        <f t="shared" si="903"/>
        <v>13356.199999999999</v>
      </c>
      <c r="P340" s="537">
        <f>F340+190</f>
        <v>13326.199999999999</v>
      </c>
      <c r="Q340" s="255">
        <f t="shared" si="904"/>
        <v>13326.199999999999</v>
      </c>
      <c r="R340" s="537">
        <f>F340+160</f>
        <v>13296.199999999999</v>
      </c>
      <c r="S340" s="255">
        <f t="shared" si="905"/>
        <v>13296.199999999999</v>
      </c>
      <c r="T340" s="537">
        <f>F340+130</f>
        <v>13266.199999999999</v>
      </c>
      <c r="U340" s="255">
        <f t="shared" si="906"/>
        <v>13266.199999999999</v>
      </c>
      <c r="V340" s="537">
        <f>F340+110</f>
        <v>13246.199999999999</v>
      </c>
      <c r="W340" s="255">
        <f t="shared" si="907"/>
        <v>13246.199999999999</v>
      </c>
      <c r="X340" s="627"/>
      <c r="Y340" s="628"/>
      <c r="Z340" s="628"/>
      <c r="AA340" s="629"/>
      <c r="AB340" s="178">
        <v>1087</v>
      </c>
    </row>
    <row r="341" spans="1:34" ht="12.6" customHeight="1" x14ac:dyDescent="0.2">
      <c r="A341" s="17"/>
      <c r="B341" s="690" t="s">
        <v>963</v>
      </c>
      <c r="C341" s="691"/>
      <c r="D341" s="691"/>
      <c r="E341" s="691"/>
      <c r="F341" s="584">
        <v>42100</v>
      </c>
      <c r="G341" s="256">
        <f>+F341*$X$1</f>
        <v>42100</v>
      </c>
      <c r="H341" s="546">
        <f>F341+700</f>
        <v>42800</v>
      </c>
      <c r="I341" s="256">
        <f t="shared" ref="I341:I342" si="909">+H341*$X$1</f>
        <v>42800</v>
      </c>
      <c r="J341" s="546">
        <f>F341+350</f>
        <v>42450</v>
      </c>
      <c r="K341" s="256">
        <f t="shared" ref="K341:K342" si="910">+J341*$X$1</f>
        <v>42450</v>
      </c>
      <c r="L341" s="546">
        <f>F341+300</f>
        <v>42400</v>
      </c>
      <c r="M341" s="256">
        <f>+L341*$X$1</f>
        <v>42400</v>
      </c>
      <c r="N341" s="546">
        <f>F341+260</f>
        <v>42360</v>
      </c>
      <c r="O341" s="256">
        <f>+N341*$X$1</f>
        <v>42360</v>
      </c>
      <c r="P341" s="546">
        <f>F341+230</f>
        <v>42330</v>
      </c>
      <c r="Q341" s="256">
        <f>+P341*$X$1</f>
        <v>42330</v>
      </c>
      <c r="R341" s="546">
        <f>F341+210</f>
        <v>42310</v>
      </c>
      <c r="S341" s="256">
        <f>+R341*$X$1</f>
        <v>42310</v>
      </c>
      <c r="T341" s="92">
        <f>F341+190</f>
        <v>42290</v>
      </c>
      <c r="U341" s="269">
        <f>+T341*$X$1</f>
        <v>42290</v>
      </c>
      <c r="V341" s="92">
        <f>F341+160</f>
        <v>42260</v>
      </c>
      <c r="W341" s="256">
        <f>+V341*$X$1</f>
        <v>42260</v>
      </c>
      <c r="X341" s="627"/>
      <c r="Y341" s="628"/>
      <c r="Z341" s="628"/>
      <c r="AA341" s="629"/>
      <c r="AB341" s="178">
        <v>1107</v>
      </c>
    </row>
    <row r="342" spans="1:34" ht="12.6" customHeight="1" x14ac:dyDescent="0.2">
      <c r="A342" s="17"/>
      <c r="B342" s="699" t="s">
        <v>737</v>
      </c>
      <c r="C342" s="700"/>
      <c r="D342" s="700"/>
      <c r="E342" s="700"/>
      <c r="F342" s="326">
        <f>2.3*X2</f>
        <v>3541.9999999999995</v>
      </c>
      <c r="G342" s="255">
        <f t="shared" ref="G342" si="911">+F342*$X$1</f>
        <v>3541.9999999999995</v>
      </c>
      <c r="H342" s="537">
        <f t="shared" ref="H342" si="912">F342+700</f>
        <v>4242</v>
      </c>
      <c r="I342" s="255">
        <f t="shared" si="909"/>
        <v>4242</v>
      </c>
      <c r="J342" s="68">
        <f t="shared" ref="J342" si="913">F342+280</f>
        <v>3821.9999999999995</v>
      </c>
      <c r="K342" s="255">
        <f t="shared" si="910"/>
        <v>3821.9999999999995</v>
      </c>
      <c r="L342" s="537">
        <f t="shared" ref="L342" si="914">F342+210</f>
        <v>3751.9999999999995</v>
      </c>
      <c r="M342" s="255">
        <f t="shared" ref="M342" si="915">+L342*$X$1</f>
        <v>3751.9999999999995</v>
      </c>
      <c r="N342" s="537">
        <f t="shared" ref="N342" si="916">F342+160</f>
        <v>3701.9999999999995</v>
      </c>
      <c r="O342" s="255">
        <f t="shared" ref="O342" si="917">+N342*$X$1</f>
        <v>3701.9999999999995</v>
      </c>
      <c r="P342" s="537">
        <f t="shared" ref="P342" si="918">F342+130</f>
        <v>3671.9999999999995</v>
      </c>
      <c r="Q342" s="255">
        <f t="shared" ref="Q342" si="919">+P342*$X$1</f>
        <v>3671.9999999999995</v>
      </c>
      <c r="R342" s="537">
        <f t="shared" ref="R342" si="920">F342+110</f>
        <v>3651.9999999999995</v>
      </c>
      <c r="S342" s="255">
        <f t="shared" ref="S342" si="921">+R342*$X$1</f>
        <v>3651.9999999999995</v>
      </c>
      <c r="T342" s="537">
        <f t="shared" ref="T342" si="922">F342+90</f>
        <v>3631.9999999999995</v>
      </c>
      <c r="U342" s="255">
        <f t="shared" ref="U342" si="923">+T342*$X$1</f>
        <v>3631.9999999999995</v>
      </c>
      <c r="V342" s="537">
        <f t="shared" ref="V342" si="924">F342+70</f>
        <v>3611.9999999999995</v>
      </c>
      <c r="W342" s="255">
        <f t="shared" ref="W342" si="925">+V342*$X$1</f>
        <v>3611.9999999999995</v>
      </c>
      <c r="X342" s="647"/>
      <c r="Y342" s="1139"/>
      <c r="Z342" s="1139"/>
      <c r="AA342" s="1140"/>
      <c r="AB342" s="345">
        <v>2130</v>
      </c>
      <c r="AC342" s="62"/>
    </row>
    <row r="343" spans="1:34" ht="12.6" customHeight="1" x14ac:dyDescent="0.2">
      <c r="A343" s="17"/>
      <c r="B343" s="656" t="s">
        <v>738</v>
      </c>
      <c r="C343" s="747"/>
      <c r="D343" s="747"/>
      <c r="E343" s="747"/>
      <c r="F343" s="327">
        <f>2*X2</f>
        <v>3080</v>
      </c>
      <c r="G343" s="256">
        <f t="shared" ref="G343" si="926">+F343*$X$1</f>
        <v>3080</v>
      </c>
      <c r="H343" s="546">
        <f>F343+700</f>
        <v>3780</v>
      </c>
      <c r="I343" s="256">
        <f t="shared" ref="I343" si="927">+H343*$X$1</f>
        <v>3780</v>
      </c>
      <c r="J343" s="82">
        <f>F343+280</f>
        <v>3360</v>
      </c>
      <c r="K343" s="256">
        <f t="shared" ref="K343" si="928">+J343*$X$1</f>
        <v>3360</v>
      </c>
      <c r="L343" s="546"/>
      <c r="M343" s="256"/>
      <c r="N343" s="546"/>
      <c r="O343" s="256"/>
      <c r="P343" s="546"/>
      <c r="Q343" s="256"/>
      <c r="R343" s="546"/>
      <c r="S343" s="256"/>
      <c r="T343" s="546"/>
      <c r="U343" s="256"/>
      <c r="V343" s="546"/>
      <c r="W343" s="256"/>
      <c r="X343" s="647"/>
      <c r="Y343" s="1139"/>
      <c r="Z343" s="1139"/>
      <c r="AA343" s="1140"/>
      <c r="AB343" s="345">
        <v>2131</v>
      </c>
      <c r="AC343" s="62"/>
    </row>
    <row r="344" spans="1:34" ht="12.6" customHeight="1" x14ac:dyDescent="0.2">
      <c r="A344" s="94"/>
      <c r="B344" s="630" t="s">
        <v>193</v>
      </c>
      <c r="C344" s="631"/>
      <c r="D344" s="631"/>
      <c r="E344" s="631"/>
      <c r="F344" s="326">
        <f>0.41*X2</f>
        <v>631.4</v>
      </c>
      <c r="G344" s="255">
        <f t="shared" ref="G344:G345" si="929">+F344*$X$1</f>
        <v>631.4</v>
      </c>
      <c r="H344" s="251"/>
      <c r="I344" s="302"/>
      <c r="J344" s="537"/>
      <c r="K344" s="255"/>
      <c r="L344" s="537">
        <f>F344+200</f>
        <v>831.4</v>
      </c>
      <c r="M344" s="255">
        <f t="shared" ref="M344" si="930">+L344*$X$1</f>
        <v>831.4</v>
      </c>
      <c r="N344" s="537">
        <f>F344+120</f>
        <v>751.4</v>
      </c>
      <c r="O344" s="255">
        <f t="shared" ref="O344" si="931">+N344*$X$1</f>
        <v>751.4</v>
      </c>
      <c r="P344" s="537">
        <f>F344+80</f>
        <v>711.4</v>
      </c>
      <c r="Q344" s="255">
        <f t="shared" ref="Q344" si="932">+P344*$X$1</f>
        <v>711.4</v>
      </c>
      <c r="R344" s="537">
        <f>F344+67</f>
        <v>698.4</v>
      </c>
      <c r="S344" s="255">
        <f t="shared" ref="S344" si="933">+R344*$X$1</f>
        <v>698.4</v>
      </c>
      <c r="T344" s="93">
        <f>F344+53</f>
        <v>684.4</v>
      </c>
      <c r="U344" s="234">
        <f t="shared" ref="U344" si="934">+T344*$X$1</f>
        <v>684.4</v>
      </c>
      <c r="V344" s="93">
        <f>F344+40</f>
        <v>671.4</v>
      </c>
      <c r="W344" s="234">
        <f t="shared" ref="W344" si="935">+V344*$X$1</f>
        <v>671.4</v>
      </c>
      <c r="X344" s="121"/>
      <c r="Y344" s="119"/>
      <c r="Z344" s="119"/>
      <c r="AA344" s="119"/>
      <c r="AB344" s="345">
        <v>2145</v>
      </c>
      <c r="AC344" s="62"/>
    </row>
    <row r="345" spans="1:34" ht="12.6" customHeight="1" x14ac:dyDescent="0.25">
      <c r="A345" s="115"/>
      <c r="B345" s="642" t="s">
        <v>869</v>
      </c>
      <c r="C345" s="643"/>
      <c r="D345" s="643"/>
      <c r="E345" s="643"/>
      <c r="F345" s="327">
        <v>170</v>
      </c>
      <c r="G345" s="256">
        <f t="shared" si="929"/>
        <v>170</v>
      </c>
      <c r="H345" s="250"/>
      <c r="I345" s="303"/>
      <c r="J345" s="473"/>
      <c r="K345" s="256"/>
      <c r="L345" s="474"/>
      <c r="M345" s="256"/>
      <c r="N345" s="474"/>
      <c r="O345" s="475"/>
      <c r="P345" s="250"/>
      <c r="Q345" s="303"/>
      <c r="R345" s="474"/>
      <c r="S345" s="475"/>
      <c r="T345" s="474"/>
      <c r="U345" s="475"/>
      <c r="V345" s="474"/>
      <c r="W345" s="475"/>
      <c r="X345" s="119"/>
      <c r="Y345" s="119"/>
      <c r="Z345" s="119"/>
      <c r="AA345" s="119"/>
      <c r="AB345" s="178">
        <v>2147</v>
      </c>
    </row>
    <row r="346" spans="1:34" ht="12.6" customHeight="1" x14ac:dyDescent="0.2">
      <c r="A346" s="17"/>
      <c r="B346" s="630" t="s">
        <v>194</v>
      </c>
      <c r="C346" s="631"/>
      <c r="D346" s="631"/>
      <c r="E346" s="631"/>
      <c r="F346" s="326">
        <v>51</v>
      </c>
      <c r="G346" s="255">
        <f t="shared" ref="G346:G350" si="936">+F346*$X$1</f>
        <v>51</v>
      </c>
      <c r="H346" s="251"/>
      <c r="I346" s="302"/>
      <c r="J346" s="537">
        <f>F346+240</f>
        <v>291</v>
      </c>
      <c r="K346" s="255">
        <f t="shared" ref="K346" si="937">+J346*$X$1</f>
        <v>291</v>
      </c>
      <c r="L346" s="537">
        <f>F346+200</f>
        <v>251</v>
      </c>
      <c r="M346" s="255">
        <f t="shared" ref="M346" si="938">+L346*$X$1</f>
        <v>251</v>
      </c>
      <c r="N346" s="537">
        <f>F346+120</f>
        <v>171</v>
      </c>
      <c r="O346" s="255">
        <f t="shared" ref="O346" si="939">+N346*$X$1</f>
        <v>171</v>
      </c>
      <c r="P346" s="537">
        <f>F346+80</f>
        <v>131</v>
      </c>
      <c r="Q346" s="255">
        <f t="shared" ref="Q346" si="940">+P346*$X$1</f>
        <v>131</v>
      </c>
      <c r="R346" s="537">
        <f>F346+67</f>
        <v>118</v>
      </c>
      <c r="S346" s="255">
        <f t="shared" ref="S346" si="941">+R346*$X$1</f>
        <v>118</v>
      </c>
      <c r="T346" s="93">
        <f>F346+53</f>
        <v>104</v>
      </c>
      <c r="U346" s="234">
        <f t="shared" ref="U346" si="942">+T346*$X$1</f>
        <v>104</v>
      </c>
      <c r="V346" s="93">
        <f>F346+40</f>
        <v>91</v>
      </c>
      <c r="W346" s="234">
        <f t="shared" ref="W346" si="943">+V346*$X$1</f>
        <v>91</v>
      </c>
      <c r="X346" s="119"/>
      <c r="Y346" s="119"/>
      <c r="Z346" s="119"/>
      <c r="AA346" s="119"/>
      <c r="AB346" s="345">
        <v>2149</v>
      </c>
    </row>
    <row r="347" spans="1:34" ht="12.6" customHeight="1" x14ac:dyDescent="0.25">
      <c r="A347" s="115"/>
      <c r="B347" s="642" t="s">
        <v>195</v>
      </c>
      <c r="C347" s="643"/>
      <c r="D347" s="643"/>
      <c r="E347" s="643"/>
      <c r="F347" s="327">
        <f>0.85*X2</f>
        <v>1309</v>
      </c>
      <c r="G347" s="256">
        <f t="shared" si="936"/>
        <v>1309</v>
      </c>
      <c r="H347" s="250"/>
      <c r="I347" s="303"/>
      <c r="J347" s="473"/>
      <c r="K347" s="256"/>
      <c r="L347" s="474"/>
      <c r="M347" s="256"/>
      <c r="N347" s="474"/>
      <c r="O347" s="475"/>
      <c r="P347" s="250"/>
      <c r="Q347" s="303"/>
      <c r="R347" s="474"/>
      <c r="S347" s="475"/>
      <c r="T347" s="474"/>
      <c r="U347" s="475"/>
      <c r="V347" s="474"/>
      <c r="W347" s="475"/>
      <c r="X347" s="119"/>
      <c r="Y347" s="119"/>
      <c r="Z347" s="119"/>
      <c r="AA347" s="119"/>
      <c r="AB347" s="178">
        <v>2151</v>
      </c>
    </row>
    <row r="348" spans="1:34" ht="12.6" customHeight="1" x14ac:dyDescent="0.2">
      <c r="A348" s="17"/>
      <c r="B348" s="699" t="s">
        <v>196</v>
      </c>
      <c r="C348" s="702"/>
      <c r="D348" s="702"/>
      <c r="E348" s="702"/>
      <c r="F348" s="329">
        <f>0.52*X2</f>
        <v>800.80000000000007</v>
      </c>
      <c r="G348" s="270">
        <f t="shared" si="936"/>
        <v>800.80000000000007</v>
      </c>
      <c r="H348" s="414"/>
      <c r="I348" s="600"/>
      <c r="J348" s="93"/>
      <c r="K348" s="270"/>
      <c r="L348" s="537">
        <f>F348+200</f>
        <v>1000.8000000000001</v>
      </c>
      <c r="M348" s="255">
        <f t="shared" ref="M348" si="944">+L348*$X$1</f>
        <v>1000.8000000000001</v>
      </c>
      <c r="N348" s="537">
        <f>F348+120</f>
        <v>920.80000000000007</v>
      </c>
      <c r="O348" s="255">
        <f t="shared" ref="O348" si="945">+N348*$X$1</f>
        <v>920.80000000000007</v>
      </c>
      <c r="P348" s="537">
        <f>F348+80</f>
        <v>880.80000000000007</v>
      </c>
      <c r="Q348" s="255">
        <f t="shared" ref="Q348" si="946">+P348*$X$1</f>
        <v>880.80000000000007</v>
      </c>
      <c r="R348" s="537">
        <f>F348+67</f>
        <v>867.80000000000007</v>
      </c>
      <c r="S348" s="255">
        <f t="shared" ref="S348" si="947">+R348*$X$1</f>
        <v>867.80000000000007</v>
      </c>
      <c r="T348" s="93">
        <f>F348+53</f>
        <v>853.80000000000007</v>
      </c>
      <c r="U348" s="234">
        <f t="shared" ref="U348" si="948">+T348*$X$1</f>
        <v>853.80000000000007</v>
      </c>
      <c r="V348" s="93">
        <f>F348+40</f>
        <v>840.80000000000007</v>
      </c>
      <c r="W348" s="234">
        <f t="shared" ref="W348" si="949">+V348*$X$1</f>
        <v>840.80000000000007</v>
      </c>
      <c r="X348" s="119"/>
      <c r="Y348" s="119"/>
      <c r="Z348" s="119"/>
      <c r="AA348" s="119"/>
      <c r="AB348" s="359">
        <v>2153</v>
      </c>
      <c r="AC348" s="62"/>
    </row>
    <row r="349" spans="1:34" ht="12.6" customHeight="1" x14ac:dyDescent="0.2">
      <c r="A349" s="17"/>
      <c r="B349" s="642" t="s">
        <v>339</v>
      </c>
      <c r="C349" s="643"/>
      <c r="D349" s="643"/>
      <c r="E349" s="643"/>
      <c r="F349" s="327">
        <f>0.43*X2</f>
        <v>662.2</v>
      </c>
      <c r="G349" s="256">
        <f t="shared" si="936"/>
        <v>662.2</v>
      </c>
      <c r="H349" s="250"/>
      <c r="I349" s="303"/>
      <c r="J349" s="546"/>
      <c r="K349" s="256"/>
      <c r="L349" s="546">
        <f t="shared" ref="L349:L354" si="950">F349+200</f>
        <v>862.2</v>
      </c>
      <c r="M349" s="256">
        <f t="shared" ref="M349:M354" si="951">+L349*$X$1</f>
        <v>862.2</v>
      </c>
      <c r="N349" s="546">
        <f t="shared" ref="N349:N354" si="952">F349+120</f>
        <v>782.2</v>
      </c>
      <c r="O349" s="256">
        <f t="shared" ref="O349:O354" si="953">+N349*$X$1</f>
        <v>782.2</v>
      </c>
      <c r="P349" s="546">
        <f t="shared" ref="P349:P354" si="954">F349+80</f>
        <v>742.2</v>
      </c>
      <c r="Q349" s="256">
        <f t="shared" ref="Q349:Q354" si="955">+P349*$X$1</f>
        <v>742.2</v>
      </c>
      <c r="R349" s="546">
        <f t="shared" ref="R349:R354" si="956">F349+67</f>
        <v>729.2</v>
      </c>
      <c r="S349" s="256">
        <f t="shared" ref="S349:S354" si="957">+R349*$X$1</f>
        <v>729.2</v>
      </c>
      <c r="T349" s="92">
        <f t="shared" ref="T349:T354" si="958">F349+53</f>
        <v>715.2</v>
      </c>
      <c r="U349" s="269">
        <f t="shared" ref="U349:U354" si="959">+T349*$X$1</f>
        <v>715.2</v>
      </c>
      <c r="V349" s="92">
        <f t="shared" ref="V349:V354" si="960">F349+40</f>
        <v>702.2</v>
      </c>
      <c r="W349" s="269">
        <f t="shared" ref="W349:W354" si="961">+V349*$X$1</f>
        <v>702.2</v>
      </c>
      <c r="X349" s="119"/>
      <c r="Y349" s="126"/>
      <c r="Z349" s="126"/>
      <c r="AA349" s="126"/>
      <c r="AB349" s="358">
        <v>2154</v>
      </c>
      <c r="AC349" s="21"/>
      <c r="AD349" s="21"/>
    </row>
    <row r="350" spans="1:34" ht="12.6" customHeight="1" x14ac:dyDescent="0.2">
      <c r="A350" s="17"/>
      <c r="B350" s="630" t="s">
        <v>340</v>
      </c>
      <c r="C350" s="631"/>
      <c r="D350" s="631"/>
      <c r="E350" s="631"/>
      <c r="F350" s="326">
        <f>0.503*X2</f>
        <v>774.62</v>
      </c>
      <c r="G350" s="255">
        <f t="shared" si="936"/>
        <v>774.62</v>
      </c>
      <c r="H350" s="251"/>
      <c r="I350" s="302"/>
      <c r="J350" s="537"/>
      <c r="K350" s="255"/>
      <c r="L350" s="537">
        <f t="shared" si="950"/>
        <v>974.62</v>
      </c>
      <c r="M350" s="255">
        <f t="shared" si="951"/>
        <v>974.62</v>
      </c>
      <c r="N350" s="537">
        <f t="shared" si="952"/>
        <v>894.62</v>
      </c>
      <c r="O350" s="255">
        <f t="shared" si="953"/>
        <v>894.62</v>
      </c>
      <c r="P350" s="537">
        <f t="shared" si="954"/>
        <v>854.62</v>
      </c>
      <c r="Q350" s="255">
        <f t="shared" si="955"/>
        <v>854.62</v>
      </c>
      <c r="R350" s="537">
        <f t="shared" si="956"/>
        <v>841.62</v>
      </c>
      <c r="S350" s="255">
        <f t="shared" si="957"/>
        <v>841.62</v>
      </c>
      <c r="T350" s="93">
        <f t="shared" si="958"/>
        <v>827.62</v>
      </c>
      <c r="U350" s="234">
        <f t="shared" si="959"/>
        <v>827.62</v>
      </c>
      <c r="V350" s="93">
        <f t="shared" si="960"/>
        <v>814.62</v>
      </c>
      <c r="W350" s="234">
        <f t="shared" si="961"/>
        <v>814.62</v>
      </c>
      <c r="X350" s="138"/>
      <c r="Y350" s="119"/>
      <c r="Z350" s="126"/>
      <c r="AA350" s="126"/>
      <c r="AB350" s="358">
        <v>2156</v>
      </c>
      <c r="AC350" s="21"/>
      <c r="AD350" s="21"/>
    </row>
    <row r="351" spans="1:34" ht="12.6" customHeight="1" x14ac:dyDescent="0.2">
      <c r="A351" s="17"/>
      <c r="B351" s="639" t="s">
        <v>197</v>
      </c>
      <c r="C351" s="649"/>
      <c r="D351" s="649"/>
      <c r="E351" s="650"/>
      <c r="F351" s="327">
        <f>0.428*X2</f>
        <v>659.12</v>
      </c>
      <c r="G351" s="256">
        <f t="shared" ref="G351" si="962">+F351*$X$1</f>
        <v>659.12</v>
      </c>
      <c r="H351" s="250"/>
      <c r="I351" s="303"/>
      <c r="J351" s="546"/>
      <c r="K351" s="256"/>
      <c r="L351" s="546">
        <f t="shared" si="950"/>
        <v>859.12</v>
      </c>
      <c r="M351" s="256">
        <f t="shared" si="951"/>
        <v>859.12</v>
      </c>
      <c r="N351" s="546">
        <f t="shared" si="952"/>
        <v>779.12</v>
      </c>
      <c r="O351" s="256">
        <f t="shared" si="953"/>
        <v>779.12</v>
      </c>
      <c r="P351" s="546">
        <f t="shared" si="954"/>
        <v>739.12</v>
      </c>
      <c r="Q351" s="256">
        <f t="shared" si="955"/>
        <v>739.12</v>
      </c>
      <c r="R351" s="546">
        <f t="shared" si="956"/>
        <v>726.12</v>
      </c>
      <c r="S351" s="256">
        <f t="shared" si="957"/>
        <v>726.12</v>
      </c>
      <c r="T351" s="92">
        <f t="shared" si="958"/>
        <v>712.12</v>
      </c>
      <c r="U351" s="269">
        <f t="shared" si="959"/>
        <v>712.12</v>
      </c>
      <c r="V351" s="92">
        <f t="shared" si="960"/>
        <v>699.12</v>
      </c>
      <c r="W351" s="269">
        <f t="shared" si="961"/>
        <v>699.12</v>
      </c>
      <c r="X351" s="119"/>
      <c r="Y351" s="126"/>
      <c r="Z351" s="126"/>
      <c r="AA351" s="126"/>
      <c r="AB351" s="358">
        <v>2160</v>
      </c>
      <c r="AC351" s="21"/>
      <c r="AD351" s="21"/>
      <c r="AH351" s="61"/>
    </row>
    <row r="352" spans="1:34" ht="12.6" customHeight="1" x14ac:dyDescent="0.2">
      <c r="A352" s="88"/>
      <c r="B352" s="676" t="s">
        <v>198</v>
      </c>
      <c r="C352" s="677"/>
      <c r="D352" s="677"/>
      <c r="E352" s="678"/>
      <c r="F352" s="326">
        <f>0.466*X2</f>
        <v>717.64</v>
      </c>
      <c r="G352" s="234">
        <f t="shared" ref="G352" si="963">+F352*$X$1</f>
        <v>717.64</v>
      </c>
      <c r="H352" s="537"/>
      <c r="I352" s="537"/>
      <c r="J352" s="110"/>
      <c r="K352" s="255"/>
      <c r="L352" s="537">
        <f t="shared" si="950"/>
        <v>917.64</v>
      </c>
      <c r="M352" s="255">
        <f t="shared" si="951"/>
        <v>917.64</v>
      </c>
      <c r="N352" s="537">
        <f t="shared" si="952"/>
        <v>837.64</v>
      </c>
      <c r="O352" s="255">
        <f t="shared" si="953"/>
        <v>837.64</v>
      </c>
      <c r="P352" s="537">
        <f t="shared" si="954"/>
        <v>797.64</v>
      </c>
      <c r="Q352" s="255">
        <f t="shared" si="955"/>
        <v>797.64</v>
      </c>
      <c r="R352" s="537">
        <f t="shared" si="956"/>
        <v>784.64</v>
      </c>
      <c r="S352" s="255">
        <f t="shared" si="957"/>
        <v>784.64</v>
      </c>
      <c r="T352" s="93">
        <f t="shared" si="958"/>
        <v>770.64</v>
      </c>
      <c r="U352" s="234">
        <f t="shared" si="959"/>
        <v>770.64</v>
      </c>
      <c r="V352" s="93">
        <f t="shared" si="960"/>
        <v>757.64</v>
      </c>
      <c r="W352" s="234">
        <f t="shared" si="961"/>
        <v>757.64</v>
      </c>
      <c r="X352" s="119"/>
      <c r="Y352" s="126"/>
      <c r="Z352" s="126"/>
      <c r="AA352" s="126"/>
      <c r="AB352" s="345">
        <v>2174</v>
      </c>
      <c r="AC352" s="63"/>
      <c r="AD352" s="21"/>
    </row>
    <row r="353" spans="1:31" ht="12.6" customHeight="1" x14ac:dyDescent="0.2">
      <c r="A353" s="88"/>
      <c r="B353" s="1152" t="s">
        <v>199</v>
      </c>
      <c r="C353" s="1153"/>
      <c r="D353" s="1153"/>
      <c r="E353" s="1154"/>
      <c r="F353" s="327">
        <f>0.466*X2</f>
        <v>717.64</v>
      </c>
      <c r="G353" s="269">
        <f>+F353*$X$1</f>
        <v>717.64</v>
      </c>
      <c r="H353" s="546"/>
      <c r="I353" s="546"/>
      <c r="J353" s="109"/>
      <c r="K353" s="256"/>
      <c r="L353" s="546">
        <f t="shared" si="950"/>
        <v>917.64</v>
      </c>
      <c r="M353" s="256">
        <f t="shared" si="951"/>
        <v>917.64</v>
      </c>
      <c r="N353" s="546">
        <f t="shared" si="952"/>
        <v>837.64</v>
      </c>
      <c r="O353" s="256">
        <f t="shared" si="953"/>
        <v>837.64</v>
      </c>
      <c r="P353" s="546">
        <f t="shared" si="954"/>
        <v>797.64</v>
      </c>
      <c r="Q353" s="256">
        <f t="shared" si="955"/>
        <v>797.64</v>
      </c>
      <c r="R353" s="546">
        <f t="shared" si="956"/>
        <v>784.64</v>
      </c>
      <c r="S353" s="256">
        <f t="shared" si="957"/>
        <v>784.64</v>
      </c>
      <c r="T353" s="92">
        <f t="shared" si="958"/>
        <v>770.64</v>
      </c>
      <c r="U353" s="269">
        <f t="shared" si="959"/>
        <v>770.64</v>
      </c>
      <c r="V353" s="92">
        <f t="shared" si="960"/>
        <v>757.64</v>
      </c>
      <c r="W353" s="269">
        <f t="shared" si="961"/>
        <v>757.64</v>
      </c>
      <c r="X353" s="119"/>
      <c r="Y353" s="126"/>
      <c r="Z353" s="126"/>
      <c r="AA353" s="126"/>
      <c r="AB353" s="345" t="s">
        <v>304</v>
      </c>
      <c r="AC353" s="63"/>
      <c r="AD353" s="21"/>
    </row>
    <row r="354" spans="1:31" ht="12.6" customHeight="1" x14ac:dyDescent="0.2">
      <c r="A354" s="88"/>
      <c r="B354" s="630" t="s">
        <v>616</v>
      </c>
      <c r="C354" s="631"/>
      <c r="D354" s="631"/>
      <c r="E354" s="631"/>
      <c r="F354" s="326">
        <f>0.484*X2</f>
        <v>745.36</v>
      </c>
      <c r="G354" s="234">
        <f>+F354*$X$1</f>
        <v>745.36</v>
      </c>
      <c r="H354" s="537"/>
      <c r="I354" s="537"/>
      <c r="J354" s="110"/>
      <c r="K354" s="255"/>
      <c r="L354" s="537">
        <f t="shared" si="950"/>
        <v>945.36</v>
      </c>
      <c r="M354" s="255">
        <f t="shared" si="951"/>
        <v>945.36</v>
      </c>
      <c r="N354" s="537">
        <f t="shared" si="952"/>
        <v>865.36</v>
      </c>
      <c r="O354" s="255">
        <f t="shared" si="953"/>
        <v>865.36</v>
      </c>
      <c r="P354" s="537">
        <f t="shared" si="954"/>
        <v>825.36</v>
      </c>
      <c r="Q354" s="255">
        <f t="shared" si="955"/>
        <v>825.36</v>
      </c>
      <c r="R354" s="537">
        <f t="shared" si="956"/>
        <v>812.36</v>
      </c>
      <c r="S354" s="255">
        <f t="shared" si="957"/>
        <v>812.36</v>
      </c>
      <c r="T354" s="93">
        <f t="shared" si="958"/>
        <v>798.36</v>
      </c>
      <c r="U354" s="234">
        <f t="shared" si="959"/>
        <v>798.36</v>
      </c>
      <c r="V354" s="93">
        <f t="shared" si="960"/>
        <v>785.36</v>
      </c>
      <c r="W354" s="234">
        <f t="shared" si="961"/>
        <v>785.36</v>
      </c>
      <c r="X354" s="119"/>
      <c r="Y354" s="126"/>
      <c r="Z354" s="126"/>
      <c r="AA354" s="126"/>
      <c r="AB354" s="345">
        <v>2180</v>
      </c>
      <c r="AC354" s="21"/>
      <c r="AD354" s="21"/>
    </row>
    <row r="355" spans="1:31" ht="12" customHeight="1" x14ac:dyDescent="0.2">
      <c r="A355" s="170"/>
      <c r="B355" s="671" t="s">
        <v>200</v>
      </c>
      <c r="C355" s="734"/>
      <c r="D355" s="734"/>
      <c r="E355" s="735"/>
      <c r="F355" s="464">
        <f>0.32*X2</f>
        <v>492.8</v>
      </c>
      <c r="G355" s="531">
        <f>+F355*$X$1</f>
        <v>492.8</v>
      </c>
      <c r="H355" s="596"/>
      <c r="I355" s="596"/>
      <c r="J355" s="599"/>
      <c r="K355" s="460"/>
      <c r="L355" s="596">
        <f>F355+200</f>
        <v>692.8</v>
      </c>
      <c r="M355" s="460">
        <f t="shared" ref="M355:M360" si="964">+L355*$X$1</f>
        <v>692.8</v>
      </c>
      <c r="N355" s="596">
        <f>F355+120</f>
        <v>612.79999999999995</v>
      </c>
      <c r="O355" s="460">
        <f t="shared" ref="O355:O360" si="965">+N355*$X$1</f>
        <v>612.79999999999995</v>
      </c>
      <c r="P355" s="596"/>
      <c r="Q355" s="460"/>
      <c r="R355" s="596"/>
      <c r="S355" s="460"/>
      <c r="T355" s="532"/>
      <c r="U355" s="531"/>
      <c r="V355" s="532"/>
      <c r="W355" s="531"/>
      <c r="X355" s="119"/>
      <c r="Y355" s="119"/>
      <c r="Z355" s="119"/>
      <c r="AA355" s="119"/>
      <c r="AB355" s="345">
        <v>2184</v>
      </c>
    </row>
    <row r="356" spans="1:31" ht="12" customHeight="1" x14ac:dyDescent="0.2">
      <c r="A356" s="170"/>
      <c r="B356" s="666" t="s">
        <v>201</v>
      </c>
      <c r="C356" s="684"/>
      <c r="D356" s="684"/>
      <c r="E356" s="685"/>
      <c r="F356" s="326">
        <f>0.633*X2</f>
        <v>974.82</v>
      </c>
      <c r="G356" s="234">
        <f>+F356*$X$1</f>
        <v>974.82</v>
      </c>
      <c r="H356" s="537"/>
      <c r="I356" s="537"/>
      <c r="J356" s="110"/>
      <c r="K356" s="255"/>
      <c r="L356" s="537">
        <f t="shared" ref="L356:L360" si="966">F356+200</f>
        <v>1174.8200000000002</v>
      </c>
      <c r="M356" s="255">
        <f t="shared" si="964"/>
        <v>1174.8200000000002</v>
      </c>
      <c r="N356" s="537">
        <f t="shared" ref="N356:N360" si="967">F356+120</f>
        <v>1094.8200000000002</v>
      </c>
      <c r="O356" s="255">
        <f t="shared" si="965"/>
        <v>1094.8200000000002</v>
      </c>
      <c r="P356" s="537">
        <f t="shared" ref="P356:P360" si="968">F356+80</f>
        <v>1054.8200000000002</v>
      </c>
      <c r="Q356" s="255">
        <f t="shared" ref="Q356:Q360" si="969">+P356*$X$1</f>
        <v>1054.8200000000002</v>
      </c>
      <c r="R356" s="537">
        <f t="shared" ref="R356:R360" si="970">F356+67</f>
        <v>1041.8200000000002</v>
      </c>
      <c r="S356" s="255">
        <f t="shared" ref="S356:S360" si="971">+R356*$X$1</f>
        <v>1041.8200000000002</v>
      </c>
      <c r="T356" s="93">
        <f t="shared" ref="T356:T360" si="972">F356+53</f>
        <v>1027.8200000000002</v>
      </c>
      <c r="U356" s="234">
        <f t="shared" ref="U356:U360" si="973">+T356*$X$1</f>
        <v>1027.8200000000002</v>
      </c>
      <c r="V356" s="93">
        <f t="shared" ref="V356:V360" si="974">F356+40</f>
        <v>1014.82</v>
      </c>
      <c r="W356" s="234">
        <f t="shared" ref="W356:W360" si="975">+V356*$X$1</f>
        <v>1014.82</v>
      </c>
      <c r="X356" s="119"/>
      <c r="Y356" s="119"/>
      <c r="Z356" s="119"/>
      <c r="AA356" s="119"/>
      <c r="AB356" s="345" t="s">
        <v>202</v>
      </c>
    </row>
    <row r="357" spans="1:31" ht="12" customHeight="1" x14ac:dyDescent="0.2">
      <c r="A357" s="88"/>
      <c r="B357" s="639" t="s">
        <v>203</v>
      </c>
      <c r="C357" s="649"/>
      <c r="D357" s="649"/>
      <c r="E357" s="650"/>
      <c r="F357" s="327">
        <f>0.335*X2</f>
        <v>515.9</v>
      </c>
      <c r="G357" s="269">
        <f>+F357*$X$1</f>
        <v>515.9</v>
      </c>
      <c r="H357" s="546"/>
      <c r="I357" s="546"/>
      <c r="J357" s="109"/>
      <c r="K357" s="256"/>
      <c r="L357" s="546">
        <f t="shared" si="966"/>
        <v>715.9</v>
      </c>
      <c r="M357" s="256">
        <f t="shared" si="964"/>
        <v>715.9</v>
      </c>
      <c r="N357" s="546">
        <f t="shared" si="967"/>
        <v>635.9</v>
      </c>
      <c r="O357" s="256">
        <f t="shared" si="965"/>
        <v>635.9</v>
      </c>
      <c r="P357" s="546">
        <f t="shared" si="968"/>
        <v>595.9</v>
      </c>
      <c r="Q357" s="256">
        <f t="shared" si="969"/>
        <v>595.9</v>
      </c>
      <c r="R357" s="546">
        <f t="shared" si="970"/>
        <v>582.9</v>
      </c>
      <c r="S357" s="256">
        <f t="shared" si="971"/>
        <v>582.9</v>
      </c>
      <c r="T357" s="92">
        <f t="shared" si="972"/>
        <v>568.9</v>
      </c>
      <c r="U357" s="269">
        <f t="shared" si="973"/>
        <v>568.9</v>
      </c>
      <c r="V357" s="92"/>
      <c r="W357" s="269"/>
      <c r="X357" s="119"/>
      <c r="Y357" s="119"/>
      <c r="Z357" s="119"/>
      <c r="AA357" s="119"/>
      <c r="AB357" s="345">
        <v>2189</v>
      </c>
    </row>
    <row r="358" spans="1:31" ht="12.6" customHeight="1" x14ac:dyDescent="0.2">
      <c r="A358" s="88"/>
      <c r="B358" s="666" t="s">
        <v>204</v>
      </c>
      <c r="C358" s="684"/>
      <c r="D358" s="684"/>
      <c r="E358" s="685"/>
      <c r="F358" s="326">
        <f>0.54*X2</f>
        <v>831.6</v>
      </c>
      <c r="G358" s="234">
        <f t="shared" ref="G358" si="976">+F358*$X$1</f>
        <v>831.6</v>
      </c>
      <c r="H358" s="537"/>
      <c r="I358" s="537"/>
      <c r="J358" s="110"/>
      <c r="K358" s="255"/>
      <c r="L358" s="537">
        <f t="shared" si="966"/>
        <v>1031.5999999999999</v>
      </c>
      <c r="M358" s="255">
        <f t="shared" si="964"/>
        <v>1031.5999999999999</v>
      </c>
      <c r="N358" s="537">
        <f t="shared" si="967"/>
        <v>951.6</v>
      </c>
      <c r="O358" s="255">
        <f t="shared" si="965"/>
        <v>951.6</v>
      </c>
      <c r="P358" s="537">
        <f t="shared" si="968"/>
        <v>911.6</v>
      </c>
      <c r="Q358" s="255">
        <f t="shared" si="969"/>
        <v>911.6</v>
      </c>
      <c r="R358" s="537">
        <f t="shared" si="970"/>
        <v>898.6</v>
      </c>
      <c r="S358" s="255">
        <f t="shared" si="971"/>
        <v>898.6</v>
      </c>
      <c r="T358" s="93">
        <f t="shared" si="972"/>
        <v>884.6</v>
      </c>
      <c r="U358" s="234">
        <f t="shared" si="973"/>
        <v>884.6</v>
      </c>
      <c r="V358" s="93"/>
      <c r="W358" s="234"/>
      <c r="X358" s="119"/>
      <c r="Y358" s="119"/>
      <c r="Z358" s="119"/>
      <c r="AA358" s="119"/>
      <c r="AB358" s="345">
        <v>2190</v>
      </c>
    </row>
    <row r="359" spans="1:31" ht="12.6" customHeight="1" x14ac:dyDescent="0.2">
      <c r="A359" s="17"/>
      <c r="B359" s="642" t="s">
        <v>205</v>
      </c>
      <c r="C359" s="643"/>
      <c r="D359" s="643"/>
      <c r="E359" s="643"/>
      <c r="F359" s="327">
        <f>0.503*X2</f>
        <v>774.62</v>
      </c>
      <c r="G359" s="269">
        <f>+F359*$X$1</f>
        <v>774.62</v>
      </c>
      <c r="H359" s="546"/>
      <c r="I359" s="546"/>
      <c r="J359" s="109"/>
      <c r="K359" s="256"/>
      <c r="L359" s="546">
        <f t="shared" si="966"/>
        <v>974.62</v>
      </c>
      <c r="M359" s="256">
        <f t="shared" si="964"/>
        <v>974.62</v>
      </c>
      <c r="N359" s="546">
        <f t="shared" si="967"/>
        <v>894.62</v>
      </c>
      <c r="O359" s="256">
        <f t="shared" si="965"/>
        <v>894.62</v>
      </c>
      <c r="P359" s="546">
        <f t="shared" si="968"/>
        <v>854.62</v>
      </c>
      <c r="Q359" s="256">
        <f t="shared" si="969"/>
        <v>854.62</v>
      </c>
      <c r="R359" s="546">
        <f t="shared" si="970"/>
        <v>841.62</v>
      </c>
      <c r="S359" s="256">
        <f t="shared" si="971"/>
        <v>841.62</v>
      </c>
      <c r="T359" s="92">
        <f t="shared" si="972"/>
        <v>827.62</v>
      </c>
      <c r="U359" s="269">
        <f t="shared" si="973"/>
        <v>827.62</v>
      </c>
      <c r="V359" s="92">
        <f t="shared" si="974"/>
        <v>814.62</v>
      </c>
      <c r="W359" s="269">
        <f t="shared" si="975"/>
        <v>814.62</v>
      </c>
      <c r="X359" s="119"/>
      <c r="Y359" s="119"/>
      <c r="Z359" s="119"/>
      <c r="AA359" s="119"/>
      <c r="AB359" s="345">
        <v>2194</v>
      </c>
    </row>
    <row r="360" spans="1:31" ht="12.6" customHeight="1" x14ac:dyDescent="0.2">
      <c r="A360" s="17"/>
      <c r="B360" s="730" t="s">
        <v>206</v>
      </c>
      <c r="C360" s="731"/>
      <c r="D360" s="731"/>
      <c r="E360" s="732"/>
      <c r="F360" s="326">
        <f>0.596*X2</f>
        <v>917.83999999999992</v>
      </c>
      <c r="G360" s="234">
        <f>+F360*$X$1</f>
        <v>917.83999999999992</v>
      </c>
      <c r="H360" s="537"/>
      <c r="I360" s="537"/>
      <c r="J360" s="110"/>
      <c r="K360" s="255"/>
      <c r="L360" s="537">
        <f t="shared" si="966"/>
        <v>1117.8399999999999</v>
      </c>
      <c r="M360" s="255">
        <f t="shared" si="964"/>
        <v>1117.8399999999999</v>
      </c>
      <c r="N360" s="537">
        <f t="shared" si="967"/>
        <v>1037.8399999999999</v>
      </c>
      <c r="O360" s="255">
        <f t="shared" si="965"/>
        <v>1037.8399999999999</v>
      </c>
      <c r="P360" s="537">
        <f t="shared" si="968"/>
        <v>997.83999999999992</v>
      </c>
      <c r="Q360" s="255">
        <f t="shared" si="969"/>
        <v>997.83999999999992</v>
      </c>
      <c r="R360" s="537">
        <f t="shared" si="970"/>
        <v>984.83999999999992</v>
      </c>
      <c r="S360" s="255">
        <f t="shared" si="971"/>
        <v>984.83999999999992</v>
      </c>
      <c r="T360" s="93">
        <f t="shared" si="972"/>
        <v>970.83999999999992</v>
      </c>
      <c r="U360" s="234">
        <f t="shared" si="973"/>
        <v>970.83999999999992</v>
      </c>
      <c r="V360" s="93">
        <f t="shared" si="974"/>
        <v>957.83999999999992</v>
      </c>
      <c r="W360" s="234">
        <f t="shared" si="975"/>
        <v>957.83999999999992</v>
      </c>
      <c r="X360" s="119"/>
      <c r="Y360" s="119"/>
      <c r="Z360" s="119"/>
      <c r="AA360" s="119"/>
      <c r="AB360" s="345">
        <v>2195</v>
      </c>
    </row>
    <row r="361" spans="1:31" ht="12.6" customHeight="1" x14ac:dyDescent="0.2">
      <c r="A361" s="17"/>
      <c r="B361" s="939" t="s">
        <v>207</v>
      </c>
      <c r="C361" s="942"/>
      <c r="D361" s="942"/>
      <c r="E361" s="942"/>
      <c r="F361" s="464">
        <f>0.3*X2</f>
        <v>462</v>
      </c>
      <c r="G361" s="531">
        <f>+F361*$X$1</f>
        <v>462</v>
      </c>
      <c r="H361" s="596"/>
      <c r="I361" s="596"/>
      <c r="J361" s="596"/>
      <c r="K361" s="460"/>
      <c r="L361" s="596">
        <f t="shared" ref="L361:L370" si="977">F361+200</f>
        <v>662</v>
      </c>
      <c r="M361" s="460">
        <f t="shared" ref="M361:M370" si="978">+L361*$X$1</f>
        <v>662</v>
      </c>
      <c r="N361" s="596">
        <f t="shared" ref="N361:N370" si="979">F361+120</f>
        <v>582</v>
      </c>
      <c r="O361" s="460">
        <f t="shared" ref="O361:O370" si="980">+N361*$X$1</f>
        <v>582</v>
      </c>
      <c r="P361" s="596">
        <f t="shared" ref="P361:P370" si="981">F361+80</f>
        <v>542</v>
      </c>
      <c r="Q361" s="460">
        <f t="shared" ref="Q361:Q370" si="982">+P361*$X$1</f>
        <v>542</v>
      </c>
      <c r="R361" s="596"/>
      <c r="S361" s="460"/>
      <c r="T361" s="532"/>
      <c r="U361" s="531"/>
      <c r="V361" s="532"/>
      <c r="W361" s="531"/>
      <c r="X361" s="119"/>
      <c r="Y361" s="119"/>
      <c r="Z361" s="119"/>
      <c r="AA361" s="119"/>
      <c r="AB361" s="345">
        <v>2198</v>
      </c>
    </row>
    <row r="362" spans="1:31" ht="12.6" customHeight="1" x14ac:dyDescent="0.2">
      <c r="A362" s="94"/>
      <c r="B362" s="630" t="s">
        <v>295</v>
      </c>
      <c r="C362" s="703"/>
      <c r="D362" s="703"/>
      <c r="E362" s="703"/>
      <c r="F362" s="326">
        <f>0.37*X2</f>
        <v>569.79999999999995</v>
      </c>
      <c r="G362" s="234">
        <f>+F362*$X$1</f>
        <v>569.79999999999995</v>
      </c>
      <c r="H362" s="537"/>
      <c r="I362" s="537"/>
      <c r="J362" s="537"/>
      <c r="K362" s="255"/>
      <c r="L362" s="537">
        <f t="shared" si="977"/>
        <v>769.8</v>
      </c>
      <c r="M362" s="255">
        <f t="shared" si="978"/>
        <v>769.8</v>
      </c>
      <c r="N362" s="537">
        <f t="shared" si="979"/>
        <v>689.8</v>
      </c>
      <c r="O362" s="255">
        <f t="shared" si="980"/>
        <v>689.8</v>
      </c>
      <c r="P362" s="537">
        <f t="shared" si="981"/>
        <v>649.79999999999995</v>
      </c>
      <c r="Q362" s="255">
        <f t="shared" si="982"/>
        <v>649.79999999999995</v>
      </c>
      <c r="R362" s="537">
        <f t="shared" ref="R362:R370" si="983">F362+67</f>
        <v>636.79999999999995</v>
      </c>
      <c r="S362" s="255">
        <f t="shared" ref="S362:S370" si="984">+R362*$X$1</f>
        <v>636.79999999999995</v>
      </c>
      <c r="T362" s="93">
        <f t="shared" ref="T362:T370" si="985">F362+53</f>
        <v>622.79999999999995</v>
      </c>
      <c r="U362" s="234">
        <f t="shared" ref="U362:U370" si="986">+T362*$X$1</f>
        <v>622.79999999999995</v>
      </c>
      <c r="V362" s="93">
        <f t="shared" ref="V362:V370" si="987">F362+40</f>
        <v>609.79999999999995</v>
      </c>
      <c r="W362" s="234">
        <f t="shared" ref="W362:W370" si="988">+V362*$X$1</f>
        <v>609.79999999999995</v>
      </c>
      <c r="X362" s="140"/>
      <c r="Y362" s="119"/>
      <c r="Z362" s="119"/>
      <c r="AA362" s="119"/>
      <c r="AB362" s="345">
        <v>2202</v>
      </c>
    </row>
    <row r="363" spans="1:31" ht="12.6" customHeight="1" x14ac:dyDescent="0.2">
      <c r="A363" s="94"/>
      <c r="B363" s="642" t="s">
        <v>296</v>
      </c>
      <c r="C363" s="682"/>
      <c r="D363" s="682"/>
      <c r="E363" s="682"/>
      <c r="F363" s="327">
        <f>0.37*X2</f>
        <v>569.79999999999995</v>
      </c>
      <c r="G363" s="269">
        <f t="shared" ref="G363:G367" si="989">+F363*$X$1</f>
        <v>569.79999999999995</v>
      </c>
      <c r="H363" s="546"/>
      <c r="I363" s="546"/>
      <c r="J363" s="546"/>
      <c r="K363" s="256"/>
      <c r="L363" s="546">
        <f t="shared" si="977"/>
        <v>769.8</v>
      </c>
      <c r="M363" s="256">
        <f t="shared" si="978"/>
        <v>769.8</v>
      </c>
      <c r="N363" s="546">
        <f t="shared" si="979"/>
        <v>689.8</v>
      </c>
      <c r="O363" s="256">
        <f t="shared" si="980"/>
        <v>689.8</v>
      </c>
      <c r="P363" s="546">
        <f t="shared" si="981"/>
        <v>649.79999999999995</v>
      </c>
      <c r="Q363" s="256">
        <f t="shared" si="982"/>
        <v>649.79999999999995</v>
      </c>
      <c r="R363" s="546">
        <f t="shared" si="983"/>
        <v>636.79999999999995</v>
      </c>
      <c r="S363" s="256">
        <f t="shared" si="984"/>
        <v>636.79999999999995</v>
      </c>
      <c r="T363" s="92">
        <f t="shared" si="985"/>
        <v>622.79999999999995</v>
      </c>
      <c r="U363" s="269">
        <f t="shared" si="986"/>
        <v>622.79999999999995</v>
      </c>
      <c r="V363" s="92">
        <f t="shared" si="987"/>
        <v>609.79999999999995</v>
      </c>
      <c r="W363" s="269">
        <f t="shared" si="988"/>
        <v>609.79999999999995</v>
      </c>
      <c r="X363" s="119"/>
      <c r="Y363" s="119"/>
      <c r="Z363" s="119"/>
      <c r="AA363" s="119"/>
      <c r="AB363" s="345" t="s">
        <v>208</v>
      </c>
    </row>
    <row r="364" spans="1:31" ht="12.6" customHeight="1" x14ac:dyDescent="0.2">
      <c r="A364" s="94"/>
      <c r="B364" s="630" t="s">
        <v>297</v>
      </c>
      <c r="C364" s="703"/>
      <c r="D364" s="703"/>
      <c r="E364" s="703"/>
      <c r="F364" s="326">
        <f>0.37*X2</f>
        <v>569.79999999999995</v>
      </c>
      <c r="G364" s="234">
        <f t="shared" ref="G364:G368" si="990">+F364*$X$1</f>
        <v>569.79999999999995</v>
      </c>
      <c r="H364" s="537"/>
      <c r="I364" s="537"/>
      <c r="J364" s="537"/>
      <c r="K364" s="270"/>
      <c r="L364" s="537">
        <f t="shared" si="977"/>
        <v>769.8</v>
      </c>
      <c r="M364" s="255">
        <f t="shared" si="978"/>
        <v>769.8</v>
      </c>
      <c r="N364" s="537">
        <f t="shared" si="979"/>
        <v>689.8</v>
      </c>
      <c r="O364" s="255">
        <f t="shared" si="980"/>
        <v>689.8</v>
      </c>
      <c r="P364" s="537">
        <f t="shared" si="981"/>
        <v>649.79999999999995</v>
      </c>
      <c r="Q364" s="255">
        <f t="shared" si="982"/>
        <v>649.79999999999995</v>
      </c>
      <c r="R364" s="537">
        <f t="shared" si="983"/>
        <v>636.79999999999995</v>
      </c>
      <c r="S364" s="255">
        <f t="shared" si="984"/>
        <v>636.79999999999995</v>
      </c>
      <c r="T364" s="93">
        <f t="shared" si="985"/>
        <v>622.79999999999995</v>
      </c>
      <c r="U364" s="234">
        <f t="shared" si="986"/>
        <v>622.79999999999995</v>
      </c>
      <c r="V364" s="93">
        <f t="shared" si="987"/>
        <v>609.79999999999995</v>
      </c>
      <c r="W364" s="234">
        <f t="shared" si="988"/>
        <v>609.79999999999995</v>
      </c>
      <c r="X364" s="119"/>
      <c r="Y364" s="119"/>
      <c r="Z364" s="119"/>
      <c r="AA364" s="119"/>
      <c r="AB364" s="345" t="s">
        <v>209</v>
      </c>
    </row>
    <row r="365" spans="1:31" ht="12.6" customHeight="1" x14ac:dyDescent="0.2">
      <c r="A365" s="94"/>
      <c r="B365" s="642" t="s">
        <v>767</v>
      </c>
      <c r="C365" s="682"/>
      <c r="D365" s="682"/>
      <c r="E365" s="682"/>
      <c r="F365" s="327">
        <f>0.37*X2</f>
        <v>569.79999999999995</v>
      </c>
      <c r="G365" s="269">
        <f t="shared" ref="G365" si="991">+F365*$X$1</f>
        <v>569.79999999999995</v>
      </c>
      <c r="H365" s="546"/>
      <c r="I365" s="546"/>
      <c r="J365" s="546"/>
      <c r="K365" s="280"/>
      <c r="L365" s="546">
        <f t="shared" si="977"/>
        <v>769.8</v>
      </c>
      <c r="M365" s="256">
        <f t="shared" si="978"/>
        <v>769.8</v>
      </c>
      <c r="N365" s="546">
        <f t="shared" si="979"/>
        <v>689.8</v>
      </c>
      <c r="O365" s="256">
        <f t="shared" si="980"/>
        <v>689.8</v>
      </c>
      <c r="P365" s="546">
        <f t="shared" si="981"/>
        <v>649.79999999999995</v>
      </c>
      <c r="Q365" s="256">
        <f t="shared" si="982"/>
        <v>649.79999999999995</v>
      </c>
      <c r="R365" s="546">
        <f t="shared" si="983"/>
        <v>636.79999999999995</v>
      </c>
      <c r="S365" s="256">
        <f t="shared" si="984"/>
        <v>636.79999999999995</v>
      </c>
      <c r="T365" s="92">
        <f t="shared" si="985"/>
        <v>622.79999999999995</v>
      </c>
      <c r="U365" s="269">
        <f t="shared" si="986"/>
        <v>622.79999999999995</v>
      </c>
      <c r="V365" s="92">
        <f t="shared" si="987"/>
        <v>609.79999999999995</v>
      </c>
      <c r="W365" s="269">
        <f t="shared" si="988"/>
        <v>609.79999999999995</v>
      </c>
      <c r="X365" s="119"/>
      <c r="Y365" s="119"/>
      <c r="Z365" s="119"/>
      <c r="AA365" s="119"/>
      <c r="AB365" s="445" t="s">
        <v>766</v>
      </c>
    </row>
    <row r="366" spans="1:31" ht="12.6" customHeight="1" x14ac:dyDescent="0.2">
      <c r="A366" s="94"/>
      <c r="B366" s="679" t="s">
        <v>576</v>
      </c>
      <c r="C366" s="1132"/>
      <c r="D366" s="1132"/>
      <c r="E366" s="1133"/>
      <c r="F366" s="326">
        <f>0.47*X2</f>
        <v>723.8</v>
      </c>
      <c r="G366" s="234">
        <f t="shared" si="990"/>
        <v>723.8</v>
      </c>
      <c r="H366" s="537"/>
      <c r="I366" s="537"/>
      <c r="J366" s="537"/>
      <c r="K366" s="255"/>
      <c r="L366" s="537">
        <f t="shared" si="977"/>
        <v>923.8</v>
      </c>
      <c r="M366" s="255">
        <f t="shared" si="978"/>
        <v>923.8</v>
      </c>
      <c r="N366" s="537">
        <f t="shared" si="979"/>
        <v>843.8</v>
      </c>
      <c r="O366" s="255">
        <f t="shared" si="980"/>
        <v>843.8</v>
      </c>
      <c r="P366" s="537">
        <f t="shared" si="981"/>
        <v>803.8</v>
      </c>
      <c r="Q366" s="255">
        <f t="shared" si="982"/>
        <v>803.8</v>
      </c>
      <c r="R366" s="537">
        <f t="shared" si="983"/>
        <v>790.8</v>
      </c>
      <c r="S366" s="255">
        <f t="shared" si="984"/>
        <v>790.8</v>
      </c>
      <c r="T366" s="93">
        <f t="shared" si="985"/>
        <v>776.8</v>
      </c>
      <c r="U366" s="234">
        <f t="shared" si="986"/>
        <v>776.8</v>
      </c>
      <c r="V366" s="93">
        <f t="shared" si="987"/>
        <v>763.8</v>
      </c>
      <c r="W366" s="234">
        <f t="shared" si="988"/>
        <v>763.8</v>
      </c>
      <c r="X366" s="636"/>
      <c r="Y366" s="636"/>
      <c r="Z366" s="636"/>
      <c r="AA366" s="637"/>
      <c r="AB366" s="345" t="s">
        <v>580</v>
      </c>
      <c r="AC366" s="62"/>
      <c r="AE366" s="80"/>
    </row>
    <row r="367" spans="1:31" ht="12.6" customHeight="1" x14ac:dyDescent="0.2">
      <c r="A367" s="94"/>
      <c r="B367" s="915" t="s">
        <v>210</v>
      </c>
      <c r="C367" s="1141"/>
      <c r="D367" s="1141"/>
      <c r="E367" s="1142"/>
      <c r="F367" s="327">
        <f>0.55*X2</f>
        <v>847.00000000000011</v>
      </c>
      <c r="G367" s="269">
        <f t="shared" si="989"/>
        <v>847.00000000000011</v>
      </c>
      <c r="H367" s="546"/>
      <c r="I367" s="546"/>
      <c r="J367" s="546"/>
      <c r="K367" s="256"/>
      <c r="L367" s="546">
        <f t="shared" si="977"/>
        <v>1047</v>
      </c>
      <c r="M367" s="256">
        <f t="shared" si="978"/>
        <v>1047</v>
      </c>
      <c r="N367" s="546">
        <f t="shared" si="979"/>
        <v>967.00000000000011</v>
      </c>
      <c r="O367" s="256">
        <f t="shared" si="980"/>
        <v>967.00000000000011</v>
      </c>
      <c r="P367" s="546">
        <f t="shared" si="981"/>
        <v>927.00000000000011</v>
      </c>
      <c r="Q367" s="256">
        <f t="shared" si="982"/>
        <v>927.00000000000011</v>
      </c>
      <c r="R367" s="546">
        <f t="shared" si="983"/>
        <v>914.00000000000011</v>
      </c>
      <c r="S367" s="256">
        <f t="shared" si="984"/>
        <v>914.00000000000011</v>
      </c>
      <c r="T367" s="92">
        <f t="shared" si="985"/>
        <v>900.00000000000011</v>
      </c>
      <c r="U367" s="269">
        <f t="shared" si="986"/>
        <v>900.00000000000011</v>
      </c>
      <c r="V367" s="92">
        <f t="shared" si="987"/>
        <v>887.00000000000011</v>
      </c>
      <c r="W367" s="269">
        <f t="shared" si="988"/>
        <v>887.00000000000011</v>
      </c>
      <c r="X367" s="636"/>
      <c r="Y367" s="636"/>
      <c r="Z367" s="636"/>
      <c r="AA367" s="637"/>
      <c r="AB367" s="345" t="s">
        <v>211</v>
      </c>
      <c r="AC367" s="62"/>
      <c r="AE367" s="80"/>
    </row>
    <row r="368" spans="1:31" ht="12.6" customHeight="1" x14ac:dyDescent="0.2">
      <c r="A368" s="88"/>
      <c r="B368" s="679" t="s">
        <v>212</v>
      </c>
      <c r="C368" s="697"/>
      <c r="D368" s="697"/>
      <c r="E368" s="698"/>
      <c r="F368" s="326">
        <f>0.596*X2</f>
        <v>917.83999999999992</v>
      </c>
      <c r="G368" s="234">
        <f t="shared" si="990"/>
        <v>917.83999999999992</v>
      </c>
      <c r="H368" s="537"/>
      <c r="I368" s="537"/>
      <c r="J368" s="537"/>
      <c r="K368" s="255"/>
      <c r="L368" s="537">
        <f t="shared" si="977"/>
        <v>1117.8399999999999</v>
      </c>
      <c r="M368" s="255">
        <f t="shared" si="978"/>
        <v>1117.8399999999999</v>
      </c>
      <c r="N368" s="537">
        <f t="shared" si="979"/>
        <v>1037.8399999999999</v>
      </c>
      <c r="O368" s="255">
        <f t="shared" si="980"/>
        <v>1037.8399999999999</v>
      </c>
      <c r="P368" s="537">
        <f t="shared" si="981"/>
        <v>997.83999999999992</v>
      </c>
      <c r="Q368" s="255">
        <f t="shared" si="982"/>
        <v>997.83999999999992</v>
      </c>
      <c r="R368" s="537">
        <f t="shared" si="983"/>
        <v>984.83999999999992</v>
      </c>
      <c r="S368" s="255">
        <f t="shared" si="984"/>
        <v>984.83999999999992</v>
      </c>
      <c r="T368" s="93">
        <f t="shared" si="985"/>
        <v>970.83999999999992</v>
      </c>
      <c r="U368" s="234">
        <f t="shared" si="986"/>
        <v>970.83999999999992</v>
      </c>
      <c r="V368" s="93">
        <f t="shared" si="987"/>
        <v>957.83999999999992</v>
      </c>
      <c r="W368" s="234">
        <f t="shared" si="988"/>
        <v>957.83999999999992</v>
      </c>
      <c r="X368" s="156"/>
      <c r="Y368" s="119"/>
      <c r="Z368" s="119"/>
      <c r="AA368" s="119"/>
      <c r="AB368" s="345">
        <v>2203</v>
      </c>
      <c r="AC368" s="210"/>
    </row>
    <row r="369" spans="1:29" ht="12.6" customHeight="1" x14ac:dyDescent="0.2">
      <c r="A369" s="88"/>
      <c r="B369" s="669" t="s">
        <v>213</v>
      </c>
      <c r="C369" s="733"/>
      <c r="D369" s="733"/>
      <c r="E369" s="733"/>
      <c r="F369" s="327">
        <f>0.708*X2</f>
        <v>1090.32</v>
      </c>
      <c r="G369" s="269">
        <f>+F369*$X$1</f>
        <v>1090.32</v>
      </c>
      <c r="H369" s="546"/>
      <c r="I369" s="546"/>
      <c r="J369" s="546"/>
      <c r="K369" s="256"/>
      <c r="L369" s="546">
        <f t="shared" si="977"/>
        <v>1290.32</v>
      </c>
      <c r="M369" s="256">
        <f t="shared" si="978"/>
        <v>1290.32</v>
      </c>
      <c r="N369" s="546">
        <f t="shared" si="979"/>
        <v>1210.32</v>
      </c>
      <c r="O369" s="256">
        <f t="shared" si="980"/>
        <v>1210.32</v>
      </c>
      <c r="P369" s="546">
        <f t="shared" si="981"/>
        <v>1170.32</v>
      </c>
      <c r="Q369" s="256">
        <f t="shared" si="982"/>
        <v>1170.32</v>
      </c>
      <c r="R369" s="546">
        <f t="shared" si="983"/>
        <v>1157.32</v>
      </c>
      <c r="S369" s="256">
        <f t="shared" si="984"/>
        <v>1157.32</v>
      </c>
      <c r="T369" s="92">
        <f t="shared" si="985"/>
        <v>1143.32</v>
      </c>
      <c r="U369" s="269">
        <f t="shared" si="986"/>
        <v>1143.32</v>
      </c>
      <c r="V369" s="92"/>
      <c r="W369" s="269"/>
      <c r="X369" s="157"/>
      <c r="Y369" s="122"/>
      <c r="Z369" s="122"/>
      <c r="AA369" s="125"/>
      <c r="AB369" s="345">
        <v>2205</v>
      </c>
      <c r="AC369" s="62"/>
    </row>
    <row r="370" spans="1:29" ht="12.6" customHeight="1" x14ac:dyDescent="0.2">
      <c r="A370" s="88"/>
      <c r="B370" s="630" t="s">
        <v>214</v>
      </c>
      <c r="C370" s="703"/>
      <c r="D370" s="703"/>
      <c r="E370" s="703"/>
      <c r="F370" s="326">
        <f>0.428*X2</f>
        <v>659.12</v>
      </c>
      <c r="G370" s="234">
        <f>+F370*$X$1</f>
        <v>659.12</v>
      </c>
      <c r="H370" s="537"/>
      <c r="I370" s="537"/>
      <c r="J370" s="537"/>
      <c r="K370" s="255"/>
      <c r="L370" s="537">
        <f t="shared" si="977"/>
        <v>859.12</v>
      </c>
      <c r="M370" s="255">
        <f t="shared" si="978"/>
        <v>859.12</v>
      </c>
      <c r="N370" s="537">
        <f t="shared" si="979"/>
        <v>779.12</v>
      </c>
      <c r="O370" s="255">
        <f t="shared" si="980"/>
        <v>779.12</v>
      </c>
      <c r="P370" s="537">
        <f t="shared" si="981"/>
        <v>739.12</v>
      </c>
      <c r="Q370" s="255">
        <f t="shared" si="982"/>
        <v>739.12</v>
      </c>
      <c r="R370" s="537">
        <f t="shared" si="983"/>
        <v>726.12</v>
      </c>
      <c r="S370" s="255">
        <f t="shared" si="984"/>
        <v>726.12</v>
      </c>
      <c r="T370" s="93">
        <f t="shared" si="985"/>
        <v>712.12</v>
      </c>
      <c r="U370" s="234">
        <f t="shared" si="986"/>
        <v>712.12</v>
      </c>
      <c r="V370" s="93">
        <f t="shared" si="987"/>
        <v>699.12</v>
      </c>
      <c r="W370" s="234">
        <f t="shared" si="988"/>
        <v>699.12</v>
      </c>
      <c r="X370" s="122"/>
      <c r="Y370" s="122"/>
      <c r="Z370" s="122"/>
      <c r="AA370" s="125"/>
      <c r="AB370" s="345">
        <v>2207</v>
      </c>
    </row>
    <row r="371" spans="1:29" ht="12.6" customHeight="1" x14ac:dyDescent="0.2">
      <c r="A371" s="94"/>
      <c r="B371" s="939" t="s">
        <v>325</v>
      </c>
      <c r="C371" s="942"/>
      <c r="D371" s="942"/>
      <c r="E371" s="942"/>
      <c r="F371" s="464">
        <v>1350</v>
      </c>
      <c r="G371" s="460">
        <f>+F371*$X$1</f>
        <v>1350</v>
      </c>
      <c r="H371" s="596">
        <f t="shared" ref="H371" si="992">F371+600</f>
        <v>1950</v>
      </c>
      <c r="I371" s="460">
        <f t="shared" ref="I371" si="993">+H371*$X$1</f>
        <v>1950</v>
      </c>
      <c r="J371" s="596">
        <f t="shared" ref="J371" si="994">F371+200</f>
        <v>1550</v>
      </c>
      <c r="K371" s="460">
        <f t="shared" ref="K371" si="995">+J371*$X$1</f>
        <v>1550</v>
      </c>
      <c r="L371" s="596">
        <f>F371+150</f>
        <v>1500</v>
      </c>
      <c r="M371" s="460">
        <f t="shared" ref="M371:M372" si="996">+L371*$X$1</f>
        <v>1500</v>
      </c>
      <c r="N371" s="596">
        <f>F371+110</f>
        <v>1460</v>
      </c>
      <c r="O371" s="460">
        <f>+N371*$X$1</f>
        <v>1460</v>
      </c>
      <c r="P371" s="462"/>
      <c r="Q371" s="694" t="s">
        <v>138</v>
      </c>
      <c r="R371" s="695"/>
      <c r="S371" s="695"/>
      <c r="T371" s="695"/>
      <c r="U371" s="695"/>
      <c r="V371" s="695"/>
      <c r="W371" s="696"/>
      <c r="X371" s="635"/>
      <c r="Y371" s="636"/>
      <c r="Z371" s="636"/>
      <c r="AA371" s="637"/>
      <c r="AB371" s="345">
        <v>2222</v>
      </c>
    </row>
    <row r="372" spans="1:29" ht="12.6" customHeight="1" x14ac:dyDescent="0.2">
      <c r="A372" s="17"/>
      <c r="B372" s="679" t="s">
        <v>622</v>
      </c>
      <c r="C372" s="680"/>
      <c r="D372" s="680"/>
      <c r="E372" s="681"/>
      <c r="F372" s="329">
        <f>0.501*X2</f>
        <v>771.54</v>
      </c>
      <c r="G372" s="255">
        <f t="shared" ref="G372" si="997">+F372*$X$1</f>
        <v>771.54</v>
      </c>
      <c r="H372" s="251"/>
      <c r="I372" s="251"/>
      <c r="J372" s="537"/>
      <c r="K372" s="537"/>
      <c r="L372" s="537">
        <f t="shared" ref="L372" si="998">F372+200</f>
        <v>971.54</v>
      </c>
      <c r="M372" s="255">
        <f t="shared" si="996"/>
        <v>971.54</v>
      </c>
      <c r="N372" s="537">
        <f t="shared" ref="N372" si="999">F372+120</f>
        <v>891.54</v>
      </c>
      <c r="O372" s="255">
        <f t="shared" ref="O372" si="1000">+N372*$X$1</f>
        <v>891.54</v>
      </c>
      <c r="P372" s="537">
        <f t="shared" ref="P372" si="1001">F372+80</f>
        <v>851.54</v>
      </c>
      <c r="Q372" s="255">
        <f t="shared" ref="Q372" si="1002">+P372*$X$1</f>
        <v>851.54</v>
      </c>
      <c r="R372" s="537">
        <f t="shared" ref="R372" si="1003">F372+67</f>
        <v>838.54</v>
      </c>
      <c r="S372" s="255">
        <f t="shared" ref="S372" si="1004">+R372*$X$1</f>
        <v>838.54</v>
      </c>
      <c r="T372" s="93">
        <f t="shared" ref="T372" si="1005">F372+53</f>
        <v>824.54</v>
      </c>
      <c r="U372" s="234">
        <f t="shared" ref="U372" si="1006">+T372*$X$1</f>
        <v>824.54</v>
      </c>
      <c r="V372" s="93">
        <f t="shared" ref="V372" si="1007">F372+40</f>
        <v>811.54</v>
      </c>
      <c r="W372" s="234">
        <f t="shared" ref="W372" si="1008">+V372*$X$1</f>
        <v>811.54</v>
      </c>
      <c r="X372" s="383"/>
      <c r="Y372" s="382"/>
      <c r="Z372" s="382"/>
      <c r="AA372" s="383"/>
      <c r="AB372" s="345">
        <v>2231</v>
      </c>
      <c r="AC372" s="62"/>
    </row>
    <row r="373" spans="1:29" ht="12.6" customHeight="1" x14ac:dyDescent="0.2">
      <c r="A373" s="17"/>
      <c r="B373" s="915" t="s">
        <v>633</v>
      </c>
      <c r="C373" s="916"/>
      <c r="D373" s="916"/>
      <c r="E373" s="917"/>
      <c r="F373" s="328">
        <f>0.536*X2</f>
        <v>825.44</v>
      </c>
      <c r="G373" s="256">
        <f t="shared" ref="G373" si="1009">+F373*$X$1</f>
        <v>825.44</v>
      </c>
      <c r="H373" s="250"/>
      <c r="I373" s="250"/>
      <c r="J373" s="546"/>
      <c r="K373" s="546"/>
      <c r="L373" s="546">
        <f t="shared" ref="L373:L374" si="1010">F373+200</f>
        <v>1025.44</v>
      </c>
      <c r="M373" s="256">
        <f t="shared" ref="M373:M374" si="1011">+L373*$X$1</f>
        <v>1025.44</v>
      </c>
      <c r="N373" s="546">
        <f t="shared" ref="N373:N374" si="1012">F373+120</f>
        <v>945.44</v>
      </c>
      <c r="O373" s="256">
        <f t="shared" ref="O373:O374" si="1013">+N373*$X$1</f>
        <v>945.44</v>
      </c>
      <c r="P373" s="546">
        <f t="shared" ref="P373:P374" si="1014">F373+80</f>
        <v>905.44</v>
      </c>
      <c r="Q373" s="256">
        <f t="shared" ref="Q373:Q374" si="1015">+P373*$X$1</f>
        <v>905.44</v>
      </c>
      <c r="R373" s="546">
        <f t="shared" ref="R373:R374" si="1016">F373+67</f>
        <v>892.44</v>
      </c>
      <c r="S373" s="256">
        <f t="shared" ref="S373:S374" si="1017">+R373*$X$1</f>
        <v>892.44</v>
      </c>
      <c r="T373" s="92">
        <f t="shared" ref="T373:T374" si="1018">F373+53</f>
        <v>878.44</v>
      </c>
      <c r="U373" s="269">
        <f t="shared" ref="U373:U374" si="1019">+T373*$X$1</f>
        <v>878.44</v>
      </c>
      <c r="V373" s="92">
        <f t="shared" ref="V373:V374" si="1020">F373+40</f>
        <v>865.44</v>
      </c>
      <c r="W373" s="269">
        <f t="shared" ref="W373:W374" si="1021">+V373*$X$1</f>
        <v>865.44</v>
      </c>
      <c r="X373" s="388"/>
      <c r="Y373" s="387"/>
      <c r="Z373" s="387"/>
      <c r="AA373" s="388"/>
      <c r="AB373" s="345">
        <v>2232</v>
      </c>
      <c r="AC373" s="62"/>
    </row>
    <row r="374" spans="1:29" ht="12.6" customHeight="1" x14ac:dyDescent="0.2">
      <c r="A374" s="17"/>
      <c r="B374" s="679" t="s">
        <v>697</v>
      </c>
      <c r="C374" s="680"/>
      <c r="D374" s="680"/>
      <c r="E374" s="681"/>
      <c r="F374" s="329">
        <f>0.98*X2</f>
        <v>1509.2</v>
      </c>
      <c r="G374" s="255">
        <f t="shared" ref="G374" si="1022">+F374*$X$1</f>
        <v>1509.2</v>
      </c>
      <c r="H374" s="251"/>
      <c r="I374" s="251"/>
      <c r="J374" s="537"/>
      <c r="K374" s="537"/>
      <c r="L374" s="537">
        <f t="shared" si="1010"/>
        <v>1709.2</v>
      </c>
      <c r="M374" s="255">
        <f t="shared" si="1011"/>
        <v>1709.2</v>
      </c>
      <c r="N374" s="537">
        <f t="shared" si="1012"/>
        <v>1629.2</v>
      </c>
      <c r="O374" s="255">
        <f t="shared" si="1013"/>
        <v>1629.2</v>
      </c>
      <c r="P374" s="537">
        <f t="shared" si="1014"/>
        <v>1589.2</v>
      </c>
      <c r="Q374" s="255">
        <f t="shared" si="1015"/>
        <v>1589.2</v>
      </c>
      <c r="R374" s="537">
        <f t="shared" si="1016"/>
        <v>1576.2</v>
      </c>
      <c r="S374" s="255">
        <f t="shared" si="1017"/>
        <v>1576.2</v>
      </c>
      <c r="T374" s="93">
        <f t="shared" si="1018"/>
        <v>1562.2</v>
      </c>
      <c r="U374" s="234">
        <f t="shared" si="1019"/>
        <v>1562.2</v>
      </c>
      <c r="V374" s="93">
        <f t="shared" si="1020"/>
        <v>1549.2</v>
      </c>
      <c r="W374" s="234">
        <f t="shared" si="1021"/>
        <v>1549.2</v>
      </c>
      <c r="X374" s="388"/>
      <c r="Y374" s="387"/>
      <c r="Z374" s="387"/>
      <c r="AA374" s="388"/>
      <c r="AB374" s="345">
        <v>2233</v>
      </c>
      <c r="AC374" s="62"/>
    </row>
    <row r="375" spans="1:29" ht="12.6" customHeight="1" x14ac:dyDescent="0.2">
      <c r="A375" s="88"/>
      <c r="B375" s="939" t="s">
        <v>698</v>
      </c>
      <c r="C375" s="919"/>
      <c r="D375" s="919"/>
      <c r="E375" s="919"/>
      <c r="F375" s="464">
        <f>0.25*X2</f>
        <v>385</v>
      </c>
      <c r="G375" s="460">
        <f t="shared" ref="G375:G385" si="1023">+F375*$X$1</f>
        <v>385</v>
      </c>
      <c r="H375" s="596"/>
      <c r="I375" s="460"/>
      <c r="J375" s="596"/>
      <c r="K375" s="460"/>
      <c r="L375" s="596">
        <f>F375+300</f>
        <v>685</v>
      </c>
      <c r="M375" s="460">
        <f t="shared" ref="M375" si="1024">+L375*$X$1</f>
        <v>685</v>
      </c>
      <c r="N375" s="596">
        <f>F375+180</f>
        <v>565</v>
      </c>
      <c r="O375" s="460">
        <f t="shared" ref="O375" si="1025">+N375*$X$1</f>
        <v>565</v>
      </c>
      <c r="P375" s="596">
        <f>F375+120</f>
        <v>505</v>
      </c>
      <c r="Q375" s="460">
        <f t="shared" ref="Q375" si="1026">+P375*$X$1</f>
        <v>505</v>
      </c>
      <c r="R375" s="596">
        <f>F375+100</f>
        <v>485</v>
      </c>
      <c r="S375" s="460">
        <f t="shared" ref="S375" si="1027">+R375*$X$1</f>
        <v>485</v>
      </c>
      <c r="T375" s="532">
        <f>F375+80</f>
        <v>465</v>
      </c>
      <c r="U375" s="531">
        <f t="shared" ref="U375" si="1028">+T375*$X$1</f>
        <v>465</v>
      </c>
      <c r="V375" s="532">
        <f>F375+60</f>
        <v>445</v>
      </c>
      <c r="W375" s="531">
        <f t="shared" ref="W375" si="1029">+V375*$X$1</f>
        <v>445</v>
      </c>
      <c r="X375" s="126"/>
      <c r="Y375" s="122"/>
      <c r="Z375" s="122"/>
      <c r="AA375" s="125"/>
      <c r="AB375" s="345">
        <v>2234</v>
      </c>
    </row>
    <row r="376" spans="1:29" ht="12.6" customHeight="1" x14ac:dyDescent="0.2">
      <c r="A376" s="88"/>
      <c r="B376" s="630" t="s">
        <v>699</v>
      </c>
      <c r="C376" s="762"/>
      <c r="D376" s="762"/>
      <c r="E376" s="762"/>
      <c r="F376" s="326">
        <f>0.447*X2</f>
        <v>688.38</v>
      </c>
      <c r="G376" s="255">
        <f t="shared" si="1023"/>
        <v>688.38</v>
      </c>
      <c r="H376" s="251"/>
      <c r="I376" s="302"/>
      <c r="J376" s="537"/>
      <c r="K376" s="255"/>
      <c r="L376" s="537">
        <f>F376+300</f>
        <v>988.38</v>
      </c>
      <c r="M376" s="255">
        <f t="shared" ref="M376" si="1030">+L376*$X$1</f>
        <v>988.38</v>
      </c>
      <c r="N376" s="537">
        <f>F376+180</f>
        <v>868.38</v>
      </c>
      <c r="O376" s="255">
        <f t="shared" ref="O376" si="1031">+N376*$X$1</f>
        <v>868.38</v>
      </c>
      <c r="P376" s="537">
        <f>F376+120</f>
        <v>808.38</v>
      </c>
      <c r="Q376" s="255">
        <f t="shared" ref="Q376" si="1032">+P376*$X$1</f>
        <v>808.38</v>
      </c>
      <c r="R376" s="537">
        <f>F376+100</f>
        <v>788.38</v>
      </c>
      <c r="S376" s="255">
        <f t="shared" ref="S376" si="1033">+R376*$X$1</f>
        <v>788.38</v>
      </c>
      <c r="T376" s="93">
        <f>F376+80</f>
        <v>768.38</v>
      </c>
      <c r="U376" s="234">
        <f t="shared" ref="U376" si="1034">+T376*$X$1</f>
        <v>768.38</v>
      </c>
      <c r="V376" s="93">
        <f>F376+60</f>
        <v>748.38</v>
      </c>
      <c r="W376" s="234">
        <f t="shared" ref="W376" si="1035">+V376*$X$1</f>
        <v>748.38</v>
      </c>
      <c r="X376" s="126"/>
      <c r="Y376" s="122"/>
      <c r="Z376" s="122"/>
      <c r="AA376" s="125"/>
      <c r="AB376" s="345" t="s">
        <v>215</v>
      </c>
    </row>
    <row r="377" spans="1:29" ht="12.6" customHeight="1" x14ac:dyDescent="0.2">
      <c r="A377" s="17"/>
      <c r="B377" s="915" t="s">
        <v>733</v>
      </c>
      <c r="C377" s="916"/>
      <c r="D377" s="916"/>
      <c r="E377" s="917"/>
      <c r="F377" s="328">
        <f>0.34*X2</f>
        <v>523.6</v>
      </c>
      <c r="G377" s="256">
        <f t="shared" si="1023"/>
        <v>523.6</v>
      </c>
      <c r="H377" s="250"/>
      <c r="I377" s="250"/>
      <c r="J377" s="546"/>
      <c r="K377" s="546"/>
      <c r="L377" s="546">
        <f t="shared" ref="L377" si="1036">F377+200</f>
        <v>723.6</v>
      </c>
      <c r="M377" s="256">
        <f t="shared" ref="M377" si="1037">+L377*$X$1</f>
        <v>723.6</v>
      </c>
      <c r="N377" s="546">
        <f t="shared" ref="N377" si="1038">F377+120</f>
        <v>643.6</v>
      </c>
      <c r="O377" s="256">
        <f t="shared" ref="O377" si="1039">+N377*$X$1</f>
        <v>643.6</v>
      </c>
      <c r="P377" s="546">
        <f t="shared" ref="P377" si="1040">F377+80</f>
        <v>603.6</v>
      </c>
      <c r="Q377" s="256">
        <f t="shared" ref="Q377" si="1041">+P377*$X$1</f>
        <v>603.6</v>
      </c>
      <c r="R377" s="546">
        <f t="shared" ref="R377" si="1042">F377+67</f>
        <v>590.6</v>
      </c>
      <c r="S377" s="256">
        <f t="shared" ref="S377" si="1043">+R377*$X$1</f>
        <v>590.6</v>
      </c>
      <c r="T377" s="92">
        <f t="shared" ref="T377" si="1044">F377+53</f>
        <v>576.6</v>
      </c>
      <c r="U377" s="269">
        <f t="shared" ref="U377" si="1045">+T377*$X$1</f>
        <v>576.6</v>
      </c>
      <c r="V377" s="92">
        <f t="shared" ref="V377" si="1046">F377+40</f>
        <v>563.6</v>
      </c>
      <c r="W377" s="269">
        <f t="shared" ref="W377" si="1047">+V377*$X$1</f>
        <v>563.6</v>
      </c>
      <c r="X377" s="402"/>
      <c r="Y377" s="403"/>
      <c r="Z377" s="403"/>
      <c r="AA377" s="402"/>
      <c r="AB377" s="345">
        <v>2235</v>
      </c>
      <c r="AC377" s="62"/>
    </row>
    <row r="378" spans="1:29" ht="12.6" customHeight="1" x14ac:dyDescent="0.2">
      <c r="A378" s="17"/>
      <c r="B378" s="679" t="s">
        <v>764</v>
      </c>
      <c r="C378" s="680"/>
      <c r="D378" s="680"/>
      <c r="E378" s="681"/>
      <c r="F378" s="329">
        <f>0.667*X2</f>
        <v>1027.18</v>
      </c>
      <c r="G378" s="255">
        <f t="shared" ref="G378" si="1048">+F378*$X$1</f>
        <v>1027.18</v>
      </c>
      <c r="H378" s="251"/>
      <c r="I378" s="251"/>
      <c r="J378" s="537"/>
      <c r="K378" s="537"/>
      <c r="L378" s="537">
        <f t="shared" ref="L378:L394" si="1049">F378+200</f>
        <v>1227.18</v>
      </c>
      <c r="M378" s="255">
        <f t="shared" ref="M378:M394" si="1050">+L378*$X$1</f>
        <v>1227.18</v>
      </c>
      <c r="N378" s="537">
        <f t="shared" ref="N378:N394" si="1051">F378+120</f>
        <v>1147.18</v>
      </c>
      <c r="O378" s="255">
        <f t="shared" ref="O378:O394" si="1052">+N378*$X$1</f>
        <v>1147.18</v>
      </c>
      <c r="P378" s="537">
        <f t="shared" ref="P378:P394" si="1053">F378+80</f>
        <v>1107.18</v>
      </c>
      <c r="Q378" s="255">
        <f t="shared" ref="Q378:Q394" si="1054">+P378*$X$1</f>
        <v>1107.18</v>
      </c>
      <c r="R378" s="537">
        <f t="shared" ref="R378:R394" si="1055">F378+67</f>
        <v>1094.18</v>
      </c>
      <c r="S378" s="255">
        <f t="shared" ref="S378:S394" si="1056">+R378*$X$1</f>
        <v>1094.18</v>
      </c>
      <c r="T378" s="93">
        <f t="shared" ref="T378:T394" si="1057">F378+53</f>
        <v>1080.18</v>
      </c>
      <c r="U378" s="234">
        <f t="shared" ref="U378:U394" si="1058">+T378*$X$1</f>
        <v>1080.18</v>
      </c>
      <c r="V378" s="93">
        <f t="shared" ref="V378:V394" si="1059">F378+40</f>
        <v>1067.18</v>
      </c>
      <c r="W378" s="234">
        <f t="shared" ref="W378:W394" si="1060">+V378*$X$1</f>
        <v>1067.18</v>
      </c>
      <c r="X378" s="442"/>
      <c r="Y378" s="443"/>
      <c r="Z378" s="443"/>
      <c r="AA378" s="442"/>
      <c r="AB378" s="345">
        <v>2236</v>
      </c>
      <c r="AC378" s="62"/>
    </row>
    <row r="379" spans="1:29" ht="12.6" customHeight="1" x14ac:dyDescent="0.2">
      <c r="A379" s="88"/>
      <c r="B379" s="642" t="s">
        <v>216</v>
      </c>
      <c r="C379" s="643"/>
      <c r="D379" s="643"/>
      <c r="E379" s="643"/>
      <c r="F379" s="327">
        <f>0.34*X2</f>
        <v>523.6</v>
      </c>
      <c r="G379" s="256">
        <f t="shared" si="1023"/>
        <v>523.6</v>
      </c>
      <c r="H379" s="250"/>
      <c r="I379" s="303"/>
      <c r="J379" s="546"/>
      <c r="K379" s="256"/>
      <c r="L379" s="546">
        <f t="shared" si="1049"/>
        <v>723.6</v>
      </c>
      <c r="M379" s="256">
        <f t="shared" si="1050"/>
        <v>723.6</v>
      </c>
      <c r="N379" s="546">
        <f t="shared" si="1051"/>
        <v>643.6</v>
      </c>
      <c r="O379" s="256">
        <f t="shared" si="1052"/>
        <v>643.6</v>
      </c>
      <c r="P379" s="546">
        <f t="shared" si="1053"/>
        <v>603.6</v>
      </c>
      <c r="Q379" s="256">
        <f t="shared" si="1054"/>
        <v>603.6</v>
      </c>
      <c r="R379" s="546">
        <f t="shared" si="1055"/>
        <v>590.6</v>
      </c>
      <c r="S379" s="256">
        <f t="shared" si="1056"/>
        <v>590.6</v>
      </c>
      <c r="T379" s="92">
        <f t="shared" si="1057"/>
        <v>576.6</v>
      </c>
      <c r="U379" s="269">
        <f t="shared" si="1058"/>
        <v>576.6</v>
      </c>
      <c r="V379" s="92">
        <f t="shared" si="1059"/>
        <v>563.6</v>
      </c>
      <c r="W379" s="269">
        <f t="shared" si="1060"/>
        <v>563.6</v>
      </c>
      <c r="X379" s="126"/>
      <c r="Y379" s="122"/>
      <c r="Z379" s="122"/>
      <c r="AA379" s="125"/>
      <c r="AB379" s="345">
        <v>2238</v>
      </c>
    </row>
    <row r="380" spans="1:29" ht="12.6" customHeight="1" x14ac:dyDescent="0.2">
      <c r="A380" s="94"/>
      <c r="B380" s="666" t="s">
        <v>217</v>
      </c>
      <c r="C380" s="684"/>
      <c r="D380" s="684"/>
      <c r="E380" s="685"/>
      <c r="F380" s="326">
        <f>0.391*X2</f>
        <v>602.14</v>
      </c>
      <c r="G380" s="255">
        <f t="shared" si="1023"/>
        <v>602.14</v>
      </c>
      <c r="H380" s="251"/>
      <c r="I380" s="302"/>
      <c r="J380" s="537"/>
      <c r="K380" s="255"/>
      <c r="L380" s="537">
        <f t="shared" si="1049"/>
        <v>802.14</v>
      </c>
      <c r="M380" s="255">
        <f t="shared" si="1050"/>
        <v>802.14</v>
      </c>
      <c r="N380" s="537">
        <f t="shared" si="1051"/>
        <v>722.14</v>
      </c>
      <c r="O380" s="255">
        <f t="shared" si="1052"/>
        <v>722.14</v>
      </c>
      <c r="P380" s="537">
        <f t="shared" si="1053"/>
        <v>682.14</v>
      </c>
      <c r="Q380" s="255">
        <f t="shared" si="1054"/>
        <v>682.14</v>
      </c>
      <c r="R380" s="537">
        <f t="shared" si="1055"/>
        <v>669.14</v>
      </c>
      <c r="S380" s="255">
        <f t="shared" si="1056"/>
        <v>669.14</v>
      </c>
      <c r="T380" s="93">
        <f t="shared" si="1057"/>
        <v>655.14</v>
      </c>
      <c r="U380" s="234">
        <f t="shared" si="1058"/>
        <v>655.14</v>
      </c>
      <c r="V380" s="93">
        <f t="shared" si="1059"/>
        <v>642.14</v>
      </c>
      <c r="W380" s="234">
        <f t="shared" si="1060"/>
        <v>642.14</v>
      </c>
      <c r="X380" s="126"/>
      <c r="Y380" s="122"/>
      <c r="Z380" s="122"/>
      <c r="AA380" s="125"/>
      <c r="AB380" s="345">
        <v>2239</v>
      </c>
    </row>
    <row r="381" spans="1:29" ht="12.6" customHeight="1" x14ac:dyDescent="0.2">
      <c r="A381" s="17"/>
      <c r="B381" s="642" t="s">
        <v>861</v>
      </c>
      <c r="C381" s="643"/>
      <c r="D381" s="643"/>
      <c r="E381" s="643"/>
      <c r="F381" s="327">
        <f>0.35*X2</f>
        <v>539</v>
      </c>
      <c r="G381" s="256">
        <f t="shared" si="1023"/>
        <v>539</v>
      </c>
      <c r="H381" s="250"/>
      <c r="I381" s="303"/>
      <c r="J381" s="546"/>
      <c r="K381" s="256"/>
      <c r="L381" s="546">
        <f t="shared" si="1049"/>
        <v>739</v>
      </c>
      <c r="M381" s="256">
        <f t="shared" si="1050"/>
        <v>739</v>
      </c>
      <c r="N381" s="546">
        <f t="shared" si="1051"/>
        <v>659</v>
      </c>
      <c r="O381" s="256">
        <f t="shared" si="1052"/>
        <v>659</v>
      </c>
      <c r="P381" s="546">
        <f t="shared" si="1053"/>
        <v>619</v>
      </c>
      <c r="Q381" s="256">
        <f t="shared" si="1054"/>
        <v>619</v>
      </c>
      <c r="R381" s="546">
        <f t="shared" si="1055"/>
        <v>606</v>
      </c>
      <c r="S381" s="256">
        <f t="shared" si="1056"/>
        <v>606</v>
      </c>
      <c r="T381" s="92">
        <f t="shared" si="1057"/>
        <v>592</v>
      </c>
      <c r="U381" s="269">
        <f t="shared" si="1058"/>
        <v>592</v>
      </c>
      <c r="V381" s="92">
        <f t="shared" si="1059"/>
        <v>579</v>
      </c>
      <c r="W381" s="269">
        <f t="shared" si="1060"/>
        <v>579</v>
      </c>
      <c r="X381" s="126"/>
      <c r="Y381" s="122"/>
      <c r="Z381" s="122"/>
      <c r="AA381" s="125"/>
      <c r="AB381" s="345">
        <v>2240</v>
      </c>
    </row>
    <row r="382" spans="1:29" ht="12.6" customHeight="1" x14ac:dyDescent="0.2">
      <c r="A382" s="17"/>
      <c r="B382" s="630" t="s">
        <v>794</v>
      </c>
      <c r="C382" s="631"/>
      <c r="D382" s="631"/>
      <c r="E382" s="631"/>
      <c r="F382" s="326">
        <f>0.333*X2</f>
        <v>512.82000000000005</v>
      </c>
      <c r="G382" s="255">
        <f t="shared" ref="G382" si="1061">+F382*$X$1</f>
        <v>512.82000000000005</v>
      </c>
      <c r="H382" s="251"/>
      <c r="I382" s="302"/>
      <c r="J382" s="537"/>
      <c r="K382" s="255"/>
      <c r="L382" s="537">
        <f t="shared" si="1049"/>
        <v>712.82</v>
      </c>
      <c r="M382" s="255">
        <f t="shared" si="1050"/>
        <v>712.82</v>
      </c>
      <c r="N382" s="537">
        <f t="shared" si="1051"/>
        <v>632.82000000000005</v>
      </c>
      <c r="O382" s="255">
        <f t="shared" si="1052"/>
        <v>632.82000000000005</v>
      </c>
      <c r="P382" s="537">
        <f t="shared" si="1053"/>
        <v>592.82000000000005</v>
      </c>
      <c r="Q382" s="255">
        <f t="shared" si="1054"/>
        <v>592.82000000000005</v>
      </c>
      <c r="R382" s="537">
        <f t="shared" si="1055"/>
        <v>579.82000000000005</v>
      </c>
      <c r="S382" s="255">
        <f t="shared" si="1056"/>
        <v>579.82000000000005</v>
      </c>
      <c r="T382" s="93">
        <f t="shared" si="1057"/>
        <v>565.82000000000005</v>
      </c>
      <c r="U382" s="234">
        <f t="shared" si="1058"/>
        <v>565.82000000000005</v>
      </c>
      <c r="V382" s="93">
        <f t="shared" si="1059"/>
        <v>552.82000000000005</v>
      </c>
      <c r="W382" s="234">
        <f t="shared" si="1060"/>
        <v>552.82000000000005</v>
      </c>
      <c r="X382" s="126"/>
      <c r="Y382" s="122"/>
      <c r="Z382" s="122"/>
      <c r="AA382" s="125"/>
      <c r="AB382" s="345" t="s">
        <v>803</v>
      </c>
    </row>
    <row r="383" spans="1:29" ht="12.6" customHeight="1" x14ac:dyDescent="0.2">
      <c r="A383" s="17"/>
      <c r="B383" s="642" t="s">
        <v>739</v>
      </c>
      <c r="C383" s="643"/>
      <c r="D383" s="643"/>
      <c r="E383" s="643"/>
      <c r="F383" s="327">
        <f>0.15*X2</f>
        <v>231</v>
      </c>
      <c r="G383" s="256">
        <f t="shared" ref="G383:G384" si="1062">+F383*$X$1</f>
        <v>231</v>
      </c>
      <c r="H383" s="250"/>
      <c r="I383" s="303"/>
      <c r="J383" s="546"/>
      <c r="K383" s="256"/>
      <c r="L383" s="546">
        <f t="shared" si="1049"/>
        <v>431</v>
      </c>
      <c r="M383" s="256">
        <f t="shared" si="1050"/>
        <v>431</v>
      </c>
      <c r="N383" s="546">
        <f t="shared" si="1051"/>
        <v>351</v>
      </c>
      <c r="O383" s="256">
        <f t="shared" si="1052"/>
        <v>351</v>
      </c>
      <c r="P383" s="546">
        <f t="shared" si="1053"/>
        <v>311</v>
      </c>
      <c r="Q383" s="256">
        <f t="shared" si="1054"/>
        <v>311</v>
      </c>
      <c r="R383" s="546">
        <f t="shared" si="1055"/>
        <v>298</v>
      </c>
      <c r="S383" s="256">
        <f t="shared" si="1056"/>
        <v>298</v>
      </c>
      <c r="T383" s="92">
        <f t="shared" si="1057"/>
        <v>284</v>
      </c>
      <c r="U383" s="269">
        <f t="shared" si="1058"/>
        <v>284</v>
      </c>
      <c r="V383" s="92">
        <f t="shared" si="1059"/>
        <v>271</v>
      </c>
      <c r="W383" s="269">
        <f t="shared" si="1060"/>
        <v>271</v>
      </c>
      <c r="X383" s="126"/>
      <c r="Y383" s="122"/>
      <c r="Z383" s="122"/>
      <c r="AA383" s="125"/>
      <c r="AB383" s="345">
        <v>2241</v>
      </c>
    </row>
    <row r="384" spans="1:29" ht="12.6" customHeight="1" x14ac:dyDescent="0.2">
      <c r="A384" s="17"/>
      <c r="B384" s="630" t="s">
        <v>889</v>
      </c>
      <c r="C384" s="631"/>
      <c r="D384" s="631"/>
      <c r="E384" s="631"/>
      <c r="F384" s="326">
        <f>0.22*X2</f>
        <v>338.8</v>
      </c>
      <c r="G384" s="255">
        <f t="shared" si="1062"/>
        <v>338.8</v>
      </c>
      <c r="H384" s="251"/>
      <c r="I384" s="302"/>
      <c r="J384" s="537"/>
      <c r="K384" s="255"/>
      <c r="L384" s="537">
        <f t="shared" si="1049"/>
        <v>538.79999999999995</v>
      </c>
      <c r="M384" s="255">
        <f t="shared" si="1050"/>
        <v>538.79999999999995</v>
      </c>
      <c r="N384" s="537">
        <f t="shared" si="1051"/>
        <v>458.8</v>
      </c>
      <c r="O384" s="255">
        <f t="shared" si="1052"/>
        <v>458.8</v>
      </c>
      <c r="P384" s="537">
        <f t="shared" si="1053"/>
        <v>418.8</v>
      </c>
      <c r="Q384" s="255">
        <f t="shared" si="1054"/>
        <v>418.8</v>
      </c>
      <c r="R384" s="537">
        <f t="shared" si="1055"/>
        <v>405.8</v>
      </c>
      <c r="S384" s="255">
        <f t="shared" si="1056"/>
        <v>405.8</v>
      </c>
      <c r="T384" s="93">
        <f t="shared" si="1057"/>
        <v>391.8</v>
      </c>
      <c r="U384" s="234">
        <f t="shared" si="1058"/>
        <v>391.8</v>
      </c>
      <c r="V384" s="93">
        <f t="shared" si="1059"/>
        <v>378.8</v>
      </c>
      <c r="W384" s="234">
        <f t="shared" si="1060"/>
        <v>378.8</v>
      </c>
      <c r="X384" s="126"/>
      <c r="Y384" s="122"/>
      <c r="Z384" s="122"/>
      <c r="AA384" s="125"/>
      <c r="AB384" s="345">
        <v>2242</v>
      </c>
    </row>
    <row r="385" spans="1:34" ht="12.6" customHeight="1" x14ac:dyDescent="0.2">
      <c r="A385" s="88"/>
      <c r="B385" s="642" t="s">
        <v>218</v>
      </c>
      <c r="C385" s="643"/>
      <c r="D385" s="643"/>
      <c r="E385" s="643"/>
      <c r="F385" s="327">
        <f>0.22*X2</f>
        <v>338.8</v>
      </c>
      <c r="G385" s="256">
        <f t="shared" si="1023"/>
        <v>338.8</v>
      </c>
      <c r="H385" s="250"/>
      <c r="I385" s="303"/>
      <c r="J385" s="546"/>
      <c r="K385" s="256"/>
      <c r="L385" s="546">
        <f t="shared" si="1049"/>
        <v>538.79999999999995</v>
      </c>
      <c r="M385" s="256">
        <f t="shared" si="1050"/>
        <v>538.79999999999995</v>
      </c>
      <c r="N385" s="546">
        <f t="shared" si="1051"/>
        <v>458.8</v>
      </c>
      <c r="O385" s="256">
        <f t="shared" si="1052"/>
        <v>458.8</v>
      </c>
      <c r="P385" s="546">
        <f t="shared" si="1053"/>
        <v>418.8</v>
      </c>
      <c r="Q385" s="256">
        <f t="shared" si="1054"/>
        <v>418.8</v>
      </c>
      <c r="R385" s="546">
        <f t="shared" si="1055"/>
        <v>405.8</v>
      </c>
      <c r="S385" s="256">
        <f t="shared" si="1056"/>
        <v>405.8</v>
      </c>
      <c r="T385" s="92">
        <f t="shared" si="1057"/>
        <v>391.8</v>
      </c>
      <c r="U385" s="269">
        <f t="shared" si="1058"/>
        <v>391.8</v>
      </c>
      <c r="V385" s="92">
        <f t="shared" si="1059"/>
        <v>378.8</v>
      </c>
      <c r="W385" s="269">
        <f t="shared" si="1060"/>
        <v>378.8</v>
      </c>
      <c r="X385" s="126"/>
      <c r="Y385" s="122"/>
      <c r="Z385" s="122"/>
      <c r="AA385" s="125"/>
      <c r="AB385" s="345">
        <v>2244</v>
      </c>
    </row>
    <row r="386" spans="1:34" ht="12.6" customHeight="1" x14ac:dyDescent="0.2">
      <c r="A386" s="17"/>
      <c r="B386" s="630" t="s">
        <v>742</v>
      </c>
      <c r="C386" s="631"/>
      <c r="D386" s="631"/>
      <c r="E386" s="631"/>
      <c r="F386" s="326">
        <f>0.235*X2</f>
        <v>361.9</v>
      </c>
      <c r="G386" s="255">
        <f t="shared" ref="G386:G387" si="1063">+F386*$X$1</f>
        <v>361.9</v>
      </c>
      <c r="H386" s="251"/>
      <c r="I386" s="302"/>
      <c r="J386" s="537"/>
      <c r="K386" s="255"/>
      <c r="L386" s="537">
        <f t="shared" si="1049"/>
        <v>561.9</v>
      </c>
      <c r="M386" s="255">
        <f t="shared" si="1050"/>
        <v>561.9</v>
      </c>
      <c r="N386" s="537">
        <f t="shared" si="1051"/>
        <v>481.9</v>
      </c>
      <c r="O386" s="255">
        <f t="shared" si="1052"/>
        <v>481.9</v>
      </c>
      <c r="P386" s="537">
        <f t="shared" si="1053"/>
        <v>441.9</v>
      </c>
      <c r="Q386" s="255">
        <f t="shared" si="1054"/>
        <v>441.9</v>
      </c>
      <c r="R386" s="537">
        <f t="shared" si="1055"/>
        <v>428.9</v>
      </c>
      <c r="S386" s="255">
        <f t="shared" si="1056"/>
        <v>428.9</v>
      </c>
      <c r="T386" s="93">
        <f t="shared" si="1057"/>
        <v>414.9</v>
      </c>
      <c r="U386" s="234">
        <f t="shared" si="1058"/>
        <v>414.9</v>
      </c>
      <c r="V386" s="93">
        <f t="shared" si="1059"/>
        <v>401.9</v>
      </c>
      <c r="W386" s="234">
        <f t="shared" si="1060"/>
        <v>401.9</v>
      </c>
      <c r="X386" s="126"/>
      <c r="Y386" s="122"/>
      <c r="Z386" s="122"/>
      <c r="AA386" s="125"/>
      <c r="AB386" s="345">
        <v>2245</v>
      </c>
    </row>
    <row r="387" spans="1:34" ht="12.6" customHeight="1" x14ac:dyDescent="0.2">
      <c r="A387" s="17"/>
      <c r="B387" s="642" t="s">
        <v>741</v>
      </c>
      <c r="C387" s="643"/>
      <c r="D387" s="643"/>
      <c r="E387" s="643"/>
      <c r="F387" s="327">
        <f>0.245*X2</f>
        <v>377.3</v>
      </c>
      <c r="G387" s="256">
        <f t="shared" si="1063"/>
        <v>377.3</v>
      </c>
      <c r="H387" s="250"/>
      <c r="I387" s="303"/>
      <c r="J387" s="546"/>
      <c r="K387" s="256"/>
      <c r="L387" s="546">
        <f t="shared" si="1049"/>
        <v>577.29999999999995</v>
      </c>
      <c r="M387" s="256">
        <f t="shared" si="1050"/>
        <v>577.29999999999995</v>
      </c>
      <c r="N387" s="546">
        <f t="shared" si="1051"/>
        <v>497.3</v>
      </c>
      <c r="O387" s="256">
        <f t="shared" si="1052"/>
        <v>497.3</v>
      </c>
      <c r="P387" s="546">
        <f t="shared" si="1053"/>
        <v>457.3</v>
      </c>
      <c r="Q387" s="256">
        <f t="shared" si="1054"/>
        <v>457.3</v>
      </c>
      <c r="R387" s="546">
        <f t="shared" si="1055"/>
        <v>444.3</v>
      </c>
      <c r="S387" s="256">
        <f t="shared" si="1056"/>
        <v>444.3</v>
      </c>
      <c r="T387" s="92">
        <f t="shared" si="1057"/>
        <v>430.3</v>
      </c>
      <c r="U387" s="269">
        <f t="shared" si="1058"/>
        <v>430.3</v>
      </c>
      <c r="V387" s="92">
        <f t="shared" si="1059"/>
        <v>417.3</v>
      </c>
      <c r="W387" s="269">
        <f t="shared" si="1060"/>
        <v>417.3</v>
      </c>
      <c r="X387" s="126"/>
      <c r="Y387" s="122"/>
      <c r="Z387" s="122"/>
      <c r="AA387" s="125"/>
      <c r="AB387" s="345" t="s">
        <v>740</v>
      </c>
    </row>
    <row r="388" spans="1:34" ht="12.6" customHeight="1" x14ac:dyDescent="0.2">
      <c r="A388" s="88"/>
      <c r="B388" s="630" t="s">
        <v>470</v>
      </c>
      <c r="C388" s="631"/>
      <c r="D388" s="631"/>
      <c r="E388" s="631"/>
      <c r="F388" s="291">
        <v>1490</v>
      </c>
      <c r="G388" s="255">
        <f>+F388*$X$1</f>
        <v>1490</v>
      </c>
      <c r="H388" s="251"/>
      <c r="I388" s="302"/>
      <c r="J388" s="537"/>
      <c r="K388" s="255"/>
      <c r="L388" s="537">
        <f t="shared" si="1049"/>
        <v>1690</v>
      </c>
      <c r="M388" s="255">
        <f t="shared" si="1050"/>
        <v>1690</v>
      </c>
      <c r="N388" s="537">
        <f t="shared" si="1051"/>
        <v>1610</v>
      </c>
      <c r="O388" s="255">
        <f t="shared" si="1052"/>
        <v>1610</v>
      </c>
      <c r="P388" s="537">
        <f t="shared" si="1053"/>
        <v>1570</v>
      </c>
      <c r="Q388" s="255">
        <f t="shared" si="1054"/>
        <v>1570</v>
      </c>
      <c r="R388" s="537">
        <f t="shared" si="1055"/>
        <v>1557</v>
      </c>
      <c r="S388" s="255">
        <f t="shared" si="1056"/>
        <v>1557</v>
      </c>
      <c r="T388" s="93">
        <f t="shared" si="1057"/>
        <v>1543</v>
      </c>
      <c r="U388" s="234">
        <f t="shared" si="1058"/>
        <v>1543</v>
      </c>
      <c r="V388" s="93">
        <f t="shared" si="1059"/>
        <v>1530</v>
      </c>
      <c r="W388" s="234">
        <f t="shared" si="1060"/>
        <v>1530</v>
      </c>
      <c r="X388" s="126"/>
      <c r="Y388" s="122"/>
      <c r="Z388" s="122"/>
      <c r="AA388" s="125"/>
      <c r="AB388" s="345">
        <v>2246</v>
      </c>
    </row>
    <row r="389" spans="1:34" ht="12.6" customHeight="1" x14ac:dyDescent="0.2">
      <c r="A389" s="17"/>
      <c r="B389" s="642" t="s">
        <v>746</v>
      </c>
      <c r="C389" s="643"/>
      <c r="D389" s="643"/>
      <c r="E389" s="643"/>
      <c r="F389" s="513">
        <f>1.98*X2</f>
        <v>3049.2</v>
      </c>
      <c r="G389" s="256">
        <f t="shared" ref="G389" si="1064">+F389*$X$1</f>
        <v>3049.2</v>
      </c>
      <c r="H389" s="250"/>
      <c r="I389" s="303"/>
      <c r="J389" s="546">
        <f>F389+240</f>
        <v>3289.2</v>
      </c>
      <c r="K389" s="256">
        <f t="shared" ref="K389" si="1065">+J389*$X$1</f>
        <v>3289.2</v>
      </c>
      <c r="L389" s="546">
        <f t="shared" si="1049"/>
        <v>3249.2</v>
      </c>
      <c r="M389" s="256">
        <f t="shared" si="1050"/>
        <v>3249.2</v>
      </c>
      <c r="N389" s="546">
        <f t="shared" si="1051"/>
        <v>3169.2</v>
      </c>
      <c r="O389" s="256">
        <f t="shared" si="1052"/>
        <v>3169.2</v>
      </c>
      <c r="P389" s="546">
        <f t="shared" si="1053"/>
        <v>3129.2</v>
      </c>
      <c r="Q389" s="256">
        <f t="shared" si="1054"/>
        <v>3129.2</v>
      </c>
      <c r="R389" s="546">
        <f t="shared" si="1055"/>
        <v>3116.2</v>
      </c>
      <c r="S389" s="256">
        <f t="shared" si="1056"/>
        <v>3116.2</v>
      </c>
      <c r="T389" s="92">
        <f t="shared" si="1057"/>
        <v>3102.2</v>
      </c>
      <c r="U389" s="269">
        <f t="shared" si="1058"/>
        <v>3102.2</v>
      </c>
      <c r="V389" s="92">
        <f t="shared" si="1059"/>
        <v>3089.2</v>
      </c>
      <c r="W389" s="269">
        <f t="shared" si="1060"/>
        <v>3089.2</v>
      </c>
      <c r="X389" s="126"/>
      <c r="Y389" s="122"/>
      <c r="Z389" s="122"/>
      <c r="AA389" s="125"/>
      <c r="AB389" s="345">
        <v>2247</v>
      </c>
    </row>
    <row r="390" spans="1:34" ht="12.6" customHeight="1" x14ac:dyDescent="0.2">
      <c r="A390" s="17"/>
      <c r="B390" s="666" t="s">
        <v>425</v>
      </c>
      <c r="C390" s="692"/>
      <c r="D390" s="692"/>
      <c r="E390" s="693"/>
      <c r="F390" s="329">
        <f>0.35*X2</f>
        <v>539</v>
      </c>
      <c r="G390" s="255">
        <f t="shared" ref="G390" si="1066">+F390*$X$1</f>
        <v>539</v>
      </c>
      <c r="H390" s="251"/>
      <c r="I390" s="302"/>
      <c r="J390" s="537"/>
      <c r="K390" s="255"/>
      <c r="L390" s="537">
        <f t="shared" si="1049"/>
        <v>739</v>
      </c>
      <c r="M390" s="255">
        <f t="shared" si="1050"/>
        <v>739</v>
      </c>
      <c r="N390" s="537">
        <f t="shared" si="1051"/>
        <v>659</v>
      </c>
      <c r="O390" s="255">
        <f t="shared" si="1052"/>
        <v>659</v>
      </c>
      <c r="P390" s="537">
        <f t="shared" si="1053"/>
        <v>619</v>
      </c>
      <c r="Q390" s="255">
        <f t="shared" si="1054"/>
        <v>619</v>
      </c>
      <c r="R390" s="537">
        <f t="shared" si="1055"/>
        <v>606</v>
      </c>
      <c r="S390" s="255">
        <f t="shared" si="1056"/>
        <v>606</v>
      </c>
      <c r="T390" s="93">
        <f t="shared" si="1057"/>
        <v>592</v>
      </c>
      <c r="U390" s="234">
        <f t="shared" si="1058"/>
        <v>592</v>
      </c>
      <c r="V390" s="93">
        <f t="shared" si="1059"/>
        <v>579</v>
      </c>
      <c r="W390" s="234">
        <f t="shared" si="1060"/>
        <v>579</v>
      </c>
      <c r="X390" s="119"/>
      <c r="Y390" s="119"/>
      <c r="Z390" s="119"/>
      <c r="AA390" s="119"/>
      <c r="AB390" s="359">
        <v>2251</v>
      </c>
    </row>
    <row r="391" spans="1:34" ht="12.6" customHeight="1" x14ac:dyDescent="0.2">
      <c r="A391" s="17"/>
      <c r="B391" s="639" t="s">
        <v>615</v>
      </c>
      <c r="C391" s="664"/>
      <c r="D391" s="664"/>
      <c r="E391" s="665"/>
      <c r="F391" s="328">
        <f>0.35*X2</f>
        <v>539</v>
      </c>
      <c r="G391" s="256">
        <f>+F391*$X$1</f>
        <v>539</v>
      </c>
      <c r="H391" s="250"/>
      <c r="I391" s="303"/>
      <c r="J391" s="546"/>
      <c r="K391" s="256"/>
      <c r="L391" s="546">
        <f t="shared" si="1049"/>
        <v>739</v>
      </c>
      <c r="M391" s="256">
        <f t="shared" si="1050"/>
        <v>739</v>
      </c>
      <c r="N391" s="546">
        <f t="shared" si="1051"/>
        <v>659</v>
      </c>
      <c r="O391" s="256">
        <f t="shared" si="1052"/>
        <v>659</v>
      </c>
      <c r="P391" s="546">
        <f t="shared" si="1053"/>
        <v>619</v>
      </c>
      <c r="Q391" s="256">
        <f t="shared" si="1054"/>
        <v>619</v>
      </c>
      <c r="R391" s="546">
        <f t="shared" si="1055"/>
        <v>606</v>
      </c>
      <c r="S391" s="256">
        <f t="shared" si="1056"/>
        <v>606</v>
      </c>
      <c r="T391" s="92">
        <f t="shared" si="1057"/>
        <v>592</v>
      </c>
      <c r="U391" s="269">
        <f t="shared" si="1058"/>
        <v>592</v>
      </c>
      <c r="V391" s="92">
        <f t="shared" si="1059"/>
        <v>579</v>
      </c>
      <c r="W391" s="269">
        <f t="shared" si="1060"/>
        <v>579</v>
      </c>
      <c r="X391" s="119"/>
      <c r="Y391" s="119"/>
      <c r="Z391" s="119"/>
      <c r="AA391" s="119"/>
      <c r="AB391" s="345">
        <v>2252</v>
      </c>
    </row>
    <row r="392" spans="1:34" ht="12.6" customHeight="1" x14ac:dyDescent="0.2">
      <c r="A392" s="94"/>
      <c r="B392" s="666" t="s">
        <v>219</v>
      </c>
      <c r="C392" s="667"/>
      <c r="D392" s="667"/>
      <c r="E392" s="668"/>
      <c r="F392" s="326">
        <f>0.3*X2</f>
        <v>462</v>
      </c>
      <c r="G392" s="255">
        <f>+F392*$X$1</f>
        <v>462</v>
      </c>
      <c r="H392" s="251"/>
      <c r="I392" s="302"/>
      <c r="J392" s="537"/>
      <c r="K392" s="255"/>
      <c r="L392" s="537">
        <f t="shared" si="1049"/>
        <v>662</v>
      </c>
      <c r="M392" s="255">
        <f t="shared" si="1050"/>
        <v>662</v>
      </c>
      <c r="N392" s="537">
        <f t="shared" si="1051"/>
        <v>582</v>
      </c>
      <c r="O392" s="255">
        <f t="shared" si="1052"/>
        <v>582</v>
      </c>
      <c r="P392" s="537">
        <f t="shared" si="1053"/>
        <v>542</v>
      </c>
      <c r="Q392" s="255">
        <f t="shared" si="1054"/>
        <v>542</v>
      </c>
      <c r="R392" s="537">
        <f t="shared" si="1055"/>
        <v>529</v>
      </c>
      <c r="S392" s="255">
        <f t="shared" si="1056"/>
        <v>529</v>
      </c>
      <c r="T392" s="93">
        <f t="shared" si="1057"/>
        <v>515</v>
      </c>
      <c r="U392" s="234">
        <f t="shared" si="1058"/>
        <v>515</v>
      </c>
      <c r="V392" s="93">
        <f t="shared" si="1059"/>
        <v>502</v>
      </c>
      <c r="W392" s="234">
        <f t="shared" si="1060"/>
        <v>502</v>
      </c>
      <c r="X392" s="156"/>
      <c r="Y392" s="119"/>
      <c r="Z392" s="119"/>
      <c r="AA392" s="135"/>
      <c r="AB392" s="345">
        <v>2254</v>
      </c>
      <c r="AC392" s="62"/>
    </row>
    <row r="393" spans="1:34" ht="12.6" customHeight="1" x14ac:dyDescent="0.2">
      <c r="A393" s="94"/>
      <c r="B393" s="639" t="s">
        <v>437</v>
      </c>
      <c r="C393" s="640"/>
      <c r="D393" s="640"/>
      <c r="E393" s="641"/>
      <c r="F393" s="327">
        <f>0.3*X2</f>
        <v>462</v>
      </c>
      <c r="G393" s="256">
        <f>+F393*$X$1</f>
        <v>462</v>
      </c>
      <c r="H393" s="250"/>
      <c r="I393" s="303"/>
      <c r="J393" s="546"/>
      <c r="K393" s="256"/>
      <c r="L393" s="546">
        <f t="shared" si="1049"/>
        <v>662</v>
      </c>
      <c r="M393" s="256">
        <f t="shared" si="1050"/>
        <v>662</v>
      </c>
      <c r="N393" s="546">
        <f t="shared" si="1051"/>
        <v>582</v>
      </c>
      <c r="O393" s="256">
        <f t="shared" si="1052"/>
        <v>582</v>
      </c>
      <c r="P393" s="546">
        <f t="shared" si="1053"/>
        <v>542</v>
      </c>
      <c r="Q393" s="256">
        <f t="shared" si="1054"/>
        <v>542</v>
      </c>
      <c r="R393" s="546">
        <f t="shared" si="1055"/>
        <v>529</v>
      </c>
      <c r="S393" s="256">
        <f t="shared" si="1056"/>
        <v>529</v>
      </c>
      <c r="T393" s="92">
        <f t="shared" si="1057"/>
        <v>515</v>
      </c>
      <c r="U393" s="269">
        <f t="shared" si="1058"/>
        <v>515</v>
      </c>
      <c r="V393" s="92">
        <f t="shared" si="1059"/>
        <v>502</v>
      </c>
      <c r="W393" s="269">
        <f t="shared" si="1060"/>
        <v>502</v>
      </c>
      <c r="X393" s="156"/>
      <c r="Y393" s="119"/>
      <c r="Z393" s="119"/>
      <c r="AA393" s="135"/>
      <c r="AB393" s="345" t="s">
        <v>462</v>
      </c>
      <c r="AC393" s="62"/>
    </row>
    <row r="394" spans="1:34" ht="12.6" customHeight="1" x14ac:dyDescent="0.2">
      <c r="A394" s="94"/>
      <c r="B394" s="666" t="s">
        <v>971</v>
      </c>
      <c r="C394" s="667"/>
      <c r="D394" s="667"/>
      <c r="E394" s="668"/>
      <c r="F394" s="326">
        <f>0.3*X2</f>
        <v>462</v>
      </c>
      <c r="G394" s="255">
        <f t="shared" ref="G394" si="1067">+F394*$X$1</f>
        <v>462</v>
      </c>
      <c r="H394" s="251"/>
      <c r="I394" s="302"/>
      <c r="J394" s="537"/>
      <c r="K394" s="255"/>
      <c r="L394" s="537">
        <f t="shared" si="1049"/>
        <v>662</v>
      </c>
      <c r="M394" s="255">
        <f t="shared" si="1050"/>
        <v>662</v>
      </c>
      <c r="N394" s="537">
        <f t="shared" si="1051"/>
        <v>582</v>
      </c>
      <c r="O394" s="255">
        <f t="shared" si="1052"/>
        <v>582</v>
      </c>
      <c r="P394" s="537">
        <f t="shared" si="1053"/>
        <v>542</v>
      </c>
      <c r="Q394" s="255">
        <f t="shared" si="1054"/>
        <v>542</v>
      </c>
      <c r="R394" s="537">
        <f t="shared" si="1055"/>
        <v>529</v>
      </c>
      <c r="S394" s="255">
        <f t="shared" si="1056"/>
        <v>529</v>
      </c>
      <c r="T394" s="93">
        <f t="shared" si="1057"/>
        <v>515</v>
      </c>
      <c r="U394" s="234">
        <f t="shared" si="1058"/>
        <v>515</v>
      </c>
      <c r="V394" s="93">
        <f t="shared" si="1059"/>
        <v>502</v>
      </c>
      <c r="W394" s="234">
        <f t="shared" si="1060"/>
        <v>502</v>
      </c>
      <c r="X394" s="156"/>
      <c r="Y394" s="119"/>
      <c r="Z394" s="119"/>
      <c r="AA394" s="135"/>
      <c r="AB394" s="445" t="s">
        <v>970</v>
      </c>
      <c r="AC394" s="62"/>
    </row>
    <row r="395" spans="1:34" ht="12.6" customHeight="1" x14ac:dyDescent="0.2">
      <c r="A395" s="94"/>
      <c r="B395" s="671" t="s">
        <v>220</v>
      </c>
      <c r="C395" s="672"/>
      <c r="D395" s="672"/>
      <c r="E395" s="673"/>
      <c r="F395" s="1181">
        <v>330</v>
      </c>
      <c r="G395" s="460">
        <f>+F395*$X$1</f>
        <v>330</v>
      </c>
      <c r="H395" s="461"/>
      <c r="I395" s="463"/>
      <c r="J395" s="596"/>
      <c r="K395" s="460"/>
      <c r="L395" s="596">
        <f t="shared" ref="L395" si="1068">F395+200</f>
        <v>530</v>
      </c>
      <c r="M395" s="460">
        <f t="shared" ref="M395" si="1069">+L395*$X$1</f>
        <v>530</v>
      </c>
      <c r="N395" s="596">
        <f t="shared" ref="N395" si="1070">F395+120</f>
        <v>450</v>
      </c>
      <c r="O395" s="460">
        <f t="shared" ref="O395" si="1071">+N395*$X$1</f>
        <v>450</v>
      </c>
      <c r="P395" s="596">
        <f t="shared" ref="P395" si="1072">F395+80</f>
        <v>410</v>
      </c>
      <c r="Q395" s="460">
        <f t="shared" ref="Q395" si="1073">+P395*$X$1</f>
        <v>410</v>
      </c>
      <c r="R395" s="596">
        <f t="shared" ref="R395" si="1074">F395+67</f>
        <v>397</v>
      </c>
      <c r="S395" s="460">
        <f t="shared" ref="S395" si="1075">+R395*$X$1</f>
        <v>397</v>
      </c>
      <c r="T395" s="532">
        <f t="shared" ref="T395" si="1076">F395+53</f>
        <v>383</v>
      </c>
      <c r="U395" s="531">
        <f t="shared" ref="U395" si="1077">+T395*$X$1</f>
        <v>383</v>
      </c>
      <c r="V395" s="532"/>
      <c r="W395" s="531"/>
      <c r="X395" s="156"/>
      <c r="Y395" s="119"/>
      <c r="Z395" s="119"/>
      <c r="AA395" s="119"/>
      <c r="AB395" s="345">
        <v>2255</v>
      </c>
      <c r="AC395" s="62"/>
    </row>
    <row r="396" spans="1:34" s="4" customFormat="1" ht="12.6" customHeight="1" x14ac:dyDescent="0.2">
      <c r="A396" s="18"/>
      <c r="B396" s="16"/>
      <c r="C396" s="12"/>
      <c r="D396" s="12"/>
      <c r="E396" s="12"/>
      <c r="F396" s="55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8"/>
      <c r="B397" s="16"/>
      <c r="C397" s="12"/>
      <c r="D397" s="12"/>
      <c r="E397" s="12"/>
      <c r="F397" s="55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s="4" customFormat="1" ht="12.6" customHeight="1" x14ac:dyDescent="0.2">
      <c r="A398" s="18"/>
      <c r="B398" s="16"/>
      <c r="C398" s="12"/>
      <c r="D398" s="12"/>
      <c r="E398" s="12"/>
      <c r="F398" s="55"/>
      <c r="G398" s="14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34" ht="15.75" customHeight="1" x14ac:dyDescent="0.2">
      <c r="A399" s="17"/>
      <c r="B399" s="729" t="s">
        <v>11</v>
      </c>
      <c r="C399" s="688" t="s">
        <v>12</v>
      </c>
      <c r="D399" s="689"/>
      <c r="E399" s="689"/>
      <c r="F399" s="644" t="s">
        <v>13</v>
      </c>
      <c r="G399" s="644" t="s">
        <v>13</v>
      </c>
      <c r="H399" s="632" t="s">
        <v>726</v>
      </c>
      <c r="I399" s="632"/>
      <c r="J399" s="633"/>
      <c r="K399" s="633"/>
      <c r="L399" s="633"/>
      <c r="M399" s="633"/>
      <c r="N399" s="633"/>
      <c r="O399" s="633"/>
      <c r="P399" s="633"/>
      <c r="Q399" s="633"/>
      <c r="R399" s="633"/>
      <c r="S399" s="633"/>
      <c r="T399" s="633"/>
      <c r="U399" s="633"/>
      <c r="V399" s="633"/>
      <c r="W399" s="633"/>
      <c r="X399" s="1155" t="s">
        <v>14</v>
      </c>
      <c r="Y399" s="1155"/>
      <c r="Z399" s="1155"/>
      <c r="AA399" s="1155"/>
      <c r="AB399" s="760" t="s">
        <v>15</v>
      </c>
      <c r="AE399" s="61"/>
      <c r="AF399" s="748" t="s">
        <v>3</v>
      </c>
      <c r="AG399" s="749"/>
      <c r="AH399" s="749"/>
    </row>
    <row r="400" spans="1:34" ht="12" customHeight="1" x14ac:dyDescent="0.2">
      <c r="A400" s="17"/>
      <c r="B400" s="729"/>
      <c r="C400" s="689"/>
      <c r="D400" s="689"/>
      <c r="E400" s="689"/>
      <c r="F400" s="645"/>
      <c r="G400" s="645"/>
      <c r="H400" s="413"/>
      <c r="I400" s="405" t="s">
        <v>261</v>
      </c>
      <c r="J400" s="407"/>
      <c r="K400" s="405" t="s">
        <v>17</v>
      </c>
      <c r="L400" s="408"/>
      <c r="M400" s="408" t="s">
        <v>18</v>
      </c>
      <c r="N400" s="408"/>
      <c r="O400" s="405" t="s">
        <v>19</v>
      </c>
      <c r="P400" s="408"/>
      <c r="Q400" s="408" t="s">
        <v>262</v>
      </c>
      <c r="R400" s="408"/>
      <c r="S400" s="408" t="s">
        <v>20</v>
      </c>
      <c r="T400" s="408"/>
      <c r="U400" s="408" t="s">
        <v>21</v>
      </c>
      <c r="V400" s="408"/>
      <c r="W400" s="408" t="s">
        <v>22</v>
      </c>
      <c r="X400" s="1155"/>
      <c r="Y400" s="1155"/>
      <c r="Z400" s="1155"/>
      <c r="AA400" s="1155"/>
      <c r="AB400" s="761"/>
    </row>
    <row r="401" spans="1:29" ht="12.6" customHeight="1" x14ac:dyDescent="0.2">
      <c r="A401" s="88"/>
      <c r="B401" s="630" t="s">
        <v>788</v>
      </c>
      <c r="C401" s="631"/>
      <c r="D401" s="631"/>
      <c r="E401" s="631"/>
      <c r="F401" s="326">
        <f>0.87*X2</f>
        <v>1339.8</v>
      </c>
      <c r="G401" s="255">
        <f>+F401*$X$1</f>
        <v>1339.8</v>
      </c>
      <c r="H401" s="251"/>
      <c r="I401" s="302"/>
      <c r="J401" s="537"/>
      <c r="K401" s="255"/>
      <c r="L401" s="537">
        <f t="shared" ref="L401" si="1078">F401+200</f>
        <v>1539.8</v>
      </c>
      <c r="M401" s="255">
        <f t="shared" ref="M401" si="1079">+L401*$X$1</f>
        <v>1539.8</v>
      </c>
      <c r="N401" s="537">
        <f t="shared" ref="N401" si="1080">F401+120</f>
        <v>1459.8</v>
      </c>
      <c r="O401" s="255">
        <f t="shared" ref="O401" si="1081">+N401*$X$1</f>
        <v>1459.8</v>
      </c>
      <c r="P401" s="537">
        <f t="shared" ref="P401" si="1082">F401+80</f>
        <v>1419.8</v>
      </c>
      <c r="Q401" s="255">
        <f t="shared" ref="Q401" si="1083">+P401*$X$1</f>
        <v>1419.8</v>
      </c>
      <c r="R401" s="537">
        <f t="shared" ref="R401" si="1084">F401+67</f>
        <v>1406.8</v>
      </c>
      <c r="S401" s="255">
        <f t="shared" ref="S401" si="1085">+R401*$X$1</f>
        <v>1406.8</v>
      </c>
      <c r="T401" s="93">
        <f t="shared" ref="T401" si="1086">F401+53</f>
        <v>1392.8</v>
      </c>
      <c r="U401" s="234">
        <f t="shared" ref="U401" si="1087">+T401*$X$1</f>
        <v>1392.8</v>
      </c>
      <c r="V401" s="93">
        <f t="shared" ref="V401" si="1088">F401+40</f>
        <v>1379.8</v>
      </c>
      <c r="W401" s="234">
        <f t="shared" ref="W401" si="1089">+V401*$X$1</f>
        <v>1379.8</v>
      </c>
      <c r="X401" s="126"/>
      <c r="Y401" s="122"/>
      <c r="Z401" s="122"/>
      <c r="AA401" s="125"/>
      <c r="AB401" s="345">
        <v>2258</v>
      </c>
    </row>
    <row r="402" spans="1:29" ht="12.6" customHeight="1" x14ac:dyDescent="0.2">
      <c r="A402" s="17"/>
      <c r="B402" s="669" t="s">
        <v>597</v>
      </c>
      <c r="C402" s="701"/>
      <c r="D402" s="701"/>
      <c r="E402" s="701"/>
      <c r="F402" s="327">
        <f>0.48*X2</f>
        <v>739.19999999999993</v>
      </c>
      <c r="G402" s="256">
        <f>+F402*$X$1</f>
        <v>739.19999999999993</v>
      </c>
      <c r="H402" s="546"/>
      <c r="I402" s="256"/>
      <c r="J402" s="546"/>
      <c r="K402" s="256"/>
      <c r="L402" s="546">
        <f t="shared" ref="L402:L422" si="1090">F402+200</f>
        <v>939.19999999999993</v>
      </c>
      <c r="M402" s="256">
        <f t="shared" ref="M402:M422" si="1091">+L402*$X$1</f>
        <v>939.19999999999993</v>
      </c>
      <c r="N402" s="546">
        <f t="shared" ref="N402:N422" si="1092">F402+120</f>
        <v>859.19999999999993</v>
      </c>
      <c r="O402" s="256">
        <f t="shared" ref="O402:O422" si="1093">+N402*$X$1</f>
        <v>859.19999999999993</v>
      </c>
      <c r="P402" s="546">
        <f t="shared" ref="P402:P422" si="1094">F402+80</f>
        <v>819.19999999999993</v>
      </c>
      <c r="Q402" s="256">
        <f t="shared" ref="Q402:Q422" si="1095">+P402*$X$1</f>
        <v>819.19999999999993</v>
      </c>
      <c r="R402" s="546">
        <f t="shared" ref="R402:R422" si="1096">F402+67</f>
        <v>806.19999999999993</v>
      </c>
      <c r="S402" s="256">
        <f t="shared" ref="S402:S422" si="1097">+R402*$X$1</f>
        <v>806.19999999999993</v>
      </c>
      <c r="T402" s="92">
        <f t="shared" ref="T402:T422" si="1098">F402+53</f>
        <v>792.19999999999993</v>
      </c>
      <c r="U402" s="269">
        <f t="shared" ref="U402:U422" si="1099">+T402*$X$1</f>
        <v>792.19999999999993</v>
      </c>
      <c r="V402" s="92">
        <f t="shared" ref="V402:V422" si="1100">F402+40</f>
        <v>779.19999999999993</v>
      </c>
      <c r="W402" s="269">
        <f t="shared" ref="W402:W422" si="1101">+V402*$X$1</f>
        <v>779.19999999999993</v>
      </c>
      <c r="X402" s="636"/>
      <c r="Y402" s="638"/>
      <c r="Z402" s="638"/>
      <c r="AA402" s="637"/>
      <c r="AB402" s="345">
        <v>2260</v>
      </c>
      <c r="AC402" s="62"/>
    </row>
    <row r="403" spans="1:29" ht="12.6" customHeight="1" x14ac:dyDescent="0.2">
      <c r="A403" s="17"/>
      <c r="B403" s="727" t="s">
        <v>586</v>
      </c>
      <c r="C403" s="1158"/>
      <c r="D403" s="1158"/>
      <c r="E403" s="1158"/>
      <c r="F403" s="326">
        <f>0.54*X2</f>
        <v>831.6</v>
      </c>
      <c r="G403" s="255">
        <f t="shared" ref="G403:G404" si="1102">+F403*$X$1</f>
        <v>831.6</v>
      </c>
      <c r="H403" s="537"/>
      <c r="I403" s="255"/>
      <c r="J403" s="537"/>
      <c r="K403" s="255"/>
      <c r="L403" s="537">
        <f t="shared" si="1090"/>
        <v>1031.5999999999999</v>
      </c>
      <c r="M403" s="255">
        <f t="shared" si="1091"/>
        <v>1031.5999999999999</v>
      </c>
      <c r="N403" s="537">
        <f t="shared" si="1092"/>
        <v>951.6</v>
      </c>
      <c r="O403" s="255">
        <f t="shared" si="1093"/>
        <v>951.6</v>
      </c>
      <c r="P403" s="537">
        <f t="shared" si="1094"/>
        <v>911.6</v>
      </c>
      <c r="Q403" s="255">
        <f t="shared" si="1095"/>
        <v>911.6</v>
      </c>
      <c r="R403" s="537">
        <f t="shared" si="1096"/>
        <v>898.6</v>
      </c>
      <c r="S403" s="255">
        <f t="shared" si="1097"/>
        <v>898.6</v>
      </c>
      <c r="T403" s="93">
        <f t="shared" si="1098"/>
        <v>884.6</v>
      </c>
      <c r="U403" s="234">
        <f t="shared" si="1099"/>
        <v>884.6</v>
      </c>
      <c r="V403" s="93">
        <f t="shared" si="1100"/>
        <v>871.6</v>
      </c>
      <c r="W403" s="234">
        <f t="shared" si="1101"/>
        <v>871.6</v>
      </c>
      <c r="X403" s="636"/>
      <c r="Y403" s="638"/>
      <c r="Z403" s="638"/>
      <c r="AA403" s="637"/>
      <c r="AB403" s="345">
        <v>2261</v>
      </c>
      <c r="AC403" s="62"/>
    </row>
    <row r="404" spans="1:29" ht="12.6" customHeight="1" x14ac:dyDescent="0.2">
      <c r="A404" s="17"/>
      <c r="B404" s="669" t="s">
        <v>599</v>
      </c>
      <c r="C404" s="701"/>
      <c r="D404" s="701"/>
      <c r="E404" s="701"/>
      <c r="F404" s="327">
        <f>0.448*X2</f>
        <v>689.92</v>
      </c>
      <c r="G404" s="256">
        <f t="shared" si="1102"/>
        <v>689.92</v>
      </c>
      <c r="H404" s="546"/>
      <c r="I404" s="256"/>
      <c r="J404" s="546"/>
      <c r="K404" s="256"/>
      <c r="L404" s="546">
        <f t="shared" si="1090"/>
        <v>889.92</v>
      </c>
      <c r="M404" s="256">
        <f t="shared" si="1091"/>
        <v>889.92</v>
      </c>
      <c r="N404" s="546">
        <f t="shared" si="1092"/>
        <v>809.92</v>
      </c>
      <c r="O404" s="256">
        <f t="shared" si="1093"/>
        <v>809.92</v>
      </c>
      <c r="P404" s="546">
        <f t="shared" si="1094"/>
        <v>769.92</v>
      </c>
      <c r="Q404" s="256">
        <f t="shared" si="1095"/>
        <v>769.92</v>
      </c>
      <c r="R404" s="546">
        <f t="shared" si="1096"/>
        <v>756.92</v>
      </c>
      <c r="S404" s="256">
        <f t="shared" si="1097"/>
        <v>756.92</v>
      </c>
      <c r="T404" s="92">
        <f t="shared" si="1098"/>
        <v>742.92</v>
      </c>
      <c r="U404" s="269">
        <f t="shared" si="1099"/>
        <v>742.92</v>
      </c>
      <c r="V404" s="92">
        <f t="shared" si="1100"/>
        <v>729.92</v>
      </c>
      <c r="W404" s="269">
        <f t="shared" si="1101"/>
        <v>729.92</v>
      </c>
      <c r="X404" s="636"/>
      <c r="Y404" s="638"/>
      <c r="Z404" s="638"/>
      <c r="AA404" s="637"/>
      <c r="AB404" s="345">
        <v>2262</v>
      </c>
      <c r="AC404" s="62"/>
    </row>
    <row r="405" spans="1:29" ht="12.6" customHeight="1" x14ac:dyDescent="0.2">
      <c r="A405" s="17"/>
      <c r="B405" s="727" t="s">
        <v>598</v>
      </c>
      <c r="C405" s="1158"/>
      <c r="D405" s="1158"/>
      <c r="E405" s="1158"/>
      <c r="F405" s="326">
        <f>0.67*X2</f>
        <v>1031.8</v>
      </c>
      <c r="G405" s="255">
        <f t="shared" ref="G405" si="1103">+F405*$X$1</f>
        <v>1031.8</v>
      </c>
      <c r="H405" s="537"/>
      <c r="I405" s="255"/>
      <c r="J405" s="537"/>
      <c r="K405" s="255"/>
      <c r="L405" s="537">
        <f t="shared" si="1090"/>
        <v>1231.8</v>
      </c>
      <c r="M405" s="255">
        <f t="shared" si="1091"/>
        <v>1231.8</v>
      </c>
      <c r="N405" s="537">
        <f t="shared" si="1092"/>
        <v>1151.8</v>
      </c>
      <c r="O405" s="255">
        <f t="shared" si="1093"/>
        <v>1151.8</v>
      </c>
      <c r="P405" s="537">
        <f t="shared" si="1094"/>
        <v>1111.8</v>
      </c>
      <c r="Q405" s="255">
        <f t="shared" si="1095"/>
        <v>1111.8</v>
      </c>
      <c r="R405" s="537">
        <f t="shared" si="1096"/>
        <v>1098.8</v>
      </c>
      <c r="S405" s="255">
        <f t="shared" si="1097"/>
        <v>1098.8</v>
      </c>
      <c r="T405" s="93">
        <f t="shared" si="1098"/>
        <v>1084.8</v>
      </c>
      <c r="U405" s="234">
        <f t="shared" si="1099"/>
        <v>1084.8</v>
      </c>
      <c r="V405" s="93">
        <f t="shared" si="1100"/>
        <v>1071.8</v>
      </c>
      <c r="W405" s="234">
        <f t="shared" si="1101"/>
        <v>1071.8</v>
      </c>
      <c r="X405" s="636"/>
      <c r="Y405" s="638"/>
      <c r="Z405" s="638"/>
      <c r="AA405" s="637"/>
      <c r="AB405" s="345">
        <v>2266</v>
      </c>
      <c r="AC405" s="62"/>
    </row>
    <row r="406" spans="1:29" ht="12.6" customHeight="1" x14ac:dyDescent="0.2">
      <c r="A406" s="88"/>
      <c r="B406" s="642" t="s">
        <v>888</v>
      </c>
      <c r="C406" s="643"/>
      <c r="D406" s="643"/>
      <c r="E406" s="643"/>
      <c r="F406" s="327">
        <f>0.399*X2</f>
        <v>614.46</v>
      </c>
      <c r="G406" s="256">
        <f t="shared" ref="G406" si="1104">+F406*$X$1</f>
        <v>614.46</v>
      </c>
      <c r="H406" s="250"/>
      <c r="I406" s="303"/>
      <c r="J406" s="546"/>
      <c r="K406" s="256"/>
      <c r="L406" s="546">
        <f t="shared" si="1090"/>
        <v>814.46</v>
      </c>
      <c r="M406" s="256">
        <f t="shared" si="1091"/>
        <v>814.46</v>
      </c>
      <c r="N406" s="546">
        <f t="shared" si="1092"/>
        <v>734.46</v>
      </c>
      <c r="O406" s="256">
        <f t="shared" si="1093"/>
        <v>734.46</v>
      </c>
      <c r="P406" s="546">
        <f t="shared" si="1094"/>
        <v>694.46</v>
      </c>
      <c r="Q406" s="256">
        <f t="shared" si="1095"/>
        <v>694.46</v>
      </c>
      <c r="R406" s="546">
        <f t="shared" si="1096"/>
        <v>681.46</v>
      </c>
      <c r="S406" s="256">
        <f t="shared" si="1097"/>
        <v>681.46</v>
      </c>
      <c r="T406" s="92">
        <f t="shared" si="1098"/>
        <v>667.46</v>
      </c>
      <c r="U406" s="269">
        <f t="shared" si="1099"/>
        <v>667.46</v>
      </c>
      <c r="V406" s="92">
        <f t="shared" si="1100"/>
        <v>654.46</v>
      </c>
      <c r="W406" s="269">
        <f t="shared" si="1101"/>
        <v>654.46</v>
      </c>
      <c r="X406" s="126"/>
      <c r="Y406" s="122"/>
      <c r="Z406" s="122"/>
      <c r="AA406" s="125"/>
      <c r="AB406" s="345">
        <v>2269</v>
      </c>
    </row>
    <row r="407" spans="1:29" ht="12.6" customHeight="1" x14ac:dyDescent="0.2">
      <c r="A407" s="17"/>
      <c r="B407" s="674" t="s">
        <v>221</v>
      </c>
      <c r="C407" s="675"/>
      <c r="D407" s="675"/>
      <c r="E407" s="675"/>
      <c r="F407" s="464">
        <f>0.27*X2</f>
        <v>415.8</v>
      </c>
      <c r="G407" s="460">
        <f>+F407*$X$1</f>
        <v>415.8</v>
      </c>
      <c r="H407" s="461"/>
      <c r="I407" s="461"/>
      <c r="J407" s="596"/>
      <c r="K407" s="596"/>
      <c r="L407" s="596">
        <f t="shared" si="1090"/>
        <v>615.79999999999995</v>
      </c>
      <c r="M407" s="460">
        <f t="shared" si="1091"/>
        <v>615.79999999999995</v>
      </c>
      <c r="N407" s="596">
        <f t="shared" si="1092"/>
        <v>535.79999999999995</v>
      </c>
      <c r="O407" s="460">
        <f t="shared" si="1093"/>
        <v>535.79999999999995</v>
      </c>
      <c r="P407" s="596">
        <f t="shared" si="1094"/>
        <v>495.8</v>
      </c>
      <c r="Q407" s="460">
        <f t="shared" si="1095"/>
        <v>495.8</v>
      </c>
      <c r="R407" s="596">
        <f t="shared" si="1096"/>
        <v>482.8</v>
      </c>
      <c r="S407" s="460">
        <f t="shared" si="1097"/>
        <v>482.8</v>
      </c>
      <c r="T407" s="532">
        <f t="shared" si="1098"/>
        <v>468.8</v>
      </c>
      <c r="U407" s="531">
        <f t="shared" si="1099"/>
        <v>468.8</v>
      </c>
      <c r="V407" s="532">
        <f t="shared" si="1100"/>
        <v>455.8</v>
      </c>
      <c r="W407" s="531">
        <f t="shared" si="1101"/>
        <v>455.8</v>
      </c>
      <c r="X407" s="162"/>
      <c r="Y407" s="164"/>
      <c r="Z407" s="164"/>
      <c r="AA407" s="162"/>
      <c r="AB407" s="345">
        <v>2270</v>
      </c>
      <c r="AC407" s="62"/>
    </row>
    <row r="408" spans="1:29" ht="12.6" customHeight="1" x14ac:dyDescent="0.2">
      <c r="A408" s="17"/>
      <c r="B408" s="669" t="s">
        <v>826</v>
      </c>
      <c r="C408" s="733"/>
      <c r="D408" s="733"/>
      <c r="E408" s="733"/>
      <c r="F408" s="327">
        <f>0.435*X2</f>
        <v>669.9</v>
      </c>
      <c r="G408" s="256">
        <f>+F408*$X$1</f>
        <v>669.9</v>
      </c>
      <c r="H408" s="250"/>
      <c r="I408" s="250"/>
      <c r="J408" s="546"/>
      <c r="K408" s="546"/>
      <c r="L408" s="546">
        <f t="shared" si="1090"/>
        <v>869.9</v>
      </c>
      <c r="M408" s="256">
        <f t="shared" si="1091"/>
        <v>869.9</v>
      </c>
      <c r="N408" s="546">
        <f t="shared" si="1092"/>
        <v>789.9</v>
      </c>
      <c r="O408" s="256">
        <f t="shared" si="1093"/>
        <v>789.9</v>
      </c>
      <c r="P408" s="546">
        <f t="shared" si="1094"/>
        <v>749.9</v>
      </c>
      <c r="Q408" s="256">
        <f t="shared" si="1095"/>
        <v>749.9</v>
      </c>
      <c r="R408" s="546">
        <f t="shared" si="1096"/>
        <v>736.9</v>
      </c>
      <c r="S408" s="256">
        <f t="shared" si="1097"/>
        <v>736.9</v>
      </c>
      <c r="T408" s="92">
        <f t="shared" si="1098"/>
        <v>722.9</v>
      </c>
      <c r="U408" s="269">
        <f t="shared" si="1099"/>
        <v>722.9</v>
      </c>
      <c r="V408" s="92">
        <f t="shared" si="1100"/>
        <v>709.9</v>
      </c>
      <c r="W408" s="269">
        <f t="shared" si="1101"/>
        <v>709.9</v>
      </c>
      <c r="X408" s="484"/>
      <c r="Y408" s="482"/>
      <c r="Z408" s="482"/>
      <c r="AA408" s="484"/>
      <c r="AB408" s="345">
        <v>2271</v>
      </c>
      <c r="AC408" s="62"/>
    </row>
    <row r="409" spans="1:29" ht="12.6" customHeight="1" x14ac:dyDescent="0.2">
      <c r="A409" s="17"/>
      <c r="B409" s="727" t="s">
        <v>827</v>
      </c>
      <c r="C409" s="1157"/>
      <c r="D409" s="1157"/>
      <c r="E409" s="1157"/>
      <c r="F409" s="326">
        <f>0.57*X2</f>
        <v>877.8</v>
      </c>
      <c r="G409" s="255">
        <f>+F409*$X$1</f>
        <v>877.8</v>
      </c>
      <c r="H409" s="251"/>
      <c r="I409" s="251"/>
      <c r="J409" s="537"/>
      <c r="K409" s="537"/>
      <c r="L409" s="537">
        <f t="shared" si="1090"/>
        <v>1077.8</v>
      </c>
      <c r="M409" s="255">
        <f t="shared" si="1091"/>
        <v>1077.8</v>
      </c>
      <c r="N409" s="537">
        <f t="shared" si="1092"/>
        <v>997.8</v>
      </c>
      <c r="O409" s="255">
        <f t="shared" si="1093"/>
        <v>997.8</v>
      </c>
      <c r="P409" s="537">
        <f t="shared" si="1094"/>
        <v>957.8</v>
      </c>
      <c r="Q409" s="255">
        <f t="shared" si="1095"/>
        <v>957.8</v>
      </c>
      <c r="R409" s="537">
        <f t="shared" si="1096"/>
        <v>944.8</v>
      </c>
      <c r="S409" s="255">
        <f t="shared" si="1097"/>
        <v>944.8</v>
      </c>
      <c r="T409" s="93">
        <f t="shared" si="1098"/>
        <v>930.8</v>
      </c>
      <c r="U409" s="234">
        <f t="shared" si="1099"/>
        <v>930.8</v>
      </c>
      <c r="V409" s="93">
        <f t="shared" si="1100"/>
        <v>917.8</v>
      </c>
      <c r="W409" s="234">
        <f t="shared" si="1101"/>
        <v>917.8</v>
      </c>
      <c r="X409" s="484"/>
      <c r="Y409" s="482"/>
      <c r="Z409" s="482"/>
      <c r="AA409" s="484"/>
      <c r="AB409" s="345">
        <v>2272</v>
      </c>
      <c r="AC409" s="62"/>
    </row>
    <row r="410" spans="1:29" ht="12.6" customHeight="1" x14ac:dyDescent="0.2">
      <c r="A410" s="17"/>
      <c r="B410" s="669" t="s">
        <v>222</v>
      </c>
      <c r="C410" s="670"/>
      <c r="D410" s="670"/>
      <c r="E410" s="670"/>
      <c r="F410" s="327">
        <f>0.504*X2</f>
        <v>776.16</v>
      </c>
      <c r="G410" s="256">
        <f>+F410*$X$1</f>
        <v>776.16</v>
      </c>
      <c r="H410" s="250"/>
      <c r="I410" s="250"/>
      <c r="J410" s="546"/>
      <c r="K410" s="546"/>
      <c r="L410" s="546">
        <f t="shared" si="1090"/>
        <v>976.16</v>
      </c>
      <c r="M410" s="256">
        <f t="shared" si="1091"/>
        <v>976.16</v>
      </c>
      <c r="N410" s="546">
        <f t="shared" si="1092"/>
        <v>896.16</v>
      </c>
      <c r="O410" s="256">
        <f t="shared" si="1093"/>
        <v>896.16</v>
      </c>
      <c r="P410" s="546">
        <f t="shared" si="1094"/>
        <v>856.16</v>
      </c>
      <c r="Q410" s="256">
        <f t="shared" si="1095"/>
        <v>856.16</v>
      </c>
      <c r="R410" s="546">
        <f t="shared" si="1096"/>
        <v>843.16</v>
      </c>
      <c r="S410" s="256">
        <f t="shared" si="1097"/>
        <v>843.16</v>
      </c>
      <c r="T410" s="92">
        <f t="shared" si="1098"/>
        <v>829.16</v>
      </c>
      <c r="U410" s="269">
        <f t="shared" si="1099"/>
        <v>829.16</v>
      </c>
      <c r="V410" s="92">
        <f t="shared" si="1100"/>
        <v>816.16</v>
      </c>
      <c r="W410" s="269">
        <f t="shared" si="1101"/>
        <v>816.16</v>
      </c>
      <c r="X410" s="162"/>
      <c r="Y410" s="164"/>
      <c r="Z410" s="164"/>
      <c r="AA410" s="162"/>
      <c r="AB410" s="345">
        <v>2275</v>
      </c>
      <c r="AC410" s="62"/>
    </row>
    <row r="411" spans="1:29" ht="12.6" customHeight="1" x14ac:dyDescent="0.2">
      <c r="A411" s="17"/>
      <c r="B411" s="727" t="s">
        <v>916</v>
      </c>
      <c r="C411" s="728"/>
      <c r="D411" s="728"/>
      <c r="E411" s="728"/>
      <c r="F411" s="326">
        <f>0.53*X2</f>
        <v>816.2</v>
      </c>
      <c r="G411" s="255">
        <f t="shared" ref="G411" si="1105">+F411*$X$1</f>
        <v>816.2</v>
      </c>
      <c r="H411" s="251"/>
      <c r="I411" s="251"/>
      <c r="J411" s="537"/>
      <c r="K411" s="537"/>
      <c r="L411" s="537">
        <f t="shared" si="1090"/>
        <v>1016.2</v>
      </c>
      <c r="M411" s="255">
        <f t="shared" si="1091"/>
        <v>1016.2</v>
      </c>
      <c r="N411" s="537">
        <f t="shared" si="1092"/>
        <v>936.2</v>
      </c>
      <c r="O411" s="255">
        <f t="shared" si="1093"/>
        <v>936.2</v>
      </c>
      <c r="P411" s="537">
        <f t="shared" si="1094"/>
        <v>896.2</v>
      </c>
      <c r="Q411" s="255">
        <f t="shared" si="1095"/>
        <v>896.2</v>
      </c>
      <c r="R411" s="537">
        <f t="shared" si="1096"/>
        <v>883.2</v>
      </c>
      <c r="S411" s="255">
        <f t="shared" si="1097"/>
        <v>883.2</v>
      </c>
      <c r="T411" s="93">
        <f t="shared" si="1098"/>
        <v>869.2</v>
      </c>
      <c r="U411" s="234">
        <f t="shared" si="1099"/>
        <v>869.2</v>
      </c>
      <c r="V411" s="93">
        <f t="shared" si="1100"/>
        <v>856.2</v>
      </c>
      <c r="W411" s="234">
        <f t="shared" si="1101"/>
        <v>856.2</v>
      </c>
      <c r="X411" s="208"/>
      <c r="Y411" s="209"/>
      <c r="Z411" s="209"/>
      <c r="AA411" s="208"/>
      <c r="AB411" s="345">
        <v>2279</v>
      </c>
      <c r="AC411" s="62"/>
    </row>
    <row r="412" spans="1:29" ht="12.6" customHeight="1" x14ac:dyDescent="0.2">
      <c r="A412" s="17"/>
      <c r="B412" s="943" t="s">
        <v>917</v>
      </c>
      <c r="C412" s="1151"/>
      <c r="D412" s="1151"/>
      <c r="E412" s="1151"/>
      <c r="F412" s="327">
        <f>0.53*X2</f>
        <v>816.2</v>
      </c>
      <c r="G412" s="256">
        <f t="shared" ref="G412" si="1106">+F412*$X$1</f>
        <v>816.2</v>
      </c>
      <c r="H412" s="250"/>
      <c r="I412" s="250"/>
      <c r="J412" s="546"/>
      <c r="K412" s="546"/>
      <c r="L412" s="546">
        <f t="shared" si="1090"/>
        <v>1016.2</v>
      </c>
      <c r="M412" s="256">
        <f t="shared" si="1091"/>
        <v>1016.2</v>
      </c>
      <c r="N412" s="546">
        <f t="shared" si="1092"/>
        <v>936.2</v>
      </c>
      <c r="O412" s="256">
        <f t="shared" si="1093"/>
        <v>936.2</v>
      </c>
      <c r="P412" s="546">
        <f t="shared" si="1094"/>
        <v>896.2</v>
      </c>
      <c r="Q412" s="256">
        <f t="shared" si="1095"/>
        <v>896.2</v>
      </c>
      <c r="R412" s="546">
        <f t="shared" si="1096"/>
        <v>883.2</v>
      </c>
      <c r="S412" s="256">
        <f t="shared" si="1097"/>
        <v>883.2</v>
      </c>
      <c r="T412" s="92">
        <f t="shared" si="1098"/>
        <v>869.2</v>
      </c>
      <c r="U412" s="269">
        <f t="shared" si="1099"/>
        <v>869.2</v>
      </c>
      <c r="V412" s="92">
        <f t="shared" si="1100"/>
        <v>856.2</v>
      </c>
      <c r="W412" s="269">
        <f t="shared" si="1101"/>
        <v>856.2</v>
      </c>
      <c r="X412" s="538"/>
      <c r="Y412" s="539"/>
      <c r="Z412" s="539"/>
      <c r="AA412" s="538"/>
      <c r="AB412" s="345" t="s">
        <v>910</v>
      </c>
      <c r="AC412" s="62"/>
    </row>
    <row r="413" spans="1:29" ht="12.6" customHeight="1" x14ac:dyDescent="0.2">
      <c r="A413" s="17"/>
      <c r="B413" s="727" t="s">
        <v>223</v>
      </c>
      <c r="C413" s="728"/>
      <c r="D413" s="728"/>
      <c r="E413" s="728"/>
      <c r="F413" s="326">
        <f>0.429*X2</f>
        <v>660.66</v>
      </c>
      <c r="G413" s="255">
        <f>+F413*$X$1</f>
        <v>660.66</v>
      </c>
      <c r="H413" s="251"/>
      <c r="I413" s="251"/>
      <c r="J413" s="537"/>
      <c r="K413" s="537"/>
      <c r="L413" s="537">
        <f t="shared" si="1090"/>
        <v>860.66</v>
      </c>
      <c r="M413" s="255">
        <f t="shared" si="1091"/>
        <v>860.66</v>
      </c>
      <c r="N413" s="537">
        <f t="shared" si="1092"/>
        <v>780.66</v>
      </c>
      <c r="O413" s="255">
        <f t="shared" si="1093"/>
        <v>780.66</v>
      </c>
      <c r="P413" s="537">
        <f t="shared" si="1094"/>
        <v>740.66</v>
      </c>
      <c r="Q413" s="255">
        <f t="shared" si="1095"/>
        <v>740.66</v>
      </c>
      <c r="R413" s="537">
        <f t="shared" si="1096"/>
        <v>727.66</v>
      </c>
      <c r="S413" s="255">
        <f t="shared" si="1097"/>
        <v>727.66</v>
      </c>
      <c r="T413" s="93">
        <f t="shared" si="1098"/>
        <v>713.66</v>
      </c>
      <c r="U413" s="234">
        <f t="shared" si="1099"/>
        <v>713.66</v>
      </c>
      <c r="V413" s="93">
        <f t="shared" si="1100"/>
        <v>700.66</v>
      </c>
      <c r="W413" s="234">
        <f t="shared" si="1101"/>
        <v>700.66</v>
      </c>
      <c r="X413" s="162"/>
      <c r="Y413" s="164"/>
      <c r="Z413" s="164"/>
      <c r="AA413" s="162"/>
      <c r="AB413" s="345">
        <v>2280</v>
      </c>
      <c r="AC413" s="62"/>
    </row>
    <row r="414" spans="1:29" ht="12.6" customHeight="1" x14ac:dyDescent="0.2">
      <c r="A414" s="17"/>
      <c r="B414" s="669" t="s">
        <v>431</v>
      </c>
      <c r="C414" s="670"/>
      <c r="D414" s="670"/>
      <c r="E414" s="670"/>
      <c r="F414" s="327">
        <f>0.354*X2</f>
        <v>545.16</v>
      </c>
      <c r="G414" s="256">
        <f t="shared" ref="G414" si="1107">+F414*$X$1</f>
        <v>545.16</v>
      </c>
      <c r="H414" s="250"/>
      <c r="I414" s="250"/>
      <c r="J414" s="546"/>
      <c r="K414" s="546"/>
      <c r="L414" s="546">
        <f t="shared" si="1090"/>
        <v>745.16</v>
      </c>
      <c r="M414" s="256">
        <f t="shared" si="1091"/>
        <v>745.16</v>
      </c>
      <c r="N414" s="546">
        <f t="shared" si="1092"/>
        <v>665.16</v>
      </c>
      <c r="O414" s="256">
        <f t="shared" si="1093"/>
        <v>665.16</v>
      </c>
      <c r="P414" s="546">
        <f t="shared" si="1094"/>
        <v>625.16</v>
      </c>
      <c r="Q414" s="256">
        <f t="shared" si="1095"/>
        <v>625.16</v>
      </c>
      <c r="R414" s="546">
        <f t="shared" si="1096"/>
        <v>612.16</v>
      </c>
      <c r="S414" s="256">
        <f t="shared" si="1097"/>
        <v>612.16</v>
      </c>
      <c r="T414" s="92">
        <f t="shared" si="1098"/>
        <v>598.16</v>
      </c>
      <c r="U414" s="269">
        <f t="shared" si="1099"/>
        <v>598.16</v>
      </c>
      <c r="V414" s="92">
        <f t="shared" si="1100"/>
        <v>585.16</v>
      </c>
      <c r="W414" s="269">
        <f t="shared" si="1101"/>
        <v>585.16</v>
      </c>
      <c r="X414" s="162"/>
      <c r="Y414" s="164"/>
      <c r="Z414" s="164"/>
      <c r="AA414" s="162"/>
      <c r="AB414" s="345">
        <v>2281</v>
      </c>
      <c r="AC414" s="62"/>
    </row>
    <row r="415" spans="1:29" ht="12.6" customHeight="1" x14ac:dyDescent="0.2">
      <c r="A415" s="17"/>
      <c r="B415" s="666" t="s">
        <v>779</v>
      </c>
      <c r="C415" s="692"/>
      <c r="D415" s="692"/>
      <c r="E415" s="693"/>
      <c r="F415" s="329">
        <f>0.51*X2</f>
        <v>785.4</v>
      </c>
      <c r="G415" s="255">
        <f t="shared" ref="G415" si="1108">+F415*$X$1</f>
        <v>785.4</v>
      </c>
      <c r="H415" s="251"/>
      <c r="I415" s="302"/>
      <c r="J415" s="537"/>
      <c r="K415" s="255"/>
      <c r="L415" s="537">
        <f t="shared" si="1090"/>
        <v>985.4</v>
      </c>
      <c r="M415" s="255">
        <f t="shared" si="1091"/>
        <v>985.4</v>
      </c>
      <c r="N415" s="537">
        <f t="shared" si="1092"/>
        <v>905.4</v>
      </c>
      <c r="O415" s="255">
        <f t="shared" si="1093"/>
        <v>905.4</v>
      </c>
      <c r="P415" s="537">
        <f t="shared" si="1094"/>
        <v>865.4</v>
      </c>
      <c r="Q415" s="255">
        <f t="shared" si="1095"/>
        <v>865.4</v>
      </c>
      <c r="R415" s="537">
        <f t="shared" si="1096"/>
        <v>852.4</v>
      </c>
      <c r="S415" s="255">
        <f t="shared" si="1097"/>
        <v>852.4</v>
      </c>
      <c r="T415" s="93">
        <f t="shared" si="1098"/>
        <v>838.4</v>
      </c>
      <c r="U415" s="234">
        <f t="shared" si="1099"/>
        <v>838.4</v>
      </c>
      <c r="V415" s="93">
        <f t="shared" si="1100"/>
        <v>825.4</v>
      </c>
      <c r="W415" s="234">
        <f t="shared" si="1101"/>
        <v>825.4</v>
      </c>
      <c r="X415" s="119"/>
      <c r="Y415" s="119"/>
      <c r="Z415" s="119"/>
      <c r="AA415" s="119"/>
      <c r="AB415" s="345">
        <v>2282</v>
      </c>
    </row>
    <row r="416" spans="1:29" ht="12.6" customHeight="1" x14ac:dyDescent="0.2">
      <c r="A416" s="17"/>
      <c r="B416" s="639" t="s">
        <v>778</v>
      </c>
      <c r="C416" s="664"/>
      <c r="D416" s="664"/>
      <c r="E416" s="665"/>
      <c r="F416" s="328">
        <f>0.471*X2</f>
        <v>725.33999999999992</v>
      </c>
      <c r="G416" s="256">
        <f>+F416*$X$1</f>
        <v>725.33999999999992</v>
      </c>
      <c r="H416" s="250"/>
      <c r="I416" s="303"/>
      <c r="J416" s="546"/>
      <c r="K416" s="256"/>
      <c r="L416" s="546">
        <f t="shared" si="1090"/>
        <v>925.33999999999992</v>
      </c>
      <c r="M416" s="256">
        <f t="shared" si="1091"/>
        <v>925.33999999999992</v>
      </c>
      <c r="N416" s="546">
        <f t="shared" si="1092"/>
        <v>845.33999999999992</v>
      </c>
      <c r="O416" s="256">
        <f t="shared" si="1093"/>
        <v>845.33999999999992</v>
      </c>
      <c r="P416" s="546">
        <f t="shared" si="1094"/>
        <v>805.33999999999992</v>
      </c>
      <c r="Q416" s="256">
        <f t="shared" si="1095"/>
        <v>805.33999999999992</v>
      </c>
      <c r="R416" s="546">
        <f t="shared" si="1096"/>
        <v>792.33999999999992</v>
      </c>
      <c r="S416" s="256">
        <f t="shared" si="1097"/>
        <v>792.33999999999992</v>
      </c>
      <c r="T416" s="92">
        <f t="shared" si="1098"/>
        <v>778.33999999999992</v>
      </c>
      <c r="U416" s="269">
        <f t="shared" si="1099"/>
        <v>778.33999999999992</v>
      </c>
      <c r="V416" s="92">
        <f t="shared" si="1100"/>
        <v>765.33999999999992</v>
      </c>
      <c r="W416" s="269">
        <f t="shared" si="1101"/>
        <v>765.33999999999992</v>
      </c>
      <c r="X416" s="119"/>
      <c r="Y416" s="119"/>
      <c r="Z416" s="119"/>
      <c r="AA416" s="119"/>
      <c r="AB416" s="345">
        <v>2283</v>
      </c>
    </row>
    <row r="417" spans="1:29" ht="12.6" customHeight="1" x14ac:dyDescent="0.2">
      <c r="A417" s="17"/>
      <c r="B417" s="727" t="s">
        <v>302</v>
      </c>
      <c r="C417" s="728"/>
      <c r="D417" s="728"/>
      <c r="E417" s="728"/>
      <c r="F417" s="326">
        <f>0.569*X2</f>
        <v>876.25999999999988</v>
      </c>
      <c r="G417" s="255">
        <f>+F417*$X$1</f>
        <v>876.25999999999988</v>
      </c>
      <c r="H417" s="251"/>
      <c r="I417" s="251"/>
      <c r="J417" s="537"/>
      <c r="K417" s="537"/>
      <c r="L417" s="537">
        <f t="shared" si="1090"/>
        <v>1076.2599999999998</v>
      </c>
      <c r="M417" s="255">
        <f t="shared" si="1091"/>
        <v>1076.2599999999998</v>
      </c>
      <c r="N417" s="537">
        <f t="shared" si="1092"/>
        <v>996.25999999999988</v>
      </c>
      <c r="O417" s="255">
        <f t="shared" si="1093"/>
        <v>996.25999999999988</v>
      </c>
      <c r="P417" s="537">
        <f t="shared" si="1094"/>
        <v>956.25999999999988</v>
      </c>
      <c r="Q417" s="255">
        <f t="shared" si="1095"/>
        <v>956.25999999999988</v>
      </c>
      <c r="R417" s="537">
        <f t="shared" si="1096"/>
        <v>943.25999999999988</v>
      </c>
      <c r="S417" s="255">
        <f t="shared" si="1097"/>
        <v>943.25999999999988</v>
      </c>
      <c r="T417" s="93">
        <f t="shared" si="1098"/>
        <v>929.25999999999988</v>
      </c>
      <c r="U417" s="234">
        <f t="shared" si="1099"/>
        <v>929.25999999999988</v>
      </c>
      <c r="V417" s="93">
        <f t="shared" si="1100"/>
        <v>916.25999999999988</v>
      </c>
      <c r="W417" s="234">
        <f t="shared" si="1101"/>
        <v>916.25999999999988</v>
      </c>
      <c r="X417" s="173"/>
      <c r="Y417" s="172"/>
      <c r="Z417" s="172"/>
      <c r="AA417" s="173"/>
      <c r="AB417" s="345">
        <v>2285</v>
      </c>
      <c r="AC417" s="62"/>
    </row>
    <row r="418" spans="1:29" ht="12.6" customHeight="1" x14ac:dyDescent="0.2">
      <c r="A418" s="17"/>
      <c r="B418" s="669" t="s">
        <v>303</v>
      </c>
      <c r="C418" s="670"/>
      <c r="D418" s="670"/>
      <c r="E418" s="670"/>
      <c r="F418" s="327">
        <f>0.299*X2</f>
        <v>460.46</v>
      </c>
      <c r="G418" s="256">
        <f>+F418*$X$1</f>
        <v>460.46</v>
      </c>
      <c r="H418" s="250"/>
      <c r="I418" s="250"/>
      <c r="J418" s="546"/>
      <c r="K418" s="546"/>
      <c r="L418" s="546">
        <f t="shared" si="1090"/>
        <v>660.46</v>
      </c>
      <c r="M418" s="256">
        <f t="shared" si="1091"/>
        <v>660.46</v>
      </c>
      <c r="N418" s="546">
        <f t="shared" si="1092"/>
        <v>580.46</v>
      </c>
      <c r="O418" s="256">
        <f t="shared" si="1093"/>
        <v>580.46</v>
      </c>
      <c r="P418" s="546">
        <f t="shared" si="1094"/>
        <v>540.46</v>
      </c>
      <c r="Q418" s="256">
        <f t="shared" si="1095"/>
        <v>540.46</v>
      </c>
      <c r="R418" s="546">
        <f t="shared" si="1096"/>
        <v>527.46</v>
      </c>
      <c r="S418" s="256">
        <f t="shared" si="1097"/>
        <v>527.46</v>
      </c>
      <c r="T418" s="92">
        <f t="shared" si="1098"/>
        <v>513.46</v>
      </c>
      <c r="U418" s="269">
        <f t="shared" si="1099"/>
        <v>513.46</v>
      </c>
      <c r="V418" s="92">
        <f t="shared" si="1100"/>
        <v>500.46</v>
      </c>
      <c r="W418" s="269">
        <f t="shared" si="1101"/>
        <v>500.46</v>
      </c>
      <c r="X418" s="174"/>
      <c r="Y418" s="175"/>
      <c r="Z418" s="175"/>
      <c r="AA418" s="174"/>
      <c r="AB418" s="345">
        <v>2286</v>
      </c>
      <c r="AC418" s="62"/>
    </row>
    <row r="419" spans="1:29" ht="12.6" customHeight="1" x14ac:dyDescent="0.2">
      <c r="A419" s="17"/>
      <c r="B419" s="654" t="s">
        <v>337</v>
      </c>
      <c r="C419" s="655"/>
      <c r="D419" s="655"/>
      <c r="E419" s="655"/>
      <c r="F419" s="329">
        <f>0.45*X2</f>
        <v>693</v>
      </c>
      <c r="G419" s="270">
        <f t="shared" ref="G419:G421" si="1109">+F419*$X$1</f>
        <v>693</v>
      </c>
      <c r="H419" s="414"/>
      <c r="I419" s="414"/>
      <c r="J419" s="93"/>
      <c r="K419" s="93"/>
      <c r="L419" s="537">
        <f t="shared" si="1090"/>
        <v>893</v>
      </c>
      <c r="M419" s="255">
        <f t="shared" si="1091"/>
        <v>893</v>
      </c>
      <c r="N419" s="537">
        <f t="shared" si="1092"/>
        <v>813</v>
      </c>
      <c r="O419" s="255">
        <f t="shared" si="1093"/>
        <v>813</v>
      </c>
      <c r="P419" s="537">
        <f t="shared" si="1094"/>
        <v>773</v>
      </c>
      <c r="Q419" s="255">
        <f t="shared" si="1095"/>
        <v>773</v>
      </c>
      <c r="R419" s="537">
        <f t="shared" si="1096"/>
        <v>760</v>
      </c>
      <c r="S419" s="255">
        <f t="shared" si="1097"/>
        <v>760</v>
      </c>
      <c r="T419" s="93">
        <f t="shared" si="1098"/>
        <v>746</v>
      </c>
      <c r="U419" s="234">
        <f t="shared" si="1099"/>
        <v>746</v>
      </c>
      <c r="V419" s="93">
        <f t="shared" si="1100"/>
        <v>733</v>
      </c>
      <c r="W419" s="234">
        <f t="shared" si="1101"/>
        <v>733</v>
      </c>
      <c r="X419" s="203"/>
      <c r="Y419" s="202"/>
      <c r="Z419" s="202"/>
      <c r="AA419" s="203"/>
      <c r="AB419" s="345">
        <v>2287</v>
      </c>
      <c r="AC419" s="62"/>
    </row>
    <row r="420" spans="1:29" ht="12.6" customHeight="1" x14ac:dyDescent="0.2">
      <c r="A420" s="17"/>
      <c r="B420" s="736" t="s">
        <v>346</v>
      </c>
      <c r="C420" s="737"/>
      <c r="D420" s="737"/>
      <c r="E420" s="738"/>
      <c r="F420" s="327">
        <f>0.902*X2</f>
        <v>1389.08</v>
      </c>
      <c r="G420" s="256">
        <f t="shared" si="1109"/>
        <v>1389.08</v>
      </c>
      <c r="H420" s="250"/>
      <c r="I420" s="250"/>
      <c r="J420" s="546"/>
      <c r="K420" s="546"/>
      <c r="L420" s="546">
        <f t="shared" si="1090"/>
        <v>1589.08</v>
      </c>
      <c r="M420" s="256">
        <f t="shared" si="1091"/>
        <v>1589.08</v>
      </c>
      <c r="N420" s="546">
        <f t="shared" si="1092"/>
        <v>1509.08</v>
      </c>
      <c r="O420" s="256">
        <f t="shared" si="1093"/>
        <v>1509.08</v>
      </c>
      <c r="P420" s="546">
        <f t="shared" si="1094"/>
        <v>1469.08</v>
      </c>
      <c r="Q420" s="256">
        <f t="shared" si="1095"/>
        <v>1469.08</v>
      </c>
      <c r="R420" s="546">
        <f t="shared" si="1096"/>
        <v>1456.08</v>
      </c>
      <c r="S420" s="256">
        <f t="shared" si="1097"/>
        <v>1456.08</v>
      </c>
      <c r="T420" s="92">
        <f t="shared" si="1098"/>
        <v>1442.08</v>
      </c>
      <c r="U420" s="269">
        <f t="shared" si="1099"/>
        <v>1442.08</v>
      </c>
      <c r="V420" s="92">
        <f t="shared" si="1100"/>
        <v>1429.08</v>
      </c>
      <c r="W420" s="269">
        <f t="shared" si="1101"/>
        <v>1429.08</v>
      </c>
      <c r="X420" s="204"/>
      <c r="Y420" s="205"/>
      <c r="Z420" s="205"/>
      <c r="AA420" s="204"/>
      <c r="AB420" s="345">
        <v>2289</v>
      </c>
      <c r="AC420" s="62"/>
    </row>
    <row r="421" spans="1:29" ht="12.6" customHeight="1" x14ac:dyDescent="0.2">
      <c r="A421" s="17"/>
      <c r="B421" s="679" t="s">
        <v>621</v>
      </c>
      <c r="C421" s="680"/>
      <c r="D421" s="680"/>
      <c r="E421" s="681"/>
      <c r="F421" s="329">
        <f>0.725*X2</f>
        <v>1116.5</v>
      </c>
      <c r="G421" s="255">
        <f t="shared" si="1109"/>
        <v>1116.5</v>
      </c>
      <c r="H421" s="251"/>
      <c r="I421" s="251"/>
      <c r="J421" s="537"/>
      <c r="K421" s="537"/>
      <c r="L421" s="537">
        <f t="shared" si="1090"/>
        <v>1316.5</v>
      </c>
      <c r="M421" s="255">
        <f t="shared" si="1091"/>
        <v>1316.5</v>
      </c>
      <c r="N421" s="537">
        <f t="shared" si="1092"/>
        <v>1236.5</v>
      </c>
      <c r="O421" s="255">
        <f t="shared" si="1093"/>
        <v>1236.5</v>
      </c>
      <c r="P421" s="537">
        <f t="shared" si="1094"/>
        <v>1196.5</v>
      </c>
      <c r="Q421" s="255">
        <f t="shared" si="1095"/>
        <v>1196.5</v>
      </c>
      <c r="R421" s="537">
        <f t="shared" si="1096"/>
        <v>1183.5</v>
      </c>
      <c r="S421" s="255">
        <f t="shared" si="1097"/>
        <v>1183.5</v>
      </c>
      <c r="T421" s="93">
        <f t="shared" si="1098"/>
        <v>1169.5</v>
      </c>
      <c r="U421" s="234">
        <f t="shared" si="1099"/>
        <v>1169.5</v>
      </c>
      <c r="V421" s="93">
        <f t="shared" si="1100"/>
        <v>1156.5</v>
      </c>
      <c r="W421" s="234">
        <f t="shared" si="1101"/>
        <v>1156.5</v>
      </c>
      <c r="X421" s="380"/>
      <c r="Y421" s="381"/>
      <c r="Z421" s="381"/>
      <c r="AA421" s="380"/>
      <c r="AB421" s="345">
        <v>2290</v>
      </c>
      <c r="AC421" s="62"/>
    </row>
    <row r="422" spans="1:29" ht="12.6" customHeight="1" x14ac:dyDescent="0.2">
      <c r="A422" s="17"/>
      <c r="B422" s="915" t="s">
        <v>430</v>
      </c>
      <c r="C422" s="916"/>
      <c r="D422" s="916"/>
      <c r="E422" s="917"/>
      <c r="F422" s="328">
        <f>0.377*X2</f>
        <v>580.58000000000004</v>
      </c>
      <c r="G422" s="256">
        <f t="shared" ref="G422" si="1110">+F422*$X$1</f>
        <v>580.58000000000004</v>
      </c>
      <c r="H422" s="250"/>
      <c r="I422" s="250"/>
      <c r="J422" s="546"/>
      <c r="K422" s="546"/>
      <c r="L422" s="546">
        <f t="shared" si="1090"/>
        <v>780.58</v>
      </c>
      <c r="M422" s="256">
        <f t="shared" si="1091"/>
        <v>780.58</v>
      </c>
      <c r="N422" s="546">
        <f t="shared" si="1092"/>
        <v>700.58</v>
      </c>
      <c r="O422" s="256">
        <f t="shared" si="1093"/>
        <v>700.58</v>
      </c>
      <c r="P422" s="546">
        <f t="shared" si="1094"/>
        <v>660.58</v>
      </c>
      <c r="Q422" s="256">
        <f t="shared" si="1095"/>
        <v>660.58</v>
      </c>
      <c r="R422" s="546">
        <f t="shared" si="1096"/>
        <v>647.58000000000004</v>
      </c>
      <c r="S422" s="256">
        <f t="shared" si="1097"/>
        <v>647.58000000000004</v>
      </c>
      <c r="T422" s="92">
        <f t="shared" si="1098"/>
        <v>633.58000000000004</v>
      </c>
      <c r="U422" s="269">
        <f t="shared" si="1099"/>
        <v>633.58000000000004</v>
      </c>
      <c r="V422" s="92">
        <f t="shared" si="1100"/>
        <v>620.58000000000004</v>
      </c>
      <c r="W422" s="269">
        <f t="shared" si="1101"/>
        <v>620.58000000000004</v>
      </c>
      <c r="X422" s="227"/>
      <c r="Y422" s="231"/>
      <c r="Z422" s="231"/>
      <c r="AA422" s="227"/>
      <c r="AB422" s="345">
        <v>2291</v>
      </c>
      <c r="AC422" s="62"/>
    </row>
    <row r="423" spans="1:29" ht="12.6" customHeight="1" x14ac:dyDescent="0.2">
      <c r="A423" s="17"/>
      <c r="B423" s="679" t="s">
        <v>557</v>
      </c>
      <c r="C423" s="680"/>
      <c r="D423" s="680"/>
      <c r="E423" s="681"/>
      <c r="F423" s="329">
        <f>0.22*X2</f>
        <v>338.8</v>
      </c>
      <c r="G423" s="255">
        <f t="shared" ref="G423" si="1111">+F423*$X$1</f>
        <v>338.8</v>
      </c>
      <c r="H423" s="251"/>
      <c r="I423" s="251"/>
      <c r="J423" s="537"/>
      <c r="K423" s="537"/>
      <c r="L423" s="537"/>
      <c r="M423" s="255"/>
      <c r="N423" s="537">
        <f t="shared" ref="N423:N425" si="1112">F423+120</f>
        <v>458.8</v>
      </c>
      <c r="O423" s="255">
        <f t="shared" ref="O423:O425" si="1113">+N423*$X$1</f>
        <v>458.8</v>
      </c>
      <c r="P423" s="537">
        <f t="shared" ref="P423:P425" si="1114">F423+80</f>
        <v>418.8</v>
      </c>
      <c r="Q423" s="255">
        <f t="shared" ref="Q423:Q425" si="1115">+P423*$X$1</f>
        <v>418.8</v>
      </c>
      <c r="R423" s="537">
        <f t="shared" ref="R423:R424" si="1116">F423+67</f>
        <v>405.8</v>
      </c>
      <c r="S423" s="255">
        <f t="shared" ref="S423:S424" si="1117">+R423*$X$1</f>
        <v>405.8</v>
      </c>
      <c r="T423" s="93">
        <f t="shared" ref="T423:T424" si="1118">F423+53</f>
        <v>391.8</v>
      </c>
      <c r="U423" s="234">
        <f t="shared" ref="U423:U424" si="1119">+T423*$X$1</f>
        <v>391.8</v>
      </c>
      <c r="V423" s="93">
        <f t="shared" ref="V423:V424" si="1120">F423+40</f>
        <v>378.8</v>
      </c>
      <c r="W423" s="234">
        <f t="shared" ref="W423:W424" si="1121">+V423*$X$1</f>
        <v>378.8</v>
      </c>
      <c r="X423" s="232"/>
      <c r="Y423" s="233"/>
      <c r="Z423" s="233"/>
      <c r="AA423" s="232"/>
      <c r="AB423" s="345">
        <v>2292</v>
      </c>
      <c r="AC423" s="62"/>
    </row>
    <row r="424" spans="1:29" ht="12.6" customHeight="1" x14ac:dyDescent="0.2">
      <c r="A424" s="17"/>
      <c r="B424" s="915" t="s">
        <v>448</v>
      </c>
      <c r="C424" s="916"/>
      <c r="D424" s="916"/>
      <c r="E424" s="917"/>
      <c r="F424" s="328">
        <f>0.63*X2</f>
        <v>970.2</v>
      </c>
      <c r="G424" s="256">
        <f t="shared" ref="G424" si="1122">+F424*$X$1</f>
        <v>970.2</v>
      </c>
      <c r="H424" s="250"/>
      <c r="I424" s="250"/>
      <c r="J424" s="546"/>
      <c r="K424" s="546"/>
      <c r="L424" s="546">
        <f t="shared" ref="L424:L425" si="1123">F424+200</f>
        <v>1170.2</v>
      </c>
      <c r="M424" s="256">
        <f t="shared" ref="M424:M425" si="1124">+L424*$X$1</f>
        <v>1170.2</v>
      </c>
      <c r="N424" s="546">
        <f t="shared" si="1112"/>
        <v>1090.2</v>
      </c>
      <c r="O424" s="256">
        <f t="shared" si="1113"/>
        <v>1090.2</v>
      </c>
      <c r="P424" s="546">
        <f t="shared" si="1114"/>
        <v>1050.2</v>
      </c>
      <c r="Q424" s="256">
        <f t="shared" si="1115"/>
        <v>1050.2</v>
      </c>
      <c r="R424" s="546">
        <f t="shared" si="1116"/>
        <v>1037.2</v>
      </c>
      <c r="S424" s="256">
        <f t="shared" si="1117"/>
        <v>1037.2</v>
      </c>
      <c r="T424" s="92">
        <f t="shared" si="1118"/>
        <v>1023.2</v>
      </c>
      <c r="U424" s="269">
        <f t="shared" si="1119"/>
        <v>1023.2</v>
      </c>
      <c r="V424" s="92">
        <f t="shared" si="1120"/>
        <v>1010.2</v>
      </c>
      <c r="W424" s="269">
        <f t="shared" si="1121"/>
        <v>1010.2</v>
      </c>
      <c r="X424" s="235"/>
      <c r="Y424" s="236"/>
      <c r="Z424" s="236"/>
      <c r="AA424" s="235"/>
      <c r="AB424" s="345">
        <v>2293</v>
      </c>
      <c r="AC424" s="62"/>
    </row>
    <row r="425" spans="1:29" ht="12.6" customHeight="1" x14ac:dyDescent="0.2">
      <c r="A425" s="17"/>
      <c r="B425" s="1148" t="s">
        <v>505</v>
      </c>
      <c r="C425" s="1149"/>
      <c r="D425" s="1149"/>
      <c r="E425" s="1150"/>
      <c r="F425" s="594">
        <v>310</v>
      </c>
      <c r="G425" s="460">
        <f t="shared" ref="G425" si="1125">+F425*$X$1</f>
        <v>310</v>
      </c>
      <c r="H425" s="461"/>
      <c r="I425" s="461"/>
      <c r="J425" s="596"/>
      <c r="K425" s="596"/>
      <c r="L425" s="596">
        <f t="shared" si="1123"/>
        <v>510</v>
      </c>
      <c r="M425" s="460">
        <f t="shared" si="1124"/>
        <v>510</v>
      </c>
      <c r="N425" s="596">
        <f t="shared" si="1112"/>
        <v>430</v>
      </c>
      <c r="O425" s="460">
        <f t="shared" si="1113"/>
        <v>430</v>
      </c>
      <c r="P425" s="596">
        <f t="shared" si="1114"/>
        <v>390</v>
      </c>
      <c r="Q425" s="460">
        <f t="shared" si="1115"/>
        <v>390</v>
      </c>
      <c r="R425" s="596"/>
      <c r="S425" s="460"/>
      <c r="T425" s="532"/>
      <c r="U425" s="531"/>
      <c r="V425" s="532"/>
      <c r="W425" s="531"/>
      <c r="X425" s="288"/>
      <c r="Y425" s="289"/>
      <c r="Z425" s="289"/>
      <c r="AA425" s="288"/>
      <c r="AB425" s="345">
        <v>2294</v>
      </c>
      <c r="AC425" s="62"/>
    </row>
    <row r="426" spans="1:29" ht="12.6" customHeight="1" x14ac:dyDescent="0.2">
      <c r="A426" s="17"/>
      <c r="B426" s="915" t="s">
        <v>389</v>
      </c>
      <c r="C426" s="916"/>
      <c r="D426" s="916"/>
      <c r="E426" s="917"/>
      <c r="F426" s="328">
        <f>0.392*X2</f>
        <v>603.68000000000006</v>
      </c>
      <c r="G426" s="256">
        <f t="shared" ref="G426" si="1126">+F426*$X$1</f>
        <v>603.68000000000006</v>
      </c>
      <c r="H426" s="250"/>
      <c r="I426" s="250"/>
      <c r="J426" s="546"/>
      <c r="K426" s="546"/>
      <c r="L426" s="546">
        <f t="shared" ref="L426" si="1127">F426+200</f>
        <v>803.68000000000006</v>
      </c>
      <c r="M426" s="256">
        <f t="shared" ref="M426:M433" si="1128">+L426*$X$1</f>
        <v>803.68000000000006</v>
      </c>
      <c r="N426" s="546">
        <f t="shared" ref="N426" si="1129">F426+120</f>
        <v>723.68000000000006</v>
      </c>
      <c r="O426" s="256">
        <f t="shared" ref="O426" si="1130">+N426*$X$1</f>
        <v>723.68000000000006</v>
      </c>
      <c r="P426" s="546">
        <f t="shared" ref="P426" si="1131">F426+80</f>
        <v>683.68000000000006</v>
      </c>
      <c r="Q426" s="256">
        <f t="shared" ref="Q426:Q433" si="1132">+P426*$X$1</f>
        <v>683.68000000000006</v>
      </c>
      <c r="R426" s="546">
        <f t="shared" ref="R426" si="1133">F426+67</f>
        <v>670.68000000000006</v>
      </c>
      <c r="S426" s="256">
        <f t="shared" ref="S426" si="1134">+R426*$X$1</f>
        <v>670.68000000000006</v>
      </c>
      <c r="T426" s="92">
        <f t="shared" ref="T426" si="1135">F426+53</f>
        <v>656.68000000000006</v>
      </c>
      <c r="U426" s="269">
        <f t="shared" ref="U426" si="1136">+T426*$X$1</f>
        <v>656.68000000000006</v>
      </c>
      <c r="V426" s="92">
        <f t="shared" ref="V426" si="1137">F426+40</f>
        <v>643.68000000000006</v>
      </c>
      <c r="W426" s="269">
        <f t="shared" ref="W426" si="1138">+V426*$X$1</f>
        <v>643.68000000000006</v>
      </c>
      <c r="X426" s="206"/>
      <c r="Y426" s="207"/>
      <c r="Z426" s="207"/>
      <c r="AA426" s="206"/>
      <c r="AB426" s="345">
        <v>2295</v>
      </c>
      <c r="AC426" s="62"/>
    </row>
    <row r="427" spans="1:29" ht="12.6" customHeight="1" x14ac:dyDescent="0.2">
      <c r="A427" s="17"/>
      <c r="B427" s="679" t="s">
        <v>348</v>
      </c>
      <c r="C427" s="680"/>
      <c r="D427" s="680"/>
      <c r="E427" s="681"/>
      <c r="F427" s="329">
        <f>0.372*X2</f>
        <v>572.88</v>
      </c>
      <c r="G427" s="255">
        <f t="shared" ref="G427" si="1139">+F427*$X$1</f>
        <v>572.88</v>
      </c>
      <c r="H427" s="251"/>
      <c r="I427" s="251"/>
      <c r="J427" s="537"/>
      <c r="K427" s="537"/>
      <c r="L427" s="537">
        <f t="shared" ref="L427:L428" si="1140">F427+200</f>
        <v>772.88</v>
      </c>
      <c r="M427" s="255">
        <f t="shared" ref="M427:M428" si="1141">+L427*$X$1</f>
        <v>772.88</v>
      </c>
      <c r="N427" s="537">
        <f t="shared" ref="N427:N428" si="1142">F427+120</f>
        <v>692.88</v>
      </c>
      <c r="O427" s="255">
        <f t="shared" ref="O427:O428" si="1143">+N427*$X$1</f>
        <v>692.88</v>
      </c>
      <c r="P427" s="537">
        <f t="shared" ref="P427:P428" si="1144">F427+80</f>
        <v>652.88</v>
      </c>
      <c r="Q427" s="255">
        <f t="shared" ref="Q427:Q428" si="1145">+P427*$X$1</f>
        <v>652.88</v>
      </c>
      <c r="R427" s="537">
        <f t="shared" ref="R427:R428" si="1146">F427+67</f>
        <v>639.88</v>
      </c>
      <c r="S427" s="255">
        <f t="shared" ref="S427:S428" si="1147">+R427*$X$1</f>
        <v>639.88</v>
      </c>
      <c r="T427" s="93">
        <f t="shared" ref="T427:T428" si="1148">F427+53</f>
        <v>625.88</v>
      </c>
      <c r="U427" s="234">
        <f t="shared" ref="U427:U428" si="1149">+T427*$X$1</f>
        <v>625.88</v>
      </c>
      <c r="V427" s="93">
        <f t="shared" ref="V427:V428" si="1150">F427+40</f>
        <v>612.88</v>
      </c>
      <c r="W427" s="234">
        <f t="shared" ref="W427:W428" si="1151">+V427*$X$1</f>
        <v>612.88</v>
      </c>
      <c r="X427" s="206"/>
      <c r="Y427" s="207"/>
      <c r="Z427" s="207"/>
      <c r="AA427" s="206"/>
      <c r="AB427" s="345">
        <v>2296</v>
      </c>
      <c r="AC427" s="62"/>
    </row>
    <row r="428" spans="1:29" ht="12.6" customHeight="1" x14ac:dyDescent="0.2">
      <c r="A428" s="17"/>
      <c r="B428" s="915" t="s">
        <v>487</v>
      </c>
      <c r="C428" s="916"/>
      <c r="D428" s="916"/>
      <c r="E428" s="917"/>
      <c r="F428" s="328">
        <f>0.565*X2</f>
        <v>870.09999999999991</v>
      </c>
      <c r="G428" s="256">
        <f t="shared" ref="G428" si="1152">+F428*$X$1</f>
        <v>870.09999999999991</v>
      </c>
      <c r="H428" s="250"/>
      <c r="I428" s="250"/>
      <c r="J428" s="546"/>
      <c r="K428" s="256"/>
      <c r="L428" s="546">
        <f t="shared" si="1140"/>
        <v>1070.0999999999999</v>
      </c>
      <c r="M428" s="256">
        <f t="shared" si="1141"/>
        <v>1070.0999999999999</v>
      </c>
      <c r="N428" s="546">
        <f t="shared" si="1142"/>
        <v>990.09999999999991</v>
      </c>
      <c r="O428" s="256">
        <f t="shared" si="1143"/>
        <v>990.09999999999991</v>
      </c>
      <c r="P428" s="546">
        <f t="shared" si="1144"/>
        <v>950.09999999999991</v>
      </c>
      <c r="Q428" s="256">
        <f t="shared" si="1145"/>
        <v>950.09999999999991</v>
      </c>
      <c r="R428" s="546">
        <f t="shared" si="1146"/>
        <v>937.09999999999991</v>
      </c>
      <c r="S428" s="256">
        <f t="shared" si="1147"/>
        <v>937.09999999999991</v>
      </c>
      <c r="T428" s="92">
        <f t="shared" si="1148"/>
        <v>923.09999999999991</v>
      </c>
      <c r="U428" s="269">
        <f t="shared" si="1149"/>
        <v>923.09999999999991</v>
      </c>
      <c r="V428" s="92">
        <f t="shared" si="1150"/>
        <v>910.09999999999991</v>
      </c>
      <c r="W428" s="269">
        <f t="shared" si="1151"/>
        <v>910.09999999999991</v>
      </c>
      <c r="X428" s="277"/>
      <c r="Y428" s="278"/>
      <c r="Z428" s="278"/>
      <c r="AA428" s="277"/>
      <c r="AB428" s="345">
        <v>2299</v>
      </c>
      <c r="AC428" s="62"/>
    </row>
    <row r="429" spans="1:29" ht="12.6" customHeight="1" x14ac:dyDescent="0.2">
      <c r="A429" s="17"/>
      <c r="B429" s="666" t="s">
        <v>787</v>
      </c>
      <c r="C429" s="684"/>
      <c r="D429" s="684"/>
      <c r="E429" s="685"/>
      <c r="F429" s="326">
        <f>1.14*X2</f>
        <v>1755.6</v>
      </c>
      <c r="G429" s="255">
        <f>+F429*$X$1</f>
        <v>1755.6</v>
      </c>
      <c r="H429" s="537">
        <f t="shared" ref="H429:H432" si="1153">F429+600</f>
        <v>2355.6</v>
      </c>
      <c r="I429" s="255">
        <f t="shared" ref="I429:I433" si="1154">+H429*$X$1</f>
        <v>2355.6</v>
      </c>
      <c r="J429" s="537">
        <f t="shared" ref="J429:J432" si="1155">F429+200</f>
        <v>1955.6</v>
      </c>
      <c r="K429" s="255">
        <f t="shared" ref="K429:K433" si="1156">+J429*$X$1</f>
        <v>1955.6</v>
      </c>
      <c r="L429" s="537">
        <f>F429+150</f>
        <v>1905.6</v>
      </c>
      <c r="M429" s="255">
        <f t="shared" si="1128"/>
        <v>1905.6</v>
      </c>
      <c r="N429" s="537">
        <f>F429+110</f>
        <v>1865.6</v>
      </c>
      <c r="O429" s="255">
        <f>+N429*$X$1</f>
        <v>1865.6</v>
      </c>
      <c r="P429" s="537">
        <f>F429+90</f>
        <v>1845.6</v>
      </c>
      <c r="Q429" s="255">
        <f t="shared" si="1132"/>
        <v>1845.6</v>
      </c>
      <c r="R429" s="537">
        <f>F429+70</f>
        <v>1825.6</v>
      </c>
      <c r="S429" s="255">
        <f>+R429*$X$1</f>
        <v>1825.6</v>
      </c>
      <c r="T429" s="537">
        <f>F429+56</f>
        <v>1811.6</v>
      </c>
      <c r="U429" s="255">
        <f t="shared" ref="U429:U433" si="1157">+T429*$X$1</f>
        <v>1811.6</v>
      </c>
      <c r="V429" s="537">
        <f>F429+49</f>
        <v>1804.6</v>
      </c>
      <c r="W429" s="255">
        <f t="shared" ref="W429:W433" si="1158">+V429*$X$1</f>
        <v>1804.6</v>
      </c>
      <c r="X429" s="635"/>
      <c r="Y429" s="638"/>
      <c r="Z429" s="638"/>
      <c r="AA429" s="637"/>
      <c r="AB429" s="345">
        <v>2310</v>
      </c>
      <c r="AC429" s="62"/>
    </row>
    <row r="430" spans="1:29" ht="12.6" customHeight="1" x14ac:dyDescent="0.2">
      <c r="A430" s="17"/>
      <c r="B430" s="669" t="s">
        <v>379</v>
      </c>
      <c r="C430" s="701"/>
      <c r="D430" s="701"/>
      <c r="E430" s="701"/>
      <c r="F430" s="327">
        <f>0.93*X2</f>
        <v>1432.2</v>
      </c>
      <c r="G430" s="256">
        <f>+F430*$X$1</f>
        <v>1432.2</v>
      </c>
      <c r="H430" s="546">
        <f t="shared" si="1153"/>
        <v>2032.2</v>
      </c>
      <c r="I430" s="256">
        <f t="shared" si="1154"/>
        <v>2032.2</v>
      </c>
      <c r="J430" s="546">
        <f t="shared" si="1155"/>
        <v>1632.2</v>
      </c>
      <c r="K430" s="256">
        <f t="shared" si="1156"/>
        <v>1632.2</v>
      </c>
      <c r="L430" s="546">
        <f>F430+150</f>
        <v>1582.2</v>
      </c>
      <c r="M430" s="256">
        <f t="shared" si="1128"/>
        <v>1582.2</v>
      </c>
      <c r="N430" s="546">
        <f>F430+110</f>
        <v>1542.2</v>
      </c>
      <c r="O430" s="256">
        <f>+N430*$X$1</f>
        <v>1542.2</v>
      </c>
      <c r="P430" s="546">
        <f>F430+90</f>
        <v>1522.2</v>
      </c>
      <c r="Q430" s="256">
        <f t="shared" si="1132"/>
        <v>1522.2</v>
      </c>
      <c r="R430" s="546">
        <f>F430+70</f>
        <v>1502.2</v>
      </c>
      <c r="S430" s="256">
        <f>+R430*$X$1</f>
        <v>1502.2</v>
      </c>
      <c r="T430" s="546">
        <f>F430+56</f>
        <v>1488.2</v>
      </c>
      <c r="U430" s="256">
        <f t="shared" si="1157"/>
        <v>1488.2</v>
      </c>
      <c r="V430" s="546">
        <f>F430+49</f>
        <v>1481.2</v>
      </c>
      <c r="W430" s="256">
        <f t="shared" si="1158"/>
        <v>1481.2</v>
      </c>
      <c r="X430" s="635"/>
      <c r="Y430" s="638"/>
      <c r="Z430" s="638"/>
      <c r="AA430" s="637"/>
      <c r="AB430" s="345">
        <v>2322</v>
      </c>
      <c r="AC430" s="62"/>
    </row>
    <row r="431" spans="1:29" ht="12.6" customHeight="1" x14ac:dyDescent="0.2">
      <c r="A431" s="17"/>
      <c r="B431" s="943" t="s">
        <v>815</v>
      </c>
      <c r="C431" s="1171"/>
      <c r="D431" s="1171"/>
      <c r="E431" s="1171"/>
      <c r="F431" s="326">
        <f>0.93*X2</f>
        <v>1432.2</v>
      </c>
      <c r="G431" s="255">
        <f>+F431*$X$1</f>
        <v>1432.2</v>
      </c>
      <c r="H431" s="537">
        <f t="shared" si="1153"/>
        <v>2032.2</v>
      </c>
      <c r="I431" s="255">
        <f t="shared" si="1154"/>
        <v>2032.2</v>
      </c>
      <c r="J431" s="537">
        <f t="shared" si="1155"/>
        <v>1632.2</v>
      </c>
      <c r="K431" s="255">
        <f t="shared" si="1156"/>
        <v>1632.2</v>
      </c>
      <c r="L431" s="537">
        <f>F431+150</f>
        <v>1582.2</v>
      </c>
      <c r="M431" s="255">
        <f t="shared" si="1128"/>
        <v>1582.2</v>
      </c>
      <c r="N431" s="537">
        <f>F431+110</f>
        <v>1542.2</v>
      </c>
      <c r="O431" s="255">
        <f>+N431*$X$1</f>
        <v>1542.2</v>
      </c>
      <c r="P431" s="537">
        <f>F431+90</f>
        <v>1522.2</v>
      </c>
      <c r="Q431" s="255">
        <f t="shared" si="1132"/>
        <v>1522.2</v>
      </c>
      <c r="R431" s="537">
        <f>F431+70</f>
        <v>1502.2</v>
      </c>
      <c r="S431" s="255">
        <f>+R431*$X$1</f>
        <v>1502.2</v>
      </c>
      <c r="T431" s="537">
        <f>F431+56</f>
        <v>1488.2</v>
      </c>
      <c r="U431" s="255">
        <f t="shared" si="1157"/>
        <v>1488.2</v>
      </c>
      <c r="V431" s="537">
        <f>F431+49</f>
        <v>1481.2</v>
      </c>
      <c r="W431" s="255">
        <f t="shared" si="1158"/>
        <v>1481.2</v>
      </c>
      <c r="X431" s="635"/>
      <c r="Y431" s="638"/>
      <c r="Z431" s="638"/>
      <c r="AA431" s="637"/>
      <c r="AB431" s="345" t="s">
        <v>837</v>
      </c>
      <c r="AC431" s="62"/>
    </row>
    <row r="432" spans="1:29" ht="12.6" customHeight="1" x14ac:dyDescent="0.2">
      <c r="A432" s="17"/>
      <c r="B432" s="669" t="s">
        <v>747</v>
      </c>
      <c r="C432" s="701"/>
      <c r="D432" s="701"/>
      <c r="E432" s="701"/>
      <c r="F432" s="327">
        <f>1.255*X2</f>
        <v>1932.6999999999998</v>
      </c>
      <c r="G432" s="256">
        <f>+F432*$X$1</f>
        <v>1932.6999999999998</v>
      </c>
      <c r="H432" s="546">
        <f t="shared" si="1153"/>
        <v>2532.6999999999998</v>
      </c>
      <c r="I432" s="256">
        <f t="shared" si="1154"/>
        <v>2532.6999999999998</v>
      </c>
      <c r="J432" s="546">
        <f t="shared" si="1155"/>
        <v>2132.6999999999998</v>
      </c>
      <c r="K432" s="256">
        <f t="shared" si="1156"/>
        <v>2132.6999999999998</v>
      </c>
      <c r="L432" s="546">
        <f>F432+150</f>
        <v>2082.6999999999998</v>
      </c>
      <c r="M432" s="256">
        <f t="shared" si="1128"/>
        <v>2082.6999999999998</v>
      </c>
      <c r="N432" s="546">
        <f>F432+110</f>
        <v>2042.6999999999998</v>
      </c>
      <c r="O432" s="256">
        <f>+N432*$X$1</f>
        <v>2042.6999999999998</v>
      </c>
      <c r="P432" s="546">
        <f>F432+90</f>
        <v>2022.6999999999998</v>
      </c>
      <c r="Q432" s="256">
        <f t="shared" si="1132"/>
        <v>2022.6999999999998</v>
      </c>
      <c r="R432" s="546">
        <f>F432+70</f>
        <v>2002.6999999999998</v>
      </c>
      <c r="S432" s="256">
        <f>+R432*$X$1</f>
        <v>2002.6999999999998</v>
      </c>
      <c r="T432" s="546">
        <f>F432+56</f>
        <v>1988.6999999999998</v>
      </c>
      <c r="U432" s="256">
        <f t="shared" si="1157"/>
        <v>1988.6999999999998</v>
      </c>
      <c r="V432" s="546">
        <f>F432+49</f>
        <v>1981.6999999999998</v>
      </c>
      <c r="W432" s="256">
        <f t="shared" si="1158"/>
        <v>1981.6999999999998</v>
      </c>
      <c r="X432" s="635"/>
      <c r="Y432" s="638"/>
      <c r="Z432" s="638"/>
      <c r="AA432" s="637"/>
      <c r="AB432" s="345">
        <v>2327</v>
      </c>
      <c r="AC432" s="62"/>
    </row>
    <row r="433" spans="1:29" ht="12.6" customHeight="1" x14ac:dyDescent="0.2">
      <c r="A433" s="17"/>
      <c r="B433" s="666" t="s">
        <v>224</v>
      </c>
      <c r="C433" s="667"/>
      <c r="D433" s="667"/>
      <c r="E433" s="668"/>
      <c r="F433" s="326">
        <f>3.407*X2</f>
        <v>5246.78</v>
      </c>
      <c r="G433" s="255">
        <f>+F433*$X$1</f>
        <v>5246.78</v>
      </c>
      <c r="H433" s="537">
        <f>F433+650</f>
        <v>5896.78</v>
      </c>
      <c r="I433" s="255">
        <f t="shared" si="1154"/>
        <v>5896.78</v>
      </c>
      <c r="J433" s="537">
        <f>F433+230</f>
        <v>5476.78</v>
      </c>
      <c r="K433" s="255">
        <f t="shared" si="1156"/>
        <v>5476.78</v>
      </c>
      <c r="L433" s="537">
        <f>F433+190</f>
        <v>5436.78</v>
      </c>
      <c r="M433" s="255">
        <f t="shared" si="1128"/>
        <v>5436.78</v>
      </c>
      <c r="N433" s="537">
        <f>F433+150</f>
        <v>5396.78</v>
      </c>
      <c r="O433" s="255">
        <f t="shared" ref="O433" si="1159">+N433*$X$1</f>
        <v>5396.78</v>
      </c>
      <c r="P433" s="537">
        <f>F433+130</f>
        <v>5376.78</v>
      </c>
      <c r="Q433" s="255">
        <f t="shared" si="1132"/>
        <v>5376.78</v>
      </c>
      <c r="R433" s="537">
        <f>F433+110</f>
        <v>5356.78</v>
      </c>
      <c r="S433" s="255">
        <f t="shared" ref="S433" si="1160">+R433*$X$1</f>
        <v>5356.78</v>
      </c>
      <c r="T433" s="537">
        <f>F433+90</f>
        <v>5336.78</v>
      </c>
      <c r="U433" s="255">
        <f t="shared" si="1157"/>
        <v>5336.78</v>
      </c>
      <c r="V433" s="537">
        <f>F433+70</f>
        <v>5316.78</v>
      </c>
      <c r="W433" s="255">
        <f t="shared" si="1158"/>
        <v>5316.78</v>
      </c>
      <c r="X433" s="635"/>
      <c r="Y433" s="638"/>
      <c r="Z433" s="638"/>
      <c r="AA433" s="637"/>
      <c r="AB433" s="345">
        <v>2330</v>
      </c>
      <c r="AC433" s="62"/>
    </row>
    <row r="434" spans="1:29" ht="12.6" customHeight="1" x14ac:dyDescent="0.2">
      <c r="A434" s="94"/>
      <c r="B434" s="639" t="s">
        <v>805</v>
      </c>
      <c r="C434" s="649"/>
      <c r="D434" s="649"/>
      <c r="E434" s="650"/>
      <c r="F434" s="327">
        <f>1.295*X2</f>
        <v>1994.3</v>
      </c>
      <c r="G434" s="256">
        <f t="shared" ref="G434" si="1161">+F434*$X$1</f>
        <v>1994.3</v>
      </c>
      <c r="H434" s="546">
        <f>F434+650</f>
        <v>2644.3</v>
      </c>
      <c r="I434" s="256">
        <f t="shared" ref="I434" si="1162">+H434*$X$1</f>
        <v>2644.3</v>
      </c>
      <c r="J434" s="546">
        <f>F434+230</f>
        <v>2224.3000000000002</v>
      </c>
      <c r="K434" s="256">
        <f t="shared" ref="K434" si="1163">+J434*$X$1</f>
        <v>2224.3000000000002</v>
      </c>
      <c r="L434" s="546">
        <f>F434+190</f>
        <v>2184.3000000000002</v>
      </c>
      <c r="M434" s="256">
        <f t="shared" ref="M434" si="1164">+L434*$X$1</f>
        <v>2184.3000000000002</v>
      </c>
      <c r="N434" s="546">
        <f>F434+150</f>
        <v>2144.3000000000002</v>
      </c>
      <c r="O434" s="256">
        <f t="shared" ref="O434" si="1165">+N434*$X$1</f>
        <v>2144.3000000000002</v>
      </c>
      <c r="P434" s="546">
        <f>F434+130</f>
        <v>2124.3000000000002</v>
      </c>
      <c r="Q434" s="256">
        <f t="shared" ref="Q434" si="1166">+P434*$X$1</f>
        <v>2124.3000000000002</v>
      </c>
      <c r="R434" s="546">
        <f>F434+110</f>
        <v>2104.3000000000002</v>
      </c>
      <c r="S434" s="256">
        <f t="shared" ref="S434" si="1167">+R434*$X$1</f>
        <v>2104.3000000000002</v>
      </c>
      <c r="T434" s="546">
        <f>F434+90</f>
        <v>2084.3000000000002</v>
      </c>
      <c r="U434" s="256">
        <f t="shared" ref="U434" si="1168">+T434*$X$1</f>
        <v>2084.3000000000002</v>
      </c>
      <c r="V434" s="546">
        <f>F434+70</f>
        <v>2064.3000000000002</v>
      </c>
      <c r="W434" s="256">
        <f t="shared" ref="W434" si="1169">+V434*$X$1</f>
        <v>2064.3000000000002</v>
      </c>
      <c r="X434" s="635"/>
      <c r="Y434" s="638"/>
      <c r="Z434" s="638"/>
      <c r="AA434" s="637"/>
      <c r="AB434" s="345">
        <v>2331</v>
      </c>
      <c r="AC434" s="62"/>
    </row>
    <row r="435" spans="1:29" ht="12.6" customHeight="1" x14ac:dyDescent="0.2">
      <c r="A435" s="94"/>
      <c r="B435" s="666" t="s">
        <v>799</v>
      </c>
      <c r="C435" s="684"/>
      <c r="D435" s="684"/>
      <c r="E435" s="685"/>
      <c r="F435" s="491">
        <f>3.77*X2</f>
        <v>5805.8</v>
      </c>
      <c r="G435" s="255">
        <f t="shared" ref="G435" si="1170">+F435*$X$1</f>
        <v>5805.8</v>
      </c>
      <c r="H435" s="537">
        <f>F435+800</f>
        <v>6605.8</v>
      </c>
      <c r="I435" s="255">
        <f t="shared" ref="I435:I437" si="1171">+H435*$X$1</f>
        <v>6605.8</v>
      </c>
      <c r="J435" s="537">
        <f>F435+350</f>
        <v>6155.8</v>
      </c>
      <c r="K435" s="255">
        <f t="shared" ref="K435:K437" si="1172">+J435*$X$1</f>
        <v>6155.8</v>
      </c>
      <c r="L435" s="537">
        <f>F435+290</f>
        <v>6095.8</v>
      </c>
      <c r="M435" s="255">
        <f t="shared" ref="M435:M437" si="1173">+L435*$X$1</f>
        <v>6095.8</v>
      </c>
      <c r="N435" s="537">
        <f>F435+230</f>
        <v>6035.8</v>
      </c>
      <c r="O435" s="255">
        <f t="shared" ref="O435:O437" si="1174">+N435*$X$1</f>
        <v>6035.8</v>
      </c>
      <c r="P435" s="537">
        <f>F435+200</f>
        <v>6005.8</v>
      </c>
      <c r="Q435" s="255">
        <f t="shared" ref="Q435:Q437" si="1175">+P435*$X$1</f>
        <v>6005.8</v>
      </c>
      <c r="R435" s="537">
        <f>F435+170</f>
        <v>5975.8</v>
      </c>
      <c r="S435" s="255">
        <f t="shared" ref="S435:S437" si="1176">+R435*$X$1</f>
        <v>5975.8</v>
      </c>
      <c r="T435" s="537">
        <f>F435+140</f>
        <v>5945.8</v>
      </c>
      <c r="U435" s="255">
        <f t="shared" ref="U435:U437" si="1177">+T435*$X$1</f>
        <v>5945.8</v>
      </c>
      <c r="V435" s="537">
        <f>F435+105</f>
        <v>5910.8</v>
      </c>
      <c r="W435" s="255">
        <f t="shared" ref="W435:W437" si="1178">+V435*$X$1</f>
        <v>5910.8</v>
      </c>
      <c r="X435" s="635"/>
      <c r="Y435" s="638"/>
      <c r="Z435" s="638"/>
      <c r="AA435" s="637"/>
      <c r="AB435" s="345">
        <v>2332</v>
      </c>
      <c r="AC435" s="62"/>
    </row>
    <row r="436" spans="1:29" ht="12.6" customHeight="1" x14ac:dyDescent="0.2">
      <c r="A436" s="94"/>
      <c r="B436" s="639" t="s">
        <v>349</v>
      </c>
      <c r="C436" s="649"/>
      <c r="D436" s="649"/>
      <c r="E436" s="650"/>
      <c r="F436" s="327">
        <f>0.97*X2</f>
        <v>1493.8</v>
      </c>
      <c r="G436" s="256">
        <f t="shared" ref="G436" si="1179">+F436*$X$1</f>
        <v>1493.8</v>
      </c>
      <c r="H436" s="546">
        <f>F436+650</f>
        <v>2143.8000000000002</v>
      </c>
      <c r="I436" s="256">
        <f t="shared" si="1171"/>
        <v>2143.8000000000002</v>
      </c>
      <c r="J436" s="546">
        <f>F436+230</f>
        <v>1723.8</v>
      </c>
      <c r="K436" s="256">
        <f t="shared" si="1172"/>
        <v>1723.8</v>
      </c>
      <c r="L436" s="546">
        <f>F436+190</f>
        <v>1683.8</v>
      </c>
      <c r="M436" s="256">
        <f t="shared" si="1173"/>
        <v>1683.8</v>
      </c>
      <c r="N436" s="546">
        <f>F436+150</f>
        <v>1643.8</v>
      </c>
      <c r="O436" s="256">
        <f t="shared" si="1174"/>
        <v>1643.8</v>
      </c>
      <c r="P436" s="546">
        <f>F436+130</f>
        <v>1623.8</v>
      </c>
      <c r="Q436" s="256">
        <f t="shared" si="1175"/>
        <v>1623.8</v>
      </c>
      <c r="R436" s="546">
        <f>F436+110</f>
        <v>1603.8</v>
      </c>
      <c r="S436" s="256">
        <f t="shared" si="1176"/>
        <v>1603.8</v>
      </c>
      <c r="T436" s="546">
        <f>F436+90</f>
        <v>1583.8</v>
      </c>
      <c r="U436" s="256">
        <f t="shared" si="1177"/>
        <v>1583.8</v>
      </c>
      <c r="V436" s="546">
        <f>F436+70</f>
        <v>1563.8</v>
      </c>
      <c r="W436" s="256">
        <f t="shared" si="1178"/>
        <v>1563.8</v>
      </c>
      <c r="X436" s="635"/>
      <c r="Y436" s="638"/>
      <c r="Z436" s="638"/>
      <c r="AA436" s="637"/>
      <c r="AB436" s="345">
        <v>2334</v>
      </c>
      <c r="AC436" s="62"/>
    </row>
    <row r="437" spans="1:29" ht="12.6" customHeight="1" x14ac:dyDescent="0.2">
      <c r="A437" s="94"/>
      <c r="B437" s="971" t="s">
        <v>225</v>
      </c>
      <c r="C437" s="902"/>
      <c r="D437" s="902"/>
      <c r="E437" s="903"/>
      <c r="F437" s="329">
        <f>1.12*X2</f>
        <v>1724.8000000000002</v>
      </c>
      <c r="G437" s="270">
        <f t="shared" ref="G437" si="1180">+F437*$X$1</f>
        <v>1724.8000000000002</v>
      </c>
      <c r="H437" s="537">
        <f>F437+650</f>
        <v>2374.8000000000002</v>
      </c>
      <c r="I437" s="255">
        <f t="shared" si="1171"/>
        <v>2374.8000000000002</v>
      </c>
      <c r="J437" s="537">
        <f>F437+230</f>
        <v>1954.8000000000002</v>
      </c>
      <c r="K437" s="255">
        <f t="shared" si="1172"/>
        <v>1954.8000000000002</v>
      </c>
      <c r="L437" s="537">
        <f>F437+190</f>
        <v>1914.8000000000002</v>
      </c>
      <c r="M437" s="255">
        <f t="shared" si="1173"/>
        <v>1914.8000000000002</v>
      </c>
      <c r="N437" s="537">
        <f>F437+150</f>
        <v>1874.8000000000002</v>
      </c>
      <c r="O437" s="255">
        <f t="shared" si="1174"/>
        <v>1874.8000000000002</v>
      </c>
      <c r="P437" s="537">
        <f>F437+130</f>
        <v>1854.8000000000002</v>
      </c>
      <c r="Q437" s="255">
        <f t="shared" si="1175"/>
        <v>1854.8000000000002</v>
      </c>
      <c r="R437" s="537">
        <f>F437+110</f>
        <v>1834.8000000000002</v>
      </c>
      <c r="S437" s="255">
        <f t="shared" si="1176"/>
        <v>1834.8000000000002</v>
      </c>
      <c r="T437" s="537">
        <f>F437+90</f>
        <v>1814.8000000000002</v>
      </c>
      <c r="U437" s="255">
        <f t="shared" si="1177"/>
        <v>1814.8000000000002</v>
      </c>
      <c r="V437" s="537">
        <f>F437+70</f>
        <v>1794.8000000000002</v>
      </c>
      <c r="W437" s="255">
        <f t="shared" si="1178"/>
        <v>1794.8000000000002</v>
      </c>
      <c r="X437" s="635"/>
      <c r="Y437" s="638"/>
      <c r="Z437" s="638"/>
      <c r="AA437" s="637"/>
      <c r="AB437" s="359">
        <v>2336</v>
      </c>
      <c r="AC437" s="62"/>
    </row>
    <row r="438" spans="1:29" ht="12.6" customHeight="1" x14ac:dyDescent="0.2">
      <c r="A438" s="17"/>
      <c r="B438" s="639" t="s">
        <v>226</v>
      </c>
      <c r="C438" s="649"/>
      <c r="D438" s="649"/>
      <c r="E438" s="650"/>
      <c r="F438" s="327">
        <f>1.355*X2</f>
        <v>2086.6999999999998</v>
      </c>
      <c r="G438" s="256">
        <f>+F438*$X$1</f>
        <v>2086.6999999999998</v>
      </c>
      <c r="H438" s="546">
        <f t="shared" ref="H438" si="1181">F438+600</f>
        <v>2686.7</v>
      </c>
      <c r="I438" s="256">
        <f t="shared" ref="I438" si="1182">+H438*$X$1</f>
        <v>2686.7</v>
      </c>
      <c r="J438" s="546">
        <f t="shared" ref="J438" si="1183">F438+200</f>
        <v>2286.6999999999998</v>
      </c>
      <c r="K438" s="256">
        <f t="shared" ref="K438" si="1184">+J438*$X$1</f>
        <v>2286.6999999999998</v>
      </c>
      <c r="L438" s="546">
        <f>F438+150</f>
        <v>2236.6999999999998</v>
      </c>
      <c r="M438" s="256">
        <f t="shared" ref="M438" si="1185">+L438*$X$1</f>
        <v>2236.6999999999998</v>
      </c>
      <c r="N438" s="546">
        <f>F438+110</f>
        <v>2196.6999999999998</v>
      </c>
      <c r="O438" s="256">
        <f t="shared" ref="O438:O451" si="1186">+N438*$X$1</f>
        <v>2196.6999999999998</v>
      </c>
      <c r="P438" s="546">
        <f>F438+90</f>
        <v>2176.6999999999998</v>
      </c>
      <c r="Q438" s="256">
        <f t="shared" ref="Q438" si="1187">+P438*$X$1</f>
        <v>2176.6999999999998</v>
      </c>
      <c r="R438" s="546">
        <f>F438+70</f>
        <v>2156.6999999999998</v>
      </c>
      <c r="S438" s="256">
        <f t="shared" ref="S438:S451" si="1188">+R438*$X$1</f>
        <v>2156.6999999999998</v>
      </c>
      <c r="T438" s="546">
        <f>F438+56</f>
        <v>2142.6999999999998</v>
      </c>
      <c r="U438" s="256">
        <f t="shared" ref="U438" si="1189">+T438*$X$1</f>
        <v>2142.6999999999998</v>
      </c>
      <c r="V438" s="546">
        <f>F438+49</f>
        <v>2135.6999999999998</v>
      </c>
      <c r="W438" s="256">
        <f t="shared" ref="W438" si="1190">+V438*$X$1</f>
        <v>2135.6999999999998</v>
      </c>
      <c r="X438" s="635"/>
      <c r="Y438" s="638"/>
      <c r="Z438" s="638"/>
      <c r="AA438" s="637"/>
      <c r="AB438" s="345">
        <v>2337</v>
      </c>
      <c r="AC438" s="62"/>
    </row>
    <row r="439" spans="1:29" ht="12.6" customHeight="1" x14ac:dyDescent="0.2">
      <c r="A439" s="17"/>
      <c r="B439" s="1145" t="s">
        <v>227</v>
      </c>
      <c r="C439" s="1146"/>
      <c r="D439" s="1146"/>
      <c r="E439" s="1147"/>
      <c r="F439" s="491">
        <f>1.823*X2</f>
        <v>2807.42</v>
      </c>
      <c r="G439" s="603">
        <f t="shared" ref="G439" si="1191">+F439*$X$1</f>
        <v>2807.42</v>
      </c>
      <c r="H439" s="537">
        <f t="shared" ref="H439:H440" si="1192">F439+600</f>
        <v>3407.42</v>
      </c>
      <c r="I439" s="255">
        <f t="shared" ref="I439:I440" si="1193">+H439*$X$1</f>
        <v>3407.42</v>
      </c>
      <c r="J439" s="537">
        <f t="shared" ref="J439:J440" si="1194">F439+200</f>
        <v>3007.42</v>
      </c>
      <c r="K439" s="255">
        <f t="shared" ref="K439:K440" si="1195">+J439*$X$1</f>
        <v>3007.42</v>
      </c>
      <c r="L439" s="537">
        <f>F439+150</f>
        <v>2957.42</v>
      </c>
      <c r="M439" s="255">
        <f t="shared" ref="M439:M440" si="1196">+L439*$X$1</f>
        <v>2957.42</v>
      </c>
      <c r="N439" s="537">
        <f>F439+110</f>
        <v>2917.42</v>
      </c>
      <c r="O439" s="255">
        <f t="shared" si="1186"/>
        <v>2917.42</v>
      </c>
      <c r="P439" s="537">
        <f>F439+90</f>
        <v>2897.42</v>
      </c>
      <c r="Q439" s="255">
        <f t="shared" ref="Q439:Q440" si="1197">+P439*$X$1</f>
        <v>2897.42</v>
      </c>
      <c r="R439" s="537">
        <f>F439+70</f>
        <v>2877.42</v>
      </c>
      <c r="S439" s="255">
        <f t="shared" si="1188"/>
        <v>2877.42</v>
      </c>
      <c r="T439" s="537">
        <f>F439+56</f>
        <v>2863.42</v>
      </c>
      <c r="U439" s="255">
        <f t="shared" ref="U439:U440" si="1198">+T439*$X$1</f>
        <v>2863.42</v>
      </c>
      <c r="V439" s="537">
        <f>F439+49</f>
        <v>2856.42</v>
      </c>
      <c r="W439" s="255">
        <f t="shared" ref="W439:W440" si="1199">+V439*$X$1</f>
        <v>2856.42</v>
      </c>
      <c r="X439" s="635"/>
      <c r="Y439" s="638"/>
      <c r="Z439" s="638"/>
      <c r="AA439" s="637"/>
      <c r="AB439" s="345">
        <v>2338</v>
      </c>
      <c r="AC439" s="62"/>
    </row>
    <row r="440" spans="1:29" ht="12.6" customHeight="1" x14ac:dyDescent="0.2">
      <c r="A440" s="17"/>
      <c r="B440" s="639" t="s">
        <v>292</v>
      </c>
      <c r="C440" s="649"/>
      <c r="D440" s="649"/>
      <c r="E440" s="650"/>
      <c r="F440" s="492">
        <f>0.99*X2</f>
        <v>1524.6</v>
      </c>
      <c r="G440" s="256">
        <f>+F440*$X$1</f>
        <v>1524.6</v>
      </c>
      <c r="H440" s="546">
        <f t="shared" si="1192"/>
        <v>2124.6</v>
      </c>
      <c r="I440" s="256">
        <f t="shared" si="1193"/>
        <v>2124.6</v>
      </c>
      <c r="J440" s="546">
        <f t="shared" si="1194"/>
        <v>1724.6</v>
      </c>
      <c r="K440" s="256">
        <f t="shared" si="1195"/>
        <v>1724.6</v>
      </c>
      <c r="L440" s="546">
        <f>F440+150</f>
        <v>1674.6</v>
      </c>
      <c r="M440" s="256">
        <f t="shared" si="1196"/>
        <v>1674.6</v>
      </c>
      <c r="N440" s="546">
        <f>F440+110</f>
        <v>1634.6</v>
      </c>
      <c r="O440" s="256">
        <f t="shared" si="1186"/>
        <v>1634.6</v>
      </c>
      <c r="P440" s="546">
        <f>F440+90</f>
        <v>1614.6</v>
      </c>
      <c r="Q440" s="256">
        <f t="shared" si="1197"/>
        <v>1614.6</v>
      </c>
      <c r="R440" s="546">
        <f>F440+70</f>
        <v>1594.6</v>
      </c>
      <c r="S440" s="256">
        <f t="shared" si="1188"/>
        <v>1594.6</v>
      </c>
      <c r="T440" s="546">
        <f>F440+56</f>
        <v>1580.6</v>
      </c>
      <c r="U440" s="256">
        <f t="shared" si="1198"/>
        <v>1580.6</v>
      </c>
      <c r="V440" s="546">
        <f>F440+49</f>
        <v>1573.6</v>
      </c>
      <c r="W440" s="256">
        <f t="shared" si="1199"/>
        <v>1573.6</v>
      </c>
      <c r="X440" s="161"/>
      <c r="Y440" s="164"/>
      <c r="Z440" s="164"/>
      <c r="AA440" s="163"/>
      <c r="AB440" s="345">
        <v>2340</v>
      </c>
      <c r="AC440" s="62"/>
    </row>
    <row r="441" spans="1:29" ht="12.6" customHeight="1" x14ac:dyDescent="0.2">
      <c r="A441" s="17"/>
      <c r="B441" s="671" t="s">
        <v>825</v>
      </c>
      <c r="C441" s="672"/>
      <c r="D441" s="672"/>
      <c r="E441" s="673"/>
      <c r="F441" s="464">
        <f>6*X2</f>
        <v>9240</v>
      </c>
      <c r="G441" s="460">
        <f t="shared" ref="G441" si="1200">+F441*$X$1</f>
        <v>9240</v>
      </c>
      <c r="H441" s="596">
        <f>F441+800</f>
        <v>10040</v>
      </c>
      <c r="I441" s="460">
        <f t="shared" ref="I441" si="1201">+H441*$X$1</f>
        <v>10040</v>
      </c>
      <c r="J441" s="596">
        <f>F441+300</f>
        <v>9540</v>
      </c>
      <c r="K441" s="460">
        <f t="shared" ref="K441" si="1202">+J441*$X$1</f>
        <v>9540</v>
      </c>
      <c r="L441" s="596">
        <f>F441+230</f>
        <v>9470</v>
      </c>
      <c r="M441" s="460">
        <f t="shared" ref="M441" si="1203">+L441*$X$1</f>
        <v>9470</v>
      </c>
      <c r="N441" s="596">
        <f>F441+170</f>
        <v>9410</v>
      </c>
      <c r="O441" s="460">
        <f t="shared" si="1186"/>
        <v>9410</v>
      </c>
      <c r="P441" s="596">
        <f>F441+140</f>
        <v>9380</v>
      </c>
      <c r="Q441" s="460">
        <f t="shared" ref="Q441" si="1204">+P441*$X$1</f>
        <v>9380</v>
      </c>
      <c r="R441" s="596">
        <f>F441+110</f>
        <v>9350</v>
      </c>
      <c r="S441" s="460">
        <f t="shared" si="1188"/>
        <v>9350</v>
      </c>
      <c r="T441" s="596">
        <f>F441+90</f>
        <v>9330</v>
      </c>
      <c r="U441" s="460">
        <f t="shared" ref="U441" si="1205">+T441*$X$1</f>
        <v>9330</v>
      </c>
      <c r="V441" s="596">
        <f>F441+78</f>
        <v>9318</v>
      </c>
      <c r="W441" s="460">
        <f t="shared" ref="W441" si="1206">+V441*$X$1</f>
        <v>9318</v>
      </c>
      <c r="X441" s="481"/>
      <c r="Y441" s="482"/>
      <c r="Z441" s="482"/>
      <c r="AA441" s="483"/>
      <c r="AB441" s="345">
        <v>2341</v>
      </c>
      <c r="AC441" s="62"/>
    </row>
    <row r="442" spans="1:29" ht="12.6" customHeight="1" x14ac:dyDescent="0.2">
      <c r="A442" s="17"/>
      <c r="B442" s="639" t="s">
        <v>631</v>
      </c>
      <c r="C442" s="649"/>
      <c r="D442" s="649"/>
      <c r="E442" s="650"/>
      <c r="F442" s="327">
        <f>11.91*X2</f>
        <v>18341.400000000001</v>
      </c>
      <c r="G442" s="256">
        <f t="shared" ref="G442" si="1207">+F442*$X$1</f>
        <v>18341.400000000001</v>
      </c>
      <c r="H442" s="546">
        <f t="shared" ref="H442:H451" si="1208">F442+600</f>
        <v>18941.400000000001</v>
      </c>
      <c r="I442" s="256">
        <f t="shared" ref="I442:I451" si="1209">+H442*$X$1</f>
        <v>18941.400000000001</v>
      </c>
      <c r="J442" s="546">
        <f t="shared" ref="J442:J451" si="1210">F442+200</f>
        <v>18541.400000000001</v>
      </c>
      <c r="K442" s="256">
        <f t="shared" ref="K442:K451" si="1211">+J442*$X$1</f>
        <v>18541.400000000001</v>
      </c>
      <c r="L442" s="546">
        <f t="shared" ref="L442:L451" si="1212">F442+150</f>
        <v>18491.400000000001</v>
      </c>
      <c r="M442" s="256">
        <f t="shared" ref="M442:M451" si="1213">+L442*$X$1</f>
        <v>18491.400000000001</v>
      </c>
      <c r="N442" s="546">
        <f t="shared" ref="N442:N451" si="1214">F442+110</f>
        <v>18451.400000000001</v>
      </c>
      <c r="O442" s="256">
        <f t="shared" si="1186"/>
        <v>18451.400000000001</v>
      </c>
      <c r="P442" s="546">
        <f t="shared" ref="P442:P451" si="1215">F442+90</f>
        <v>18431.400000000001</v>
      </c>
      <c r="Q442" s="256">
        <f t="shared" ref="Q442:Q451" si="1216">+P442*$X$1</f>
        <v>18431.400000000001</v>
      </c>
      <c r="R442" s="546">
        <f t="shared" ref="R442:R451" si="1217">F442+70</f>
        <v>18411.400000000001</v>
      </c>
      <c r="S442" s="256">
        <f t="shared" si="1188"/>
        <v>18411.400000000001</v>
      </c>
      <c r="T442" s="546">
        <f t="shared" ref="T442:T451" si="1218">F442+56</f>
        <v>18397.400000000001</v>
      </c>
      <c r="U442" s="256">
        <f t="shared" ref="U442:U451" si="1219">+T442*$X$1</f>
        <v>18397.400000000001</v>
      </c>
      <c r="V442" s="546">
        <f t="shared" ref="V442:V451" si="1220">F442+49</f>
        <v>18390.400000000001</v>
      </c>
      <c r="W442" s="256">
        <f t="shared" ref="W442:W451" si="1221">+V442*$X$1</f>
        <v>18390.400000000001</v>
      </c>
      <c r="X442" s="384"/>
      <c r="Y442" s="385"/>
      <c r="Z442" s="385"/>
      <c r="AA442" s="386"/>
      <c r="AB442" s="345">
        <v>2342</v>
      </c>
      <c r="AC442" s="62"/>
    </row>
    <row r="443" spans="1:29" ht="12.6" customHeight="1" x14ac:dyDescent="0.2">
      <c r="A443" s="17"/>
      <c r="B443" s="1145" t="s">
        <v>630</v>
      </c>
      <c r="C443" s="1146"/>
      <c r="D443" s="1146"/>
      <c r="E443" s="1147"/>
      <c r="F443" s="491">
        <f>14.05*X2</f>
        <v>21637</v>
      </c>
      <c r="G443" s="603">
        <f t="shared" ref="G443" si="1222">+F443*$X$1</f>
        <v>21637</v>
      </c>
      <c r="H443" s="537">
        <f t="shared" si="1208"/>
        <v>22237</v>
      </c>
      <c r="I443" s="255">
        <f t="shared" si="1209"/>
        <v>22237</v>
      </c>
      <c r="J443" s="537">
        <f t="shared" si="1210"/>
        <v>21837</v>
      </c>
      <c r="K443" s="255">
        <f t="shared" si="1211"/>
        <v>21837</v>
      </c>
      <c r="L443" s="537">
        <f t="shared" si="1212"/>
        <v>21787</v>
      </c>
      <c r="M443" s="255">
        <f t="shared" si="1213"/>
        <v>21787</v>
      </c>
      <c r="N443" s="537">
        <f t="shared" si="1214"/>
        <v>21747</v>
      </c>
      <c r="O443" s="255">
        <f t="shared" si="1186"/>
        <v>21747</v>
      </c>
      <c r="P443" s="537">
        <f t="shared" si="1215"/>
        <v>21727</v>
      </c>
      <c r="Q443" s="255">
        <f t="shared" si="1216"/>
        <v>21727</v>
      </c>
      <c r="R443" s="537">
        <f t="shared" si="1217"/>
        <v>21707</v>
      </c>
      <c r="S443" s="255">
        <f t="shared" si="1188"/>
        <v>21707</v>
      </c>
      <c r="T443" s="537">
        <f t="shared" si="1218"/>
        <v>21693</v>
      </c>
      <c r="U443" s="255">
        <f t="shared" si="1219"/>
        <v>21693</v>
      </c>
      <c r="V443" s="537">
        <f t="shared" si="1220"/>
        <v>21686</v>
      </c>
      <c r="W443" s="255">
        <f t="shared" si="1221"/>
        <v>21686</v>
      </c>
      <c r="X443" s="384"/>
      <c r="Y443" s="385"/>
      <c r="Z443" s="385"/>
      <c r="AA443" s="386"/>
      <c r="AB443" s="345">
        <v>2343</v>
      </c>
      <c r="AC443" s="62"/>
    </row>
    <row r="444" spans="1:29" ht="12.6" customHeight="1" x14ac:dyDescent="0.2">
      <c r="A444" s="17"/>
      <c r="B444" s="639" t="s">
        <v>759</v>
      </c>
      <c r="C444" s="649"/>
      <c r="D444" s="649"/>
      <c r="E444" s="650"/>
      <c r="F444" s="327">
        <f>9.41*X2</f>
        <v>14491.4</v>
      </c>
      <c r="G444" s="256">
        <f>+F444*$X$1</f>
        <v>14491.4</v>
      </c>
      <c r="H444" s="546">
        <f t="shared" si="1208"/>
        <v>15091.4</v>
      </c>
      <c r="I444" s="256">
        <f t="shared" si="1209"/>
        <v>15091.4</v>
      </c>
      <c r="J444" s="546">
        <f t="shared" si="1210"/>
        <v>14691.4</v>
      </c>
      <c r="K444" s="256">
        <f t="shared" si="1211"/>
        <v>14691.4</v>
      </c>
      <c r="L444" s="546">
        <f t="shared" si="1212"/>
        <v>14641.4</v>
      </c>
      <c r="M444" s="256">
        <f t="shared" si="1213"/>
        <v>14641.4</v>
      </c>
      <c r="N444" s="546">
        <f t="shared" si="1214"/>
        <v>14601.4</v>
      </c>
      <c r="O444" s="256">
        <f t="shared" si="1186"/>
        <v>14601.4</v>
      </c>
      <c r="P444" s="546">
        <f t="shared" si="1215"/>
        <v>14581.4</v>
      </c>
      <c r="Q444" s="256">
        <f t="shared" si="1216"/>
        <v>14581.4</v>
      </c>
      <c r="R444" s="546">
        <f t="shared" si="1217"/>
        <v>14561.4</v>
      </c>
      <c r="S444" s="256">
        <f t="shared" si="1188"/>
        <v>14561.4</v>
      </c>
      <c r="T444" s="546">
        <f t="shared" si="1218"/>
        <v>14547.4</v>
      </c>
      <c r="U444" s="256">
        <f t="shared" si="1219"/>
        <v>14547.4</v>
      </c>
      <c r="V444" s="546">
        <f t="shared" si="1220"/>
        <v>14540.4</v>
      </c>
      <c r="W444" s="256">
        <f t="shared" si="1221"/>
        <v>14540.4</v>
      </c>
      <c r="X444" s="437"/>
      <c r="Y444" s="438"/>
      <c r="Z444" s="438"/>
      <c r="AA444" s="439"/>
      <c r="AB444" s="345" t="s">
        <v>760</v>
      </c>
      <c r="AC444" s="62"/>
    </row>
    <row r="445" spans="1:29" ht="12.6" customHeight="1" x14ac:dyDescent="0.2">
      <c r="A445" s="17"/>
      <c r="B445" s="666" t="s">
        <v>1022</v>
      </c>
      <c r="C445" s="684"/>
      <c r="D445" s="684"/>
      <c r="E445" s="685"/>
      <c r="F445" s="457">
        <f>7.904*X2</f>
        <v>12172.16</v>
      </c>
      <c r="G445" s="255">
        <f>+F445*$X$1</f>
        <v>12172.16</v>
      </c>
      <c r="H445" s="537">
        <f t="shared" si="1208"/>
        <v>12772.16</v>
      </c>
      <c r="I445" s="255">
        <f t="shared" si="1209"/>
        <v>12772.16</v>
      </c>
      <c r="J445" s="537">
        <f t="shared" si="1210"/>
        <v>12372.16</v>
      </c>
      <c r="K445" s="255">
        <f t="shared" si="1211"/>
        <v>12372.16</v>
      </c>
      <c r="L445" s="537">
        <f>F445+150</f>
        <v>12322.16</v>
      </c>
      <c r="M445" s="255">
        <f t="shared" si="1213"/>
        <v>12322.16</v>
      </c>
      <c r="N445" s="537">
        <f>F445+110</f>
        <v>12282.16</v>
      </c>
      <c r="O445" s="255">
        <f t="shared" ref="O445" si="1223">+N445*$X$1</f>
        <v>12282.16</v>
      </c>
      <c r="P445" s="537">
        <f>F445+90</f>
        <v>12262.16</v>
      </c>
      <c r="Q445" s="255">
        <f t="shared" si="1216"/>
        <v>12262.16</v>
      </c>
      <c r="R445" s="537">
        <f>F445+70</f>
        <v>12242.16</v>
      </c>
      <c r="S445" s="255">
        <f t="shared" ref="S445" si="1224">+R445*$X$1</f>
        <v>12242.16</v>
      </c>
      <c r="T445" s="537">
        <f>F445+56</f>
        <v>12228.16</v>
      </c>
      <c r="U445" s="255">
        <f t="shared" si="1219"/>
        <v>12228.16</v>
      </c>
      <c r="V445" s="537">
        <f>F445+49</f>
        <v>12221.16</v>
      </c>
      <c r="W445" s="255">
        <f t="shared" si="1221"/>
        <v>12221.16</v>
      </c>
      <c r="X445" s="588"/>
      <c r="Y445" s="589"/>
      <c r="Z445" s="589"/>
      <c r="AA445" s="590"/>
      <c r="AB445" s="345">
        <v>2346</v>
      </c>
      <c r="AC445" s="62"/>
    </row>
    <row r="446" spans="1:29" ht="12.6" customHeight="1" x14ac:dyDescent="0.2">
      <c r="A446" s="17"/>
      <c r="B446" s="639" t="s">
        <v>632</v>
      </c>
      <c r="C446" s="649"/>
      <c r="D446" s="649"/>
      <c r="E446" s="650"/>
      <c r="F446" s="327">
        <f>12.76*X2</f>
        <v>19650.400000000001</v>
      </c>
      <c r="G446" s="256">
        <f t="shared" ref="G446" si="1225">+F446*$X$1</f>
        <v>19650.400000000001</v>
      </c>
      <c r="H446" s="546">
        <f t="shared" si="1208"/>
        <v>20250.400000000001</v>
      </c>
      <c r="I446" s="256">
        <f t="shared" si="1209"/>
        <v>20250.400000000001</v>
      </c>
      <c r="J446" s="546">
        <f t="shared" si="1210"/>
        <v>19850.400000000001</v>
      </c>
      <c r="K446" s="256">
        <f t="shared" si="1211"/>
        <v>19850.400000000001</v>
      </c>
      <c r="L446" s="546">
        <f t="shared" si="1212"/>
        <v>19800.400000000001</v>
      </c>
      <c r="M446" s="256">
        <f t="shared" si="1213"/>
        <v>19800.400000000001</v>
      </c>
      <c r="N446" s="546">
        <f t="shared" si="1214"/>
        <v>19760.400000000001</v>
      </c>
      <c r="O446" s="256">
        <f t="shared" si="1186"/>
        <v>19760.400000000001</v>
      </c>
      <c r="P446" s="546">
        <f t="shared" si="1215"/>
        <v>19740.400000000001</v>
      </c>
      <c r="Q446" s="256">
        <f t="shared" si="1216"/>
        <v>19740.400000000001</v>
      </c>
      <c r="R446" s="546">
        <f t="shared" si="1217"/>
        <v>19720.400000000001</v>
      </c>
      <c r="S446" s="256">
        <f t="shared" si="1188"/>
        <v>19720.400000000001</v>
      </c>
      <c r="T446" s="546">
        <f t="shared" si="1218"/>
        <v>19706.400000000001</v>
      </c>
      <c r="U446" s="256">
        <f t="shared" si="1219"/>
        <v>19706.400000000001</v>
      </c>
      <c r="V446" s="546">
        <f t="shared" si="1220"/>
        <v>19699.400000000001</v>
      </c>
      <c r="W446" s="256">
        <f t="shared" si="1221"/>
        <v>19699.400000000001</v>
      </c>
      <c r="X446" s="384"/>
      <c r="Y446" s="385"/>
      <c r="Z446" s="385"/>
      <c r="AA446" s="386"/>
      <c r="AB446" s="345" t="s">
        <v>685</v>
      </c>
      <c r="AC446" s="62"/>
    </row>
    <row r="447" spans="1:29" ht="12.6" customHeight="1" x14ac:dyDescent="0.2">
      <c r="A447" s="17"/>
      <c r="B447" s="666" t="s">
        <v>535</v>
      </c>
      <c r="C447" s="684"/>
      <c r="D447" s="684"/>
      <c r="E447" s="685"/>
      <c r="F447" s="326">
        <f>2.57*X2</f>
        <v>3957.7999999999997</v>
      </c>
      <c r="G447" s="255">
        <f t="shared" ref="G447" si="1226">+F447*$X$1</f>
        <v>3957.7999999999997</v>
      </c>
      <c r="H447" s="537"/>
      <c r="I447" s="255"/>
      <c r="J447" s="537">
        <f t="shared" si="1210"/>
        <v>4157.7999999999993</v>
      </c>
      <c r="K447" s="255">
        <f t="shared" si="1211"/>
        <v>4157.7999999999993</v>
      </c>
      <c r="L447" s="537">
        <f t="shared" si="1212"/>
        <v>4107.7999999999993</v>
      </c>
      <c r="M447" s="255">
        <f t="shared" si="1213"/>
        <v>4107.7999999999993</v>
      </c>
      <c r="N447" s="537">
        <f t="shared" si="1214"/>
        <v>4067.7999999999997</v>
      </c>
      <c r="O447" s="255">
        <f t="shared" si="1186"/>
        <v>4067.7999999999997</v>
      </c>
      <c r="P447" s="537">
        <f t="shared" si="1215"/>
        <v>4047.7999999999997</v>
      </c>
      <c r="Q447" s="255">
        <f t="shared" si="1216"/>
        <v>4047.7999999999997</v>
      </c>
      <c r="R447" s="537">
        <f t="shared" si="1217"/>
        <v>4027.7999999999997</v>
      </c>
      <c r="S447" s="255">
        <f t="shared" si="1188"/>
        <v>4027.7999999999997</v>
      </c>
      <c r="T447" s="537">
        <f t="shared" si="1218"/>
        <v>4013.7999999999997</v>
      </c>
      <c r="U447" s="255">
        <f t="shared" si="1219"/>
        <v>4013.7999999999997</v>
      </c>
      <c r="V447" s="537">
        <f t="shared" si="1220"/>
        <v>4006.7999999999997</v>
      </c>
      <c r="W447" s="255">
        <f t="shared" si="1221"/>
        <v>4006.7999999999997</v>
      </c>
      <c r="X447" s="322"/>
      <c r="Y447" s="323"/>
      <c r="Z447" s="323"/>
      <c r="AA447" s="324"/>
      <c r="AB447" s="345">
        <v>2350</v>
      </c>
      <c r="AC447" s="62"/>
    </row>
    <row r="448" spans="1:29" ht="12.6" customHeight="1" x14ac:dyDescent="0.2">
      <c r="A448" s="17"/>
      <c r="B448" s="639" t="s">
        <v>614</v>
      </c>
      <c r="C448" s="649"/>
      <c r="D448" s="649"/>
      <c r="E448" s="650"/>
      <c r="F448" s="327">
        <f>1.59*X2</f>
        <v>2448.6</v>
      </c>
      <c r="G448" s="256">
        <f t="shared" ref="G448" si="1227">+F448*$X$1</f>
        <v>2448.6</v>
      </c>
      <c r="H448" s="546">
        <f t="shared" si="1208"/>
        <v>3048.6</v>
      </c>
      <c r="I448" s="256">
        <f t="shared" si="1209"/>
        <v>3048.6</v>
      </c>
      <c r="J448" s="546">
        <f t="shared" si="1210"/>
        <v>2648.6</v>
      </c>
      <c r="K448" s="256">
        <f t="shared" si="1211"/>
        <v>2648.6</v>
      </c>
      <c r="L448" s="546">
        <f t="shared" si="1212"/>
        <v>2598.6</v>
      </c>
      <c r="M448" s="256">
        <f t="shared" si="1213"/>
        <v>2598.6</v>
      </c>
      <c r="N448" s="546">
        <f t="shared" si="1214"/>
        <v>2558.6</v>
      </c>
      <c r="O448" s="256">
        <f t="shared" si="1186"/>
        <v>2558.6</v>
      </c>
      <c r="P448" s="546">
        <f t="shared" si="1215"/>
        <v>2538.6</v>
      </c>
      <c r="Q448" s="256">
        <f t="shared" si="1216"/>
        <v>2538.6</v>
      </c>
      <c r="R448" s="546">
        <f t="shared" si="1217"/>
        <v>2518.6</v>
      </c>
      <c r="S448" s="256">
        <f t="shared" si="1188"/>
        <v>2518.6</v>
      </c>
      <c r="T448" s="546">
        <f t="shared" si="1218"/>
        <v>2504.6</v>
      </c>
      <c r="U448" s="256">
        <f t="shared" si="1219"/>
        <v>2504.6</v>
      </c>
      <c r="V448" s="546">
        <f t="shared" si="1220"/>
        <v>2497.6</v>
      </c>
      <c r="W448" s="256">
        <f t="shared" si="1221"/>
        <v>2497.6</v>
      </c>
      <c r="X448" s="375"/>
      <c r="Y448" s="376"/>
      <c r="Z448" s="376"/>
      <c r="AA448" s="377"/>
      <c r="AB448" s="345">
        <v>2352</v>
      </c>
      <c r="AC448" s="62"/>
    </row>
    <row r="449" spans="1:29" ht="12.6" customHeight="1" x14ac:dyDescent="0.2">
      <c r="A449" s="17"/>
      <c r="B449" s="666" t="s">
        <v>806</v>
      </c>
      <c r="C449" s="684"/>
      <c r="D449" s="684"/>
      <c r="E449" s="685"/>
      <c r="F449" s="326">
        <f>1.48*X2</f>
        <v>2279.1999999999998</v>
      </c>
      <c r="G449" s="255">
        <f t="shared" ref="G449" si="1228">+F449*$X$1</f>
        <v>2279.1999999999998</v>
      </c>
      <c r="H449" s="537">
        <f t="shared" si="1208"/>
        <v>2879.2</v>
      </c>
      <c r="I449" s="255">
        <f t="shared" si="1209"/>
        <v>2879.2</v>
      </c>
      <c r="J449" s="537">
        <f t="shared" si="1210"/>
        <v>2479.1999999999998</v>
      </c>
      <c r="K449" s="255">
        <f t="shared" si="1211"/>
        <v>2479.1999999999998</v>
      </c>
      <c r="L449" s="537">
        <f t="shared" si="1212"/>
        <v>2429.1999999999998</v>
      </c>
      <c r="M449" s="255">
        <f t="shared" si="1213"/>
        <v>2429.1999999999998</v>
      </c>
      <c r="N449" s="537">
        <f t="shared" si="1214"/>
        <v>2389.1999999999998</v>
      </c>
      <c r="O449" s="255">
        <f t="shared" si="1186"/>
        <v>2389.1999999999998</v>
      </c>
      <c r="P449" s="537">
        <f t="shared" si="1215"/>
        <v>2369.1999999999998</v>
      </c>
      <c r="Q449" s="255">
        <f t="shared" si="1216"/>
        <v>2369.1999999999998</v>
      </c>
      <c r="R449" s="537">
        <f t="shared" si="1217"/>
        <v>2349.1999999999998</v>
      </c>
      <c r="S449" s="255">
        <f t="shared" si="1188"/>
        <v>2349.1999999999998</v>
      </c>
      <c r="T449" s="537">
        <f t="shared" si="1218"/>
        <v>2335.1999999999998</v>
      </c>
      <c r="U449" s="255">
        <f t="shared" si="1219"/>
        <v>2335.1999999999998</v>
      </c>
      <c r="V449" s="537">
        <f t="shared" si="1220"/>
        <v>2328.1999999999998</v>
      </c>
      <c r="W449" s="255">
        <f t="shared" si="1221"/>
        <v>2328.1999999999998</v>
      </c>
      <c r="X449" s="472"/>
      <c r="Y449" s="470"/>
      <c r="Z449" s="470"/>
      <c r="AA449" s="471"/>
      <c r="AB449" s="345">
        <v>2353</v>
      </c>
      <c r="AC449" s="62"/>
    </row>
    <row r="450" spans="1:29" ht="12.6" customHeight="1" x14ac:dyDescent="0.2">
      <c r="A450" s="17"/>
      <c r="B450" s="639" t="s">
        <v>849</v>
      </c>
      <c r="C450" s="649"/>
      <c r="D450" s="649"/>
      <c r="E450" s="650"/>
      <c r="F450" s="327">
        <f>1.732*X2</f>
        <v>2667.28</v>
      </c>
      <c r="G450" s="256">
        <f t="shared" ref="G450" si="1229">+F450*$X$1</f>
        <v>2667.28</v>
      </c>
      <c r="H450" s="546">
        <f t="shared" si="1208"/>
        <v>3267.28</v>
      </c>
      <c r="I450" s="256">
        <f t="shared" si="1209"/>
        <v>3267.28</v>
      </c>
      <c r="J450" s="546">
        <f t="shared" si="1210"/>
        <v>2867.28</v>
      </c>
      <c r="K450" s="256">
        <f t="shared" si="1211"/>
        <v>2867.28</v>
      </c>
      <c r="L450" s="546">
        <f t="shared" si="1212"/>
        <v>2817.28</v>
      </c>
      <c r="M450" s="256">
        <f t="shared" si="1213"/>
        <v>2817.28</v>
      </c>
      <c r="N450" s="546">
        <f t="shared" si="1214"/>
        <v>2777.28</v>
      </c>
      <c r="O450" s="256">
        <f t="shared" si="1186"/>
        <v>2777.28</v>
      </c>
      <c r="P450" s="546">
        <f t="shared" si="1215"/>
        <v>2757.28</v>
      </c>
      <c r="Q450" s="256">
        <f t="shared" si="1216"/>
        <v>2757.28</v>
      </c>
      <c r="R450" s="546">
        <f t="shared" si="1217"/>
        <v>2737.28</v>
      </c>
      <c r="S450" s="256">
        <f t="shared" si="1188"/>
        <v>2737.28</v>
      </c>
      <c r="T450" s="546">
        <f t="shared" si="1218"/>
        <v>2723.28</v>
      </c>
      <c r="U450" s="256">
        <f t="shared" si="1219"/>
        <v>2723.28</v>
      </c>
      <c r="V450" s="546">
        <f t="shared" si="1220"/>
        <v>2716.28</v>
      </c>
      <c r="W450" s="256">
        <f t="shared" si="1221"/>
        <v>2716.28</v>
      </c>
      <c r="X450" s="504"/>
      <c r="Y450" s="505"/>
      <c r="Z450" s="505"/>
      <c r="AA450" s="506"/>
      <c r="AB450" s="345">
        <v>2354</v>
      </c>
      <c r="AC450" s="62"/>
    </row>
    <row r="451" spans="1:29" ht="12.6" customHeight="1" x14ac:dyDescent="0.2">
      <c r="A451" s="17"/>
      <c r="B451" s="666" t="s">
        <v>848</v>
      </c>
      <c r="C451" s="684"/>
      <c r="D451" s="684"/>
      <c r="E451" s="685"/>
      <c r="F451" s="326">
        <f>1.471*X2</f>
        <v>2265.34</v>
      </c>
      <c r="G451" s="255">
        <f t="shared" ref="G451:G452" si="1230">+F451*$X$1</f>
        <v>2265.34</v>
      </c>
      <c r="H451" s="537">
        <f t="shared" si="1208"/>
        <v>2865.34</v>
      </c>
      <c r="I451" s="255">
        <f t="shared" si="1209"/>
        <v>2865.34</v>
      </c>
      <c r="J451" s="537">
        <f t="shared" si="1210"/>
        <v>2465.34</v>
      </c>
      <c r="K451" s="255">
        <f t="shared" si="1211"/>
        <v>2465.34</v>
      </c>
      <c r="L451" s="537">
        <f t="shared" si="1212"/>
        <v>2415.34</v>
      </c>
      <c r="M451" s="255">
        <f t="shared" si="1213"/>
        <v>2415.34</v>
      </c>
      <c r="N451" s="537">
        <f t="shared" si="1214"/>
        <v>2375.34</v>
      </c>
      <c r="O451" s="255">
        <f t="shared" si="1186"/>
        <v>2375.34</v>
      </c>
      <c r="P451" s="537">
        <f t="shared" si="1215"/>
        <v>2355.34</v>
      </c>
      <c r="Q451" s="255">
        <f t="shared" si="1216"/>
        <v>2355.34</v>
      </c>
      <c r="R451" s="537">
        <f t="shared" si="1217"/>
        <v>2335.34</v>
      </c>
      <c r="S451" s="255">
        <f t="shared" si="1188"/>
        <v>2335.34</v>
      </c>
      <c r="T451" s="537">
        <f t="shared" si="1218"/>
        <v>2321.34</v>
      </c>
      <c r="U451" s="255">
        <f t="shared" si="1219"/>
        <v>2321.34</v>
      </c>
      <c r="V451" s="537">
        <f t="shared" si="1220"/>
        <v>2314.34</v>
      </c>
      <c r="W451" s="255">
        <f t="shared" si="1221"/>
        <v>2314.34</v>
      </c>
      <c r="X451" s="504"/>
      <c r="Y451" s="505"/>
      <c r="Z451" s="505"/>
      <c r="AA451" s="506"/>
      <c r="AB451" s="345">
        <v>2355</v>
      </c>
      <c r="AC451" s="62"/>
    </row>
    <row r="452" spans="1:29" ht="12.6" customHeight="1" x14ac:dyDescent="0.2">
      <c r="A452" s="17"/>
      <c r="B452" s="683" t="s">
        <v>1010</v>
      </c>
      <c r="C452" s="652"/>
      <c r="D452" s="652"/>
      <c r="E452" s="653"/>
      <c r="F452" s="327">
        <f>28.91*X2</f>
        <v>44521.4</v>
      </c>
      <c r="G452" s="256">
        <f t="shared" si="1230"/>
        <v>44521.4</v>
      </c>
      <c r="H452" s="546">
        <f t="shared" ref="H452" si="1231">F452+600</f>
        <v>45121.4</v>
      </c>
      <c r="I452" s="256">
        <f t="shared" ref="I452:I455" si="1232">+H452*$X$1</f>
        <v>45121.4</v>
      </c>
      <c r="J452" s="546">
        <f t="shared" ref="J452" si="1233">F452+200</f>
        <v>44721.4</v>
      </c>
      <c r="K452" s="256">
        <f t="shared" ref="K452:K455" si="1234">+J452*$X$1</f>
        <v>44721.4</v>
      </c>
      <c r="L452" s="546">
        <f t="shared" ref="L452" si="1235">F452+150</f>
        <v>44671.4</v>
      </c>
      <c r="M452" s="256">
        <f t="shared" ref="M452:M455" si="1236">+L452*$X$1</f>
        <v>44671.4</v>
      </c>
      <c r="N452" s="546">
        <f t="shared" ref="N452" si="1237">F452+110</f>
        <v>44631.4</v>
      </c>
      <c r="O452" s="256">
        <f t="shared" ref="O452:O455" si="1238">+N452*$X$1</f>
        <v>44631.4</v>
      </c>
      <c r="P452" s="546">
        <f t="shared" ref="P452" si="1239">F452+90</f>
        <v>44611.4</v>
      </c>
      <c r="Q452" s="256">
        <f t="shared" ref="Q452:Q455" si="1240">+P452*$X$1</f>
        <v>44611.4</v>
      </c>
      <c r="R452" s="546">
        <f t="shared" ref="R452" si="1241">F452+70</f>
        <v>44591.4</v>
      </c>
      <c r="S452" s="256">
        <f t="shared" ref="S452:S455" si="1242">+R452*$X$1</f>
        <v>44591.4</v>
      </c>
      <c r="T452" s="546">
        <f t="shared" ref="T452" si="1243">F452+56</f>
        <v>44577.4</v>
      </c>
      <c r="U452" s="256">
        <f t="shared" ref="U452:U455" si="1244">+T452*$X$1</f>
        <v>44577.4</v>
      </c>
      <c r="V452" s="546">
        <f t="shared" ref="V452" si="1245">F452+49</f>
        <v>44570.400000000001</v>
      </c>
      <c r="W452" s="256">
        <f t="shared" ref="W452:W455" si="1246">+V452*$X$1</f>
        <v>44570.400000000001</v>
      </c>
      <c r="X452" s="580"/>
      <c r="Y452" s="578"/>
      <c r="Z452" s="578"/>
      <c r="AA452" s="579"/>
      <c r="AB452" s="345">
        <v>2416</v>
      </c>
      <c r="AC452" s="62"/>
    </row>
    <row r="453" spans="1:29" ht="12.6" customHeight="1" x14ac:dyDescent="0.2">
      <c r="A453" s="17"/>
      <c r="B453" s="666" t="s">
        <v>860</v>
      </c>
      <c r="C453" s="684"/>
      <c r="D453" s="684"/>
      <c r="E453" s="685"/>
      <c r="F453" s="326">
        <f>1.9*X2</f>
        <v>2926</v>
      </c>
      <c r="G453" s="255">
        <f>+F453*$X$1</f>
        <v>2926</v>
      </c>
      <c r="H453" s="537">
        <f t="shared" ref="H453:H455" si="1247">F453+700</f>
        <v>3626</v>
      </c>
      <c r="I453" s="255">
        <f t="shared" si="1232"/>
        <v>3626</v>
      </c>
      <c r="J453" s="68">
        <f t="shared" ref="J453:J455" si="1248">F453+280</f>
        <v>3206</v>
      </c>
      <c r="K453" s="255">
        <f t="shared" si="1234"/>
        <v>3206</v>
      </c>
      <c r="L453" s="537">
        <f t="shared" ref="L453:L455" si="1249">F453+210</f>
        <v>3136</v>
      </c>
      <c r="M453" s="255">
        <f t="shared" si="1236"/>
        <v>3136</v>
      </c>
      <c r="N453" s="537">
        <f t="shared" ref="N453:N455" si="1250">F453+160</f>
        <v>3086</v>
      </c>
      <c r="O453" s="255">
        <f t="shared" si="1238"/>
        <v>3086</v>
      </c>
      <c r="P453" s="537">
        <f t="shared" ref="P453:P455" si="1251">F453+130</f>
        <v>3056</v>
      </c>
      <c r="Q453" s="255">
        <f t="shared" si="1240"/>
        <v>3056</v>
      </c>
      <c r="R453" s="537">
        <f t="shared" ref="R453:R455" si="1252">F453+110</f>
        <v>3036</v>
      </c>
      <c r="S453" s="255">
        <f t="shared" si="1242"/>
        <v>3036</v>
      </c>
      <c r="T453" s="537">
        <f t="shared" ref="T453:T455" si="1253">F453+90</f>
        <v>3016</v>
      </c>
      <c r="U453" s="255">
        <f t="shared" si="1244"/>
        <v>3016</v>
      </c>
      <c r="V453" s="537">
        <f t="shared" ref="V453:V455" si="1254">F453+70</f>
        <v>2996</v>
      </c>
      <c r="W453" s="255">
        <f t="shared" si="1246"/>
        <v>2996</v>
      </c>
      <c r="X453" s="635"/>
      <c r="Y453" s="636"/>
      <c r="Z453" s="636"/>
      <c r="AA453" s="637"/>
      <c r="AB453" s="345">
        <v>2500</v>
      </c>
    </row>
    <row r="454" spans="1:29" ht="12.6" customHeight="1" x14ac:dyDescent="0.2">
      <c r="A454" s="17"/>
      <c r="B454" s="639" t="s">
        <v>744</v>
      </c>
      <c r="C454" s="649"/>
      <c r="D454" s="649"/>
      <c r="E454" s="650"/>
      <c r="F454" s="327">
        <f>3.463*X2</f>
        <v>5333.02</v>
      </c>
      <c r="G454" s="256">
        <f>+F454*$X$1</f>
        <v>5333.02</v>
      </c>
      <c r="H454" s="546">
        <f t="shared" si="1247"/>
        <v>6033.02</v>
      </c>
      <c r="I454" s="256">
        <f t="shared" si="1232"/>
        <v>6033.02</v>
      </c>
      <c r="J454" s="82">
        <f t="shared" si="1248"/>
        <v>5613.02</v>
      </c>
      <c r="K454" s="256">
        <f t="shared" si="1234"/>
        <v>5613.02</v>
      </c>
      <c r="L454" s="546">
        <f t="shared" si="1249"/>
        <v>5543.02</v>
      </c>
      <c r="M454" s="256">
        <f t="shared" si="1236"/>
        <v>5543.02</v>
      </c>
      <c r="N454" s="546">
        <f t="shared" si="1250"/>
        <v>5493.02</v>
      </c>
      <c r="O454" s="256">
        <f t="shared" si="1238"/>
        <v>5493.02</v>
      </c>
      <c r="P454" s="546">
        <f t="shared" si="1251"/>
        <v>5463.02</v>
      </c>
      <c r="Q454" s="256">
        <f t="shared" si="1240"/>
        <v>5463.02</v>
      </c>
      <c r="R454" s="546">
        <f t="shared" si="1252"/>
        <v>5443.02</v>
      </c>
      <c r="S454" s="256">
        <f t="shared" si="1242"/>
        <v>5443.02</v>
      </c>
      <c r="T454" s="546">
        <f t="shared" si="1253"/>
        <v>5423.02</v>
      </c>
      <c r="U454" s="256">
        <f t="shared" si="1244"/>
        <v>5423.02</v>
      </c>
      <c r="V454" s="546">
        <f t="shared" si="1254"/>
        <v>5403.02</v>
      </c>
      <c r="W454" s="256">
        <f t="shared" si="1246"/>
        <v>5403.02</v>
      </c>
      <c r="X454" s="635"/>
      <c r="Y454" s="636"/>
      <c r="Z454" s="636"/>
      <c r="AA454" s="637"/>
      <c r="AB454" s="345">
        <v>2503</v>
      </c>
    </row>
    <row r="455" spans="1:29" ht="12.6" customHeight="1" x14ac:dyDescent="0.2">
      <c r="A455" s="17"/>
      <c r="B455" s="666" t="s">
        <v>862</v>
      </c>
      <c r="C455" s="684"/>
      <c r="D455" s="684"/>
      <c r="E455" s="685"/>
      <c r="F455" s="326">
        <f>2.333*X2</f>
        <v>3592.82</v>
      </c>
      <c r="G455" s="255">
        <f>+F455*$X$1</f>
        <v>3592.82</v>
      </c>
      <c r="H455" s="537">
        <f t="shared" si="1247"/>
        <v>4292.82</v>
      </c>
      <c r="I455" s="255">
        <f t="shared" si="1232"/>
        <v>4292.82</v>
      </c>
      <c r="J455" s="68">
        <f t="shared" si="1248"/>
        <v>3872.82</v>
      </c>
      <c r="K455" s="255">
        <f t="shared" si="1234"/>
        <v>3872.82</v>
      </c>
      <c r="L455" s="537">
        <f t="shared" si="1249"/>
        <v>3802.82</v>
      </c>
      <c r="M455" s="255">
        <f t="shared" si="1236"/>
        <v>3802.82</v>
      </c>
      <c r="N455" s="537">
        <f t="shared" si="1250"/>
        <v>3752.82</v>
      </c>
      <c r="O455" s="255">
        <f t="shared" si="1238"/>
        <v>3752.82</v>
      </c>
      <c r="P455" s="537">
        <f t="shared" si="1251"/>
        <v>3722.82</v>
      </c>
      <c r="Q455" s="255">
        <f t="shared" si="1240"/>
        <v>3722.82</v>
      </c>
      <c r="R455" s="537">
        <f t="shared" si="1252"/>
        <v>3702.82</v>
      </c>
      <c r="S455" s="255">
        <f t="shared" si="1242"/>
        <v>3702.82</v>
      </c>
      <c r="T455" s="537">
        <f t="shared" si="1253"/>
        <v>3682.82</v>
      </c>
      <c r="U455" s="255">
        <f t="shared" si="1244"/>
        <v>3682.82</v>
      </c>
      <c r="V455" s="537">
        <f t="shared" si="1254"/>
        <v>3662.82</v>
      </c>
      <c r="W455" s="255">
        <f t="shared" si="1246"/>
        <v>3662.82</v>
      </c>
      <c r="X455" s="635"/>
      <c r="Y455" s="636"/>
      <c r="Z455" s="636"/>
      <c r="AA455" s="637"/>
      <c r="AB455" s="345">
        <v>2507</v>
      </c>
    </row>
    <row r="456" spans="1:29" ht="12.6" customHeight="1" x14ac:dyDescent="0.2">
      <c r="A456" s="17"/>
      <c r="B456" s="639" t="s">
        <v>438</v>
      </c>
      <c r="C456" s="640"/>
      <c r="D456" s="640"/>
      <c r="E456" s="641"/>
      <c r="F456" s="327">
        <f>1.5*X2</f>
        <v>2310</v>
      </c>
      <c r="G456" s="256">
        <f t="shared" ref="G456:G457" si="1255">+F456*$X$1</f>
        <v>2310</v>
      </c>
      <c r="H456" s="546"/>
      <c r="I456" s="256"/>
      <c r="J456" s="82">
        <f t="shared" ref="J456" si="1256">F456+280</f>
        <v>2590</v>
      </c>
      <c r="K456" s="256">
        <f t="shared" ref="K456" si="1257">+J456*$X$1</f>
        <v>2590</v>
      </c>
      <c r="L456" s="546">
        <f t="shared" ref="L456" si="1258">F456+210</f>
        <v>2520</v>
      </c>
      <c r="M456" s="256">
        <f t="shared" ref="M456" si="1259">+L456*$X$1</f>
        <v>2520</v>
      </c>
      <c r="N456" s="546">
        <f t="shared" ref="N456" si="1260">F456+160</f>
        <v>2470</v>
      </c>
      <c r="O456" s="256">
        <f t="shared" ref="O456" si="1261">+N456*$X$1</f>
        <v>2470</v>
      </c>
      <c r="P456" s="546">
        <f t="shared" ref="P456" si="1262">F456+130</f>
        <v>2440</v>
      </c>
      <c r="Q456" s="256">
        <f t="shared" ref="Q456" si="1263">+P456*$X$1</f>
        <v>2440</v>
      </c>
      <c r="R456" s="546">
        <f t="shared" ref="R456" si="1264">F456+110</f>
        <v>2420</v>
      </c>
      <c r="S456" s="256">
        <f t="shared" ref="S456" si="1265">+R456*$X$1</f>
        <v>2420</v>
      </c>
      <c r="T456" s="546">
        <f t="shared" ref="T456" si="1266">F456+90</f>
        <v>2400</v>
      </c>
      <c r="U456" s="256">
        <f t="shared" ref="U456" si="1267">+T456*$X$1</f>
        <v>2400</v>
      </c>
      <c r="V456" s="546">
        <f t="shared" ref="V456" si="1268">F456+70</f>
        <v>2380</v>
      </c>
      <c r="W456" s="256">
        <f t="shared" ref="W456" si="1269">+V456*$X$1</f>
        <v>2380</v>
      </c>
      <c r="X456" s="149"/>
      <c r="Y456" s="122"/>
      <c r="Z456" s="122"/>
      <c r="AA456" s="125"/>
      <c r="AB456" s="357">
        <v>3001</v>
      </c>
    </row>
    <row r="457" spans="1:29" ht="12.6" customHeight="1" x14ac:dyDescent="0.2">
      <c r="A457" s="17"/>
      <c r="B457" s="683" t="s">
        <v>987</v>
      </c>
      <c r="C457" s="686"/>
      <c r="D457" s="686"/>
      <c r="E457" s="687"/>
      <c r="F457" s="326">
        <f>3.08*X2</f>
        <v>4743.2</v>
      </c>
      <c r="G457" s="255">
        <f t="shared" si="1255"/>
        <v>4743.2</v>
      </c>
      <c r="H457" s="537"/>
      <c r="I457" s="255"/>
      <c r="J457" s="68"/>
      <c r="K457" s="255"/>
      <c r="L457" s="537"/>
      <c r="M457" s="255"/>
      <c r="N457" s="537">
        <f t="shared" ref="N457:N462" si="1270">F457+1440</f>
        <v>6183.2</v>
      </c>
      <c r="O457" s="255">
        <f t="shared" ref="O457" si="1271">+N457*$X$1</f>
        <v>6183.2</v>
      </c>
      <c r="P457" s="537">
        <f t="shared" ref="P457:P462" si="1272">F457+880</f>
        <v>5623.2</v>
      </c>
      <c r="Q457" s="255">
        <f t="shared" ref="Q457" si="1273">+P457*$X$1</f>
        <v>5623.2</v>
      </c>
      <c r="R457" s="537">
        <f t="shared" ref="R457:R462" si="1274">F457+800</f>
        <v>5543.2</v>
      </c>
      <c r="S457" s="255">
        <f t="shared" ref="S457" si="1275">+R457*$X$1</f>
        <v>5543.2</v>
      </c>
      <c r="T457" s="537">
        <f t="shared" ref="T457:T462" si="1276">F457+300</f>
        <v>5043.2</v>
      </c>
      <c r="U457" s="255">
        <f t="shared" ref="U457" si="1277">+T457*$X$1</f>
        <v>5043.2</v>
      </c>
      <c r="V457" s="537">
        <f t="shared" ref="V457:V462" si="1278">F457+200</f>
        <v>4943.2</v>
      </c>
      <c r="W457" s="255">
        <f t="shared" ref="W457" si="1279">+V457*$X$1</f>
        <v>4943.2</v>
      </c>
      <c r="X457" s="149"/>
      <c r="Y457" s="122"/>
      <c r="Z457" s="122"/>
      <c r="AA457" s="125"/>
      <c r="AB457" s="357">
        <v>3020</v>
      </c>
    </row>
    <row r="458" spans="1:29" ht="12.6" customHeight="1" x14ac:dyDescent="0.2">
      <c r="A458" s="17"/>
      <c r="B458" s="683" t="s">
        <v>989</v>
      </c>
      <c r="C458" s="686"/>
      <c r="D458" s="686"/>
      <c r="E458" s="687"/>
      <c r="F458" s="327">
        <f>3.08*X2</f>
        <v>4743.2</v>
      </c>
      <c r="G458" s="256">
        <f t="shared" ref="G458" si="1280">+F458*$X$1</f>
        <v>4743.2</v>
      </c>
      <c r="H458" s="546"/>
      <c r="I458" s="256"/>
      <c r="J458" s="82"/>
      <c r="K458" s="256"/>
      <c r="L458" s="546"/>
      <c r="M458" s="256"/>
      <c r="N458" s="546">
        <f t="shared" si="1270"/>
        <v>6183.2</v>
      </c>
      <c r="O458" s="256">
        <f t="shared" ref="O458" si="1281">+N458*$X$1</f>
        <v>6183.2</v>
      </c>
      <c r="P458" s="546">
        <f t="shared" si="1272"/>
        <v>5623.2</v>
      </c>
      <c r="Q458" s="256">
        <f t="shared" ref="Q458" si="1282">+P458*$X$1</f>
        <v>5623.2</v>
      </c>
      <c r="R458" s="546">
        <f t="shared" si="1274"/>
        <v>5543.2</v>
      </c>
      <c r="S458" s="256">
        <f t="shared" ref="S458" si="1283">+R458*$X$1</f>
        <v>5543.2</v>
      </c>
      <c r="T458" s="546">
        <f t="shared" si="1276"/>
        <v>5043.2</v>
      </c>
      <c r="U458" s="256">
        <f t="shared" ref="U458" si="1284">+T458*$X$1</f>
        <v>5043.2</v>
      </c>
      <c r="V458" s="546">
        <f t="shared" si="1278"/>
        <v>4943.2</v>
      </c>
      <c r="W458" s="256">
        <f t="shared" ref="W458" si="1285">+V458*$X$1</f>
        <v>4943.2</v>
      </c>
      <c r="X458" s="149"/>
      <c r="Y458" s="122"/>
      <c r="Z458" s="122"/>
      <c r="AA458" s="125"/>
      <c r="AB458" s="357">
        <v>3021</v>
      </c>
    </row>
    <row r="459" spans="1:29" ht="12.6" customHeight="1" x14ac:dyDescent="0.2">
      <c r="A459" s="17"/>
      <c r="B459" s="683" t="s">
        <v>988</v>
      </c>
      <c r="C459" s="686"/>
      <c r="D459" s="686"/>
      <c r="E459" s="687"/>
      <c r="F459" s="326">
        <f>3.08*X2</f>
        <v>4743.2</v>
      </c>
      <c r="G459" s="255">
        <f t="shared" ref="G459" si="1286">+F459*$X$1</f>
        <v>4743.2</v>
      </c>
      <c r="H459" s="537"/>
      <c r="I459" s="255"/>
      <c r="J459" s="68"/>
      <c r="K459" s="255"/>
      <c r="L459" s="537"/>
      <c r="M459" s="255"/>
      <c r="N459" s="537">
        <f t="shared" si="1270"/>
        <v>6183.2</v>
      </c>
      <c r="O459" s="255">
        <f t="shared" ref="O459" si="1287">+N459*$X$1</f>
        <v>6183.2</v>
      </c>
      <c r="P459" s="537">
        <f t="shared" si="1272"/>
        <v>5623.2</v>
      </c>
      <c r="Q459" s="255">
        <f t="shared" ref="Q459" si="1288">+P459*$X$1</f>
        <v>5623.2</v>
      </c>
      <c r="R459" s="537">
        <f t="shared" si="1274"/>
        <v>5543.2</v>
      </c>
      <c r="S459" s="255">
        <f t="shared" ref="S459" si="1289">+R459*$X$1</f>
        <v>5543.2</v>
      </c>
      <c r="T459" s="537">
        <f t="shared" si="1276"/>
        <v>5043.2</v>
      </c>
      <c r="U459" s="255">
        <f t="shared" ref="U459" si="1290">+T459*$X$1</f>
        <v>5043.2</v>
      </c>
      <c r="V459" s="537">
        <f t="shared" si="1278"/>
        <v>4943.2</v>
      </c>
      <c r="W459" s="255">
        <f t="shared" ref="W459" si="1291">+V459*$X$1</f>
        <v>4943.2</v>
      </c>
      <c r="X459" s="149"/>
      <c r="Y459" s="122"/>
      <c r="Z459" s="122"/>
      <c r="AA459" s="125"/>
      <c r="AB459" s="357">
        <v>3022</v>
      </c>
    </row>
    <row r="460" spans="1:29" ht="12.6" customHeight="1" x14ac:dyDescent="0.2">
      <c r="A460" s="17"/>
      <c r="B460" s="683" t="s">
        <v>990</v>
      </c>
      <c r="C460" s="686"/>
      <c r="D460" s="686"/>
      <c r="E460" s="687"/>
      <c r="F460" s="327">
        <f>3.08*X2</f>
        <v>4743.2</v>
      </c>
      <c r="G460" s="256">
        <f t="shared" ref="G460" si="1292">+F460*$X$1</f>
        <v>4743.2</v>
      </c>
      <c r="H460" s="546"/>
      <c r="I460" s="256"/>
      <c r="J460" s="82"/>
      <c r="K460" s="256"/>
      <c r="L460" s="546"/>
      <c r="M460" s="256"/>
      <c r="N460" s="546">
        <f t="shared" si="1270"/>
        <v>6183.2</v>
      </c>
      <c r="O460" s="256">
        <f t="shared" ref="O460" si="1293">+N460*$X$1</f>
        <v>6183.2</v>
      </c>
      <c r="P460" s="546">
        <f t="shared" si="1272"/>
        <v>5623.2</v>
      </c>
      <c r="Q460" s="256">
        <f t="shared" ref="Q460" si="1294">+P460*$X$1</f>
        <v>5623.2</v>
      </c>
      <c r="R460" s="546">
        <f t="shared" si="1274"/>
        <v>5543.2</v>
      </c>
      <c r="S460" s="256">
        <f t="shared" ref="S460" si="1295">+R460*$X$1</f>
        <v>5543.2</v>
      </c>
      <c r="T460" s="546">
        <f t="shared" si="1276"/>
        <v>5043.2</v>
      </c>
      <c r="U460" s="256">
        <f t="shared" ref="U460" si="1296">+T460*$X$1</f>
        <v>5043.2</v>
      </c>
      <c r="V460" s="546">
        <f t="shared" si="1278"/>
        <v>4943.2</v>
      </c>
      <c r="W460" s="256">
        <f t="shared" ref="W460" si="1297">+V460*$X$1</f>
        <v>4943.2</v>
      </c>
      <c r="X460" s="149"/>
      <c r="Y460" s="122"/>
      <c r="Z460" s="122"/>
      <c r="AA460" s="125"/>
      <c r="AB460" s="357">
        <v>3023</v>
      </c>
    </row>
    <row r="461" spans="1:29" ht="12.6" customHeight="1" x14ac:dyDescent="0.2">
      <c r="A461" s="17"/>
      <c r="B461" s="683" t="s">
        <v>991</v>
      </c>
      <c r="C461" s="686"/>
      <c r="D461" s="686"/>
      <c r="E461" s="687"/>
      <c r="F461" s="326">
        <f>3.08*X2</f>
        <v>4743.2</v>
      </c>
      <c r="G461" s="255">
        <f t="shared" ref="G461" si="1298">+F461*$X$1</f>
        <v>4743.2</v>
      </c>
      <c r="H461" s="537"/>
      <c r="I461" s="255"/>
      <c r="J461" s="68"/>
      <c r="K461" s="255"/>
      <c r="L461" s="537"/>
      <c r="M461" s="255"/>
      <c r="N461" s="537">
        <f t="shared" si="1270"/>
        <v>6183.2</v>
      </c>
      <c r="O461" s="255">
        <f t="shared" ref="O461" si="1299">+N461*$X$1</f>
        <v>6183.2</v>
      </c>
      <c r="P461" s="537">
        <f t="shared" si="1272"/>
        <v>5623.2</v>
      </c>
      <c r="Q461" s="255">
        <f t="shared" ref="Q461" si="1300">+P461*$X$1</f>
        <v>5623.2</v>
      </c>
      <c r="R461" s="537">
        <f t="shared" si="1274"/>
        <v>5543.2</v>
      </c>
      <c r="S461" s="255">
        <f t="shared" ref="S461" si="1301">+R461*$X$1</f>
        <v>5543.2</v>
      </c>
      <c r="T461" s="537">
        <f t="shared" si="1276"/>
        <v>5043.2</v>
      </c>
      <c r="U461" s="255">
        <f t="shared" ref="U461" si="1302">+T461*$X$1</f>
        <v>5043.2</v>
      </c>
      <c r="V461" s="537">
        <f t="shared" si="1278"/>
        <v>4943.2</v>
      </c>
      <c r="W461" s="255">
        <f t="shared" ref="W461" si="1303">+V461*$X$1</f>
        <v>4943.2</v>
      </c>
      <c r="X461" s="149"/>
      <c r="Y461" s="122"/>
      <c r="Z461" s="122"/>
      <c r="AA461" s="125"/>
      <c r="AB461" s="357">
        <v>3024</v>
      </c>
    </row>
    <row r="462" spans="1:29" ht="12.6" customHeight="1" x14ac:dyDescent="0.2">
      <c r="A462" s="17"/>
      <c r="B462" s="683" t="s">
        <v>992</v>
      </c>
      <c r="C462" s="686"/>
      <c r="D462" s="686"/>
      <c r="E462" s="687"/>
      <c r="F462" s="327">
        <f>3.08*X2</f>
        <v>4743.2</v>
      </c>
      <c r="G462" s="256">
        <f t="shared" ref="G462" si="1304">+F462*$X$1</f>
        <v>4743.2</v>
      </c>
      <c r="H462" s="546"/>
      <c r="I462" s="256"/>
      <c r="J462" s="82"/>
      <c r="K462" s="256"/>
      <c r="L462" s="546"/>
      <c r="M462" s="256"/>
      <c r="N462" s="546">
        <f t="shared" si="1270"/>
        <v>6183.2</v>
      </c>
      <c r="O462" s="256">
        <f t="shared" ref="O462:W466" si="1305">+N462*$X$1</f>
        <v>6183.2</v>
      </c>
      <c r="P462" s="546">
        <f t="shared" si="1272"/>
        <v>5623.2</v>
      </c>
      <c r="Q462" s="256">
        <f t="shared" ref="Q462" si="1306">+P462*$X$1</f>
        <v>5623.2</v>
      </c>
      <c r="R462" s="546">
        <f t="shared" si="1274"/>
        <v>5543.2</v>
      </c>
      <c r="S462" s="256">
        <f t="shared" ref="S462" si="1307">+R462*$X$1</f>
        <v>5543.2</v>
      </c>
      <c r="T462" s="546">
        <f t="shared" si="1276"/>
        <v>5043.2</v>
      </c>
      <c r="U462" s="256">
        <f t="shared" ref="U462" si="1308">+T462*$X$1</f>
        <v>5043.2</v>
      </c>
      <c r="V462" s="546">
        <f t="shared" si="1278"/>
        <v>4943.2</v>
      </c>
      <c r="W462" s="256">
        <f t="shared" ref="W462" si="1309">+V462*$X$1</f>
        <v>4943.2</v>
      </c>
      <c r="X462" s="149"/>
      <c r="Y462" s="122"/>
      <c r="Z462" s="122"/>
      <c r="AA462" s="125"/>
      <c r="AB462" s="357">
        <v>3025</v>
      </c>
    </row>
    <row r="463" spans="1:29" ht="12.6" customHeight="1" x14ac:dyDescent="0.2">
      <c r="A463" s="17"/>
      <c r="B463" s="683" t="s">
        <v>998</v>
      </c>
      <c r="C463" s="686"/>
      <c r="D463" s="686"/>
      <c r="E463" s="687"/>
      <c r="F463" s="326">
        <f>3.08*X2</f>
        <v>4743.2</v>
      </c>
      <c r="G463" s="255">
        <f t="shared" ref="G463" si="1310">+F463*$X$1</f>
        <v>4743.2</v>
      </c>
      <c r="H463" s="537"/>
      <c r="I463" s="255"/>
      <c r="J463" s="68"/>
      <c r="K463" s="255"/>
      <c r="L463" s="537"/>
      <c r="M463" s="255"/>
      <c r="N463" s="537">
        <f t="shared" ref="N463" si="1311">F463+1440</f>
        <v>6183.2</v>
      </c>
      <c r="O463" s="255">
        <f t="shared" ref="O463:W465" si="1312">+N463*$X$1</f>
        <v>6183.2</v>
      </c>
      <c r="P463" s="537">
        <f t="shared" ref="P463" si="1313">F463+880</f>
        <v>5623.2</v>
      </c>
      <c r="Q463" s="255">
        <f t="shared" ref="Q463" si="1314">+P463*$X$1</f>
        <v>5623.2</v>
      </c>
      <c r="R463" s="537">
        <f t="shared" ref="R463" si="1315">F463+800</f>
        <v>5543.2</v>
      </c>
      <c r="S463" s="255">
        <f t="shared" ref="S463" si="1316">+R463*$X$1</f>
        <v>5543.2</v>
      </c>
      <c r="T463" s="537">
        <f t="shared" ref="T463" si="1317">F463+300</f>
        <v>5043.2</v>
      </c>
      <c r="U463" s="255">
        <f t="shared" ref="U463" si="1318">+T463*$X$1</f>
        <v>5043.2</v>
      </c>
      <c r="V463" s="537">
        <f t="shared" ref="V463" si="1319">F463+200</f>
        <v>4943.2</v>
      </c>
      <c r="W463" s="255">
        <f t="shared" ref="W463" si="1320">+V463*$X$1</f>
        <v>4943.2</v>
      </c>
      <c r="X463" s="149"/>
      <c r="Y463" s="122"/>
      <c r="Z463" s="122"/>
      <c r="AA463" s="125"/>
      <c r="AB463" s="357">
        <v>3026</v>
      </c>
    </row>
    <row r="464" spans="1:29" ht="12.6" customHeight="1" x14ac:dyDescent="0.2">
      <c r="A464" s="17"/>
      <c r="B464" s="683" t="s">
        <v>1018</v>
      </c>
      <c r="C464" s="686"/>
      <c r="D464" s="686"/>
      <c r="E464" s="687"/>
      <c r="F464" s="327"/>
      <c r="G464" s="256"/>
      <c r="H464" s="546"/>
      <c r="I464" s="256"/>
      <c r="J464" s="82"/>
      <c r="K464" s="256"/>
      <c r="L464" s="546"/>
      <c r="M464" s="256"/>
      <c r="N464" s="546">
        <v>389</v>
      </c>
      <c r="O464" s="256">
        <f t="shared" si="1305"/>
        <v>389</v>
      </c>
      <c r="P464" s="546">
        <v>248</v>
      </c>
      <c r="Q464" s="256">
        <f t="shared" si="1305"/>
        <v>248</v>
      </c>
      <c r="R464" s="546">
        <v>238</v>
      </c>
      <c r="S464" s="256">
        <f t="shared" si="1305"/>
        <v>238</v>
      </c>
      <c r="T464" s="546">
        <v>198</v>
      </c>
      <c r="U464" s="256">
        <f t="shared" si="1305"/>
        <v>198</v>
      </c>
      <c r="V464" s="546">
        <v>158</v>
      </c>
      <c r="W464" s="256">
        <f t="shared" si="1305"/>
        <v>158</v>
      </c>
      <c r="X464" s="149"/>
      <c r="Y464" s="122"/>
      <c r="Z464" s="122"/>
      <c r="AA464" s="125"/>
      <c r="AB464" s="357">
        <v>3100</v>
      </c>
    </row>
    <row r="465" spans="1:35" ht="12.6" customHeight="1" x14ac:dyDescent="0.2">
      <c r="A465" s="17"/>
      <c r="B465" s="683" t="s">
        <v>1024</v>
      </c>
      <c r="C465" s="686"/>
      <c r="D465" s="686"/>
      <c r="E465" s="687"/>
      <c r="F465" s="326"/>
      <c r="G465" s="255"/>
      <c r="H465" s="537"/>
      <c r="I465" s="255"/>
      <c r="J465" s="68"/>
      <c r="K465" s="255"/>
      <c r="L465" s="537"/>
      <c r="M465" s="255"/>
      <c r="N465" s="537">
        <v>670</v>
      </c>
      <c r="O465" s="255">
        <f t="shared" si="1312"/>
        <v>670</v>
      </c>
      <c r="P465" s="537">
        <v>510</v>
      </c>
      <c r="Q465" s="255">
        <f t="shared" si="1312"/>
        <v>510</v>
      </c>
      <c r="R465" s="537">
        <v>433</v>
      </c>
      <c r="S465" s="255">
        <f t="shared" si="1312"/>
        <v>433</v>
      </c>
      <c r="T465" s="537">
        <v>354</v>
      </c>
      <c r="U465" s="255">
        <f t="shared" si="1312"/>
        <v>354</v>
      </c>
      <c r="V465" s="537">
        <v>295</v>
      </c>
      <c r="W465" s="255">
        <f t="shared" si="1312"/>
        <v>295</v>
      </c>
      <c r="X465" s="149"/>
      <c r="Y465" s="122"/>
      <c r="Z465" s="122"/>
      <c r="AA465" s="125"/>
      <c r="AB465" s="357"/>
    </row>
    <row r="466" spans="1:35" ht="12.6" customHeight="1" x14ac:dyDescent="0.2">
      <c r="A466" s="17"/>
      <c r="B466" s="683" t="s">
        <v>1023</v>
      </c>
      <c r="C466" s="686"/>
      <c r="D466" s="686"/>
      <c r="E466" s="687"/>
      <c r="F466" s="327"/>
      <c r="G466" s="256"/>
      <c r="H466" s="546"/>
      <c r="I466" s="256"/>
      <c r="J466" s="82"/>
      <c r="K466" s="256"/>
      <c r="L466" s="546"/>
      <c r="M466" s="256"/>
      <c r="N466" s="546">
        <v>848</v>
      </c>
      <c r="O466" s="256">
        <f t="shared" si="1305"/>
        <v>848</v>
      </c>
      <c r="P466" s="546">
        <v>628</v>
      </c>
      <c r="Q466" s="256">
        <f t="shared" si="1305"/>
        <v>628</v>
      </c>
      <c r="R466" s="546">
        <v>530</v>
      </c>
      <c r="S466" s="256">
        <f t="shared" si="1305"/>
        <v>530</v>
      </c>
      <c r="T466" s="546">
        <v>432</v>
      </c>
      <c r="U466" s="256">
        <f t="shared" si="1305"/>
        <v>432</v>
      </c>
      <c r="V466" s="546">
        <v>333</v>
      </c>
      <c r="W466" s="256">
        <f t="shared" si="1305"/>
        <v>333</v>
      </c>
      <c r="X466" s="149"/>
      <c r="Y466" s="122"/>
      <c r="Z466" s="122"/>
      <c r="AA466" s="125"/>
      <c r="AB466" s="357">
        <v>3106</v>
      </c>
    </row>
    <row r="467" spans="1:35" ht="12.6" customHeight="1" x14ac:dyDescent="0.2">
      <c r="A467" s="17"/>
      <c r="B467" s="683" t="s">
        <v>1007</v>
      </c>
      <c r="C467" s="686"/>
      <c r="D467" s="686"/>
      <c r="E467" s="687"/>
      <c r="F467" s="327"/>
      <c r="G467" s="704" t="s">
        <v>531</v>
      </c>
      <c r="H467" s="705"/>
      <c r="I467" s="705"/>
      <c r="J467" s="705"/>
      <c r="K467" s="705"/>
      <c r="L467" s="705"/>
      <c r="M467" s="706"/>
      <c r="N467" s="537">
        <v>1080</v>
      </c>
      <c r="O467" s="255">
        <f t="shared" ref="O467:O468" si="1321">+N467*$X$1</f>
        <v>1080</v>
      </c>
      <c r="P467" s="537">
        <v>1073</v>
      </c>
      <c r="Q467" s="255">
        <f t="shared" ref="Q467:Q468" si="1322">+P467*$X$1</f>
        <v>1073</v>
      </c>
      <c r="R467" s="537">
        <v>990</v>
      </c>
      <c r="S467" s="255">
        <f t="shared" ref="S467:S468" si="1323">+R467*$X$1</f>
        <v>990</v>
      </c>
      <c r="T467" s="537">
        <v>930</v>
      </c>
      <c r="U467" s="255">
        <f t="shared" ref="U467:U468" si="1324">+T467*$X$1</f>
        <v>930</v>
      </c>
      <c r="V467" s="537">
        <v>795</v>
      </c>
      <c r="W467" s="255">
        <f t="shared" ref="W467:W468" si="1325">+V467*$X$1</f>
        <v>795</v>
      </c>
      <c r="X467" s="149"/>
      <c r="Y467" s="122"/>
      <c r="Z467" s="122"/>
      <c r="AA467" s="125"/>
      <c r="AB467" s="357"/>
    </row>
    <row r="468" spans="1:35" ht="12.6" customHeight="1" x14ac:dyDescent="0.2">
      <c r="A468" s="17"/>
      <c r="B468" s="683" t="s">
        <v>1015</v>
      </c>
      <c r="C468" s="686"/>
      <c r="D468" s="686"/>
      <c r="E468" s="687"/>
      <c r="F468" s="326"/>
      <c r="G468" s="704" t="s">
        <v>532</v>
      </c>
      <c r="H468" s="705"/>
      <c r="I468" s="712"/>
      <c r="J468" s="712"/>
      <c r="K468" s="712"/>
      <c r="L468" s="712"/>
      <c r="M468" s="713"/>
      <c r="N468" s="546">
        <v>1233</v>
      </c>
      <c r="O468" s="256">
        <f t="shared" si="1321"/>
        <v>1233</v>
      </c>
      <c r="P468" s="546">
        <v>1225</v>
      </c>
      <c r="Q468" s="256">
        <f t="shared" si="1322"/>
        <v>1225</v>
      </c>
      <c r="R468" s="546">
        <v>1130</v>
      </c>
      <c r="S468" s="256">
        <f t="shared" si="1323"/>
        <v>1130</v>
      </c>
      <c r="T468" s="546">
        <v>1063</v>
      </c>
      <c r="U468" s="256">
        <f t="shared" si="1324"/>
        <v>1063</v>
      </c>
      <c r="V468" s="546">
        <v>908</v>
      </c>
      <c r="W468" s="256">
        <f t="shared" si="1325"/>
        <v>908</v>
      </c>
      <c r="X468" s="149"/>
      <c r="Y468" s="122"/>
      <c r="Z468" s="122"/>
      <c r="AA468" s="125"/>
      <c r="AB468" s="357">
        <v>3111</v>
      </c>
    </row>
    <row r="469" spans="1:35" ht="12.6" customHeight="1" x14ac:dyDescent="0.2">
      <c r="A469" s="94"/>
      <c r="B469" s="727" t="s">
        <v>709</v>
      </c>
      <c r="C469" s="728"/>
      <c r="D469" s="728"/>
      <c r="E469" s="728"/>
      <c r="F469" s="255">
        <v>4120</v>
      </c>
      <c r="G469" s="255">
        <f t="shared" ref="G469" si="1326">+F469*$X$1</f>
        <v>4120</v>
      </c>
      <c r="H469" s="251"/>
      <c r="I469" s="302"/>
      <c r="J469" s="537"/>
      <c r="K469" s="255"/>
      <c r="L469" s="537">
        <f>F469+1220</f>
        <v>5340</v>
      </c>
      <c r="M469" s="255">
        <f t="shared" ref="M469" si="1327">+L469*$X$1</f>
        <v>5340</v>
      </c>
      <c r="N469" s="537">
        <f>F469+1000</f>
        <v>5120</v>
      </c>
      <c r="O469" s="255">
        <f t="shared" ref="O469:O470" si="1328">+N469*$X$1</f>
        <v>5120</v>
      </c>
      <c r="P469" s="537">
        <f>F469+900</f>
        <v>5020</v>
      </c>
      <c r="Q469" s="255">
        <f t="shared" ref="Q469:Q470" si="1329">+P469*$X$1</f>
        <v>5020</v>
      </c>
      <c r="R469" s="537">
        <f>F469+850</f>
        <v>4970</v>
      </c>
      <c r="S469" s="255">
        <f t="shared" ref="S469" si="1330">+R469*$X$1</f>
        <v>4970</v>
      </c>
      <c r="T469" s="537">
        <f>F469+800</f>
        <v>4920</v>
      </c>
      <c r="U469" s="255">
        <f t="shared" ref="U469" si="1331">+T469*$X$1</f>
        <v>4920</v>
      </c>
      <c r="V469" s="537">
        <f>F469+780</f>
        <v>4900</v>
      </c>
      <c r="W469" s="255">
        <f t="shared" ref="W469" si="1332">+V469*$X$1</f>
        <v>4900</v>
      </c>
      <c r="X469" s="196"/>
      <c r="Y469" s="198"/>
      <c r="Z469" s="198"/>
      <c r="AA469" s="197"/>
      <c r="AB469" s="345">
        <v>5003</v>
      </c>
      <c r="AC469" s="62"/>
    </row>
    <row r="470" spans="1:35" ht="12.6" customHeight="1" x14ac:dyDescent="0.2">
      <c r="A470" s="94"/>
      <c r="B470" s="669" t="s">
        <v>710</v>
      </c>
      <c r="C470" s="670"/>
      <c r="D470" s="670"/>
      <c r="E470" s="670"/>
      <c r="F470" s="256">
        <v>4120</v>
      </c>
      <c r="G470" s="256">
        <f t="shared" ref="G470" si="1333">+F470*$X$1</f>
        <v>4120</v>
      </c>
      <c r="H470" s="546">
        <f>F470+900</f>
        <v>5020</v>
      </c>
      <c r="I470" s="256">
        <f>+H470*$X$1</f>
        <v>5020</v>
      </c>
      <c r="J470" s="82">
        <f>F470+370</f>
        <v>4490</v>
      </c>
      <c r="K470" s="256">
        <f t="shared" ref="K470" si="1334">+J470*$X$1</f>
        <v>4490</v>
      </c>
      <c r="L470" s="546">
        <f>F470+310</f>
        <v>4430</v>
      </c>
      <c r="M470" s="256">
        <f t="shared" ref="M470" si="1335">+L470*$X$1</f>
        <v>4430</v>
      </c>
      <c r="N470" s="546">
        <f>F470+280</f>
        <v>4400</v>
      </c>
      <c r="O470" s="256">
        <f t="shared" si="1328"/>
        <v>4400</v>
      </c>
      <c r="P470" s="546">
        <f>F470+260</f>
        <v>4380</v>
      </c>
      <c r="Q470" s="256">
        <f t="shared" si="1329"/>
        <v>4380</v>
      </c>
      <c r="R470" s="546">
        <f>F470+240</f>
        <v>4360</v>
      </c>
      <c r="S470" s="256">
        <f t="shared" ref="S470" si="1336">+R470*$X$1</f>
        <v>4360</v>
      </c>
      <c r="T470" s="546">
        <f>F470+210</f>
        <v>4330</v>
      </c>
      <c r="U470" s="256">
        <f t="shared" ref="U470" si="1337">+T470*$X$1</f>
        <v>4330</v>
      </c>
      <c r="V470" s="546">
        <f>F470+180</f>
        <v>4300</v>
      </c>
      <c r="W470" s="256">
        <f t="shared" ref="W470" si="1338">+V470*$X$1</f>
        <v>4300</v>
      </c>
      <c r="X470" s="374"/>
      <c r="Y470" s="372"/>
      <c r="Z470" s="372"/>
      <c r="AA470" s="373"/>
      <c r="AB470" s="345" t="s">
        <v>626</v>
      </c>
      <c r="AC470" s="62"/>
    </row>
    <row r="471" spans="1:35" ht="12.6" customHeight="1" x14ac:dyDescent="0.2">
      <c r="A471" s="17"/>
      <c r="B471" s="630" t="s">
        <v>478</v>
      </c>
      <c r="C471" s="631"/>
      <c r="D471" s="631"/>
      <c r="E471" s="631"/>
      <c r="F471" s="255">
        <v>5531</v>
      </c>
      <c r="G471" s="255">
        <f t="shared" ref="G471" si="1339">+F471*$X$1</f>
        <v>5531</v>
      </c>
      <c r="H471" s="251"/>
      <c r="I471" s="302"/>
      <c r="J471" s="537"/>
      <c r="K471" s="255"/>
      <c r="L471" s="537">
        <f>F471+1700</f>
        <v>7231</v>
      </c>
      <c r="M471" s="255">
        <f t="shared" ref="M471" si="1340">+L471*$X$1</f>
        <v>7231</v>
      </c>
      <c r="N471" s="537">
        <f>F471+1370</f>
        <v>6901</v>
      </c>
      <c r="O471" s="255">
        <f t="shared" ref="O471" si="1341">+N471*$X$1</f>
        <v>6901</v>
      </c>
      <c r="P471" s="537">
        <f>F471+1150</f>
        <v>6681</v>
      </c>
      <c r="Q471" s="255">
        <f t="shared" ref="Q471" si="1342">+P471*$X$1</f>
        <v>6681</v>
      </c>
      <c r="R471" s="537">
        <f>F471+1110</f>
        <v>6641</v>
      </c>
      <c r="S471" s="255">
        <f>+R471*$X$1</f>
        <v>6641</v>
      </c>
      <c r="T471" s="537">
        <f>F471+1070</f>
        <v>6601</v>
      </c>
      <c r="U471" s="255">
        <f>+T471*$X$1</f>
        <v>6601</v>
      </c>
      <c r="V471" s="537"/>
      <c r="W471" s="255"/>
      <c r="X471" s="958"/>
      <c r="Y471" s="959"/>
      <c r="Z471" s="959"/>
      <c r="AA471" s="960"/>
      <c r="AB471" s="178">
        <v>5008</v>
      </c>
      <c r="AC471" s="35"/>
      <c r="AD471" s="35"/>
      <c r="AE471" s="35"/>
      <c r="AF471" s="35"/>
      <c r="AG471" s="35"/>
      <c r="AH471" s="35"/>
      <c r="AI471" s="35"/>
    </row>
    <row r="472" spans="1:35" ht="12.6" customHeight="1" x14ac:dyDescent="0.2">
      <c r="A472" s="17"/>
      <c r="B472" s="639" t="s">
        <v>479</v>
      </c>
      <c r="C472" s="649"/>
      <c r="D472" s="649"/>
      <c r="E472" s="650"/>
      <c r="F472" s="256">
        <v>7450</v>
      </c>
      <c r="G472" s="256">
        <f>+F472*$X$1</f>
        <v>7450</v>
      </c>
      <c r="H472" s="250"/>
      <c r="I472" s="303"/>
      <c r="J472" s="546"/>
      <c r="K472" s="256"/>
      <c r="L472" s="546">
        <f>F472+1700</f>
        <v>9150</v>
      </c>
      <c r="M472" s="256">
        <f t="shared" ref="M472" si="1343">+L472*$X$1</f>
        <v>9150</v>
      </c>
      <c r="N472" s="546">
        <f>F472+1370</f>
        <v>8820</v>
      </c>
      <c r="O472" s="256">
        <f t="shared" ref="O472" si="1344">+N472*$X$1</f>
        <v>8820</v>
      </c>
      <c r="P472" s="546">
        <f>F472+1150</f>
        <v>8600</v>
      </c>
      <c r="Q472" s="256">
        <f t="shared" ref="Q472" si="1345">+P472*$X$1</f>
        <v>8600</v>
      </c>
      <c r="R472" s="546">
        <f>F472+1110</f>
        <v>8560</v>
      </c>
      <c r="S472" s="256">
        <f>+R472*$X$1</f>
        <v>8560</v>
      </c>
      <c r="T472" s="546">
        <f>F472+1070</f>
        <v>8520</v>
      </c>
      <c r="U472" s="256">
        <f>+T472*$X$1</f>
        <v>8520</v>
      </c>
      <c r="V472" s="546"/>
      <c r="W472" s="256"/>
      <c r="X472" s="958"/>
      <c r="Y472" s="959"/>
      <c r="Z472" s="959"/>
      <c r="AA472" s="960"/>
      <c r="AB472" s="357">
        <v>5010</v>
      </c>
      <c r="AC472" s="35"/>
      <c r="AD472" s="35"/>
      <c r="AE472" s="35"/>
      <c r="AF472" s="35"/>
      <c r="AG472" s="35"/>
      <c r="AH472" s="35"/>
      <c r="AI472" s="35"/>
    </row>
    <row r="473" spans="1:35" ht="12.6" customHeight="1" x14ac:dyDescent="0.2">
      <c r="A473" s="17"/>
      <c r="B473" s="666" t="s">
        <v>480</v>
      </c>
      <c r="C473" s="684"/>
      <c r="D473" s="684"/>
      <c r="E473" s="685"/>
      <c r="F473" s="255">
        <v>4200</v>
      </c>
      <c r="G473" s="255">
        <f t="shared" ref="G473" si="1346">+F473*$X$1</f>
        <v>4200</v>
      </c>
      <c r="H473" s="251"/>
      <c r="I473" s="302"/>
      <c r="J473" s="537"/>
      <c r="K473" s="255"/>
      <c r="L473" s="537">
        <f>F473+1700</f>
        <v>5900</v>
      </c>
      <c r="M473" s="255">
        <f>+L473*$X$1</f>
        <v>5900</v>
      </c>
      <c r="N473" s="537">
        <f>F473+1370</f>
        <v>5570</v>
      </c>
      <c r="O473" s="255">
        <f>+N473*$X$1</f>
        <v>5570</v>
      </c>
      <c r="P473" s="537">
        <f>F473+1150</f>
        <v>5350</v>
      </c>
      <c r="Q473" s="255">
        <f>+P473*$X$1</f>
        <v>5350</v>
      </c>
      <c r="R473" s="537">
        <f>F473+1110</f>
        <v>5310</v>
      </c>
      <c r="S473" s="255">
        <f>+R473*$X$1</f>
        <v>5310</v>
      </c>
      <c r="T473" s="537">
        <f>F473+1070</f>
        <v>5270</v>
      </c>
      <c r="U473" s="255">
        <f>+T473*$X$1</f>
        <v>5270</v>
      </c>
      <c r="V473" s="537"/>
      <c r="W473" s="255"/>
      <c r="X473" s="958"/>
      <c r="Y473" s="959"/>
      <c r="Z473" s="959"/>
      <c r="AA473" s="960"/>
      <c r="AB473" s="357"/>
      <c r="AC473" s="35"/>
      <c r="AD473" s="35"/>
      <c r="AE473" s="35"/>
      <c r="AF473" s="35"/>
      <c r="AG473" s="35"/>
      <c r="AH473" s="35"/>
      <c r="AI473" s="35"/>
    </row>
    <row r="474" spans="1:35" ht="12.6" customHeight="1" x14ac:dyDescent="0.2">
      <c r="A474" s="17"/>
      <c r="B474" s="639" t="s">
        <v>481</v>
      </c>
      <c r="C474" s="649"/>
      <c r="D474" s="649"/>
      <c r="E474" s="650"/>
      <c r="F474" s="256">
        <v>6231</v>
      </c>
      <c r="G474" s="256">
        <f>+F474*$X$1</f>
        <v>6231</v>
      </c>
      <c r="H474" s="250"/>
      <c r="I474" s="303"/>
      <c r="J474" s="546"/>
      <c r="K474" s="256"/>
      <c r="L474" s="546">
        <f>F474+1700</f>
        <v>7931</v>
      </c>
      <c r="M474" s="256">
        <f>+L474*$X$1</f>
        <v>7931</v>
      </c>
      <c r="N474" s="546">
        <f>F474+1370</f>
        <v>7601</v>
      </c>
      <c r="O474" s="256">
        <f>+N474*$X$1</f>
        <v>7601</v>
      </c>
      <c r="P474" s="546">
        <f>F474+1150</f>
        <v>7381</v>
      </c>
      <c r="Q474" s="256">
        <f>+P474*$X$1</f>
        <v>7381</v>
      </c>
      <c r="R474" s="546">
        <f>F474+1110</f>
        <v>7341</v>
      </c>
      <c r="S474" s="256">
        <f>+R474*$X$1</f>
        <v>7341</v>
      </c>
      <c r="T474" s="546">
        <f>F474+1070</f>
        <v>7301</v>
      </c>
      <c r="U474" s="256">
        <f>+T474*$X$1</f>
        <v>7301</v>
      </c>
      <c r="V474" s="546"/>
      <c r="W474" s="256"/>
      <c r="X474" s="958"/>
      <c r="Y474" s="959"/>
      <c r="Z474" s="959"/>
      <c r="AA474" s="960"/>
      <c r="AB474" s="357"/>
      <c r="AC474" s="35"/>
      <c r="AD474" s="35"/>
      <c r="AE474" s="35"/>
      <c r="AF474" s="35"/>
      <c r="AG474" s="35"/>
      <c r="AH474" s="35"/>
      <c r="AI474" s="35"/>
    </row>
    <row r="475" spans="1:35" ht="12.6" customHeight="1" x14ac:dyDescent="0.2">
      <c r="A475" s="17"/>
      <c r="B475" s="690" t="s">
        <v>1014</v>
      </c>
      <c r="C475" s="991"/>
      <c r="D475" s="991"/>
      <c r="E475" s="991"/>
      <c r="F475" s="255"/>
      <c r="G475" s="255"/>
      <c r="H475" s="251"/>
      <c r="I475" s="302"/>
      <c r="J475" s="537"/>
      <c r="K475" s="255"/>
      <c r="L475" s="537">
        <v>1300</v>
      </c>
      <c r="M475" s="255">
        <f>+L475*$X$1</f>
        <v>1300</v>
      </c>
      <c r="N475" s="537">
        <v>1275</v>
      </c>
      <c r="O475" s="255">
        <f>+N475*$X$1</f>
        <v>1275</v>
      </c>
      <c r="P475" s="537">
        <v>1268</v>
      </c>
      <c r="Q475" s="255">
        <f>+P475*$X$1</f>
        <v>1268</v>
      </c>
      <c r="R475" s="537">
        <v>1262</v>
      </c>
      <c r="S475" s="255">
        <f>+R475*$X$1</f>
        <v>1262</v>
      </c>
      <c r="T475" s="537">
        <v>1165</v>
      </c>
      <c r="U475" s="255">
        <f>+T475*$X$1</f>
        <v>1165</v>
      </c>
      <c r="V475" s="537">
        <v>1155</v>
      </c>
      <c r="W475" s="255">
        <f>+V475*$X$1</f>
        <v>1155</v>
      </c>
      <c r="X475" s="707"/>
      <c r="Y475" s="708"/>
      <c r="Z475" s="708"/>
      <c r="AA475" s="709"/>
      <c r="AB475" s="357">
        <v>10603</v>
      </c>
      <c r="AC475" s="35"/>
      <c r="AD475" s="35"/>
      <c r="AE475" s="35"/>
      <c r="AF475" s="35"/>
      <c r="AG475" s="35"/>
      <c r="AH475" s="35"/>
      <c r="AI475" s="35"/>
    </row>
    <row r="476" spans="1:35" ht="12.6" customHeight="1" x14ac:dyDescent="0.2">
      <c r="A476" s="17"/>
      <c r="B476" s="486"/>
      <c r="C476" s="487"/>
      <c r="D476" s="487"/>
      <c r="E476" s="487"/>
      <c r="F476" s="368"/>
      <c r="G476" s="295"/>
      <c r="H476" s="106"/>
      <c r="I476" s="295"/>
      <c r="J476" s="106"/>
      <c r="K476" s="295"/>
      <c r="L476" s="106"/>
      <c r="M476" s="295"/>
      <c r="N476" s="106"/>
      <c r="O476" s="295"/>
      <c r="P476" s="106"/>
      <c r="Q476" s="295"/>
      <c r="R476" s="106"/>
      <c r="S476" s="295"/>
      <c r="T476" s="106"/>
      <c r="U476" s="295"/>
      <c r="V476" s="106"/>
      <c r="W476" s="295"/>
      <c r="X476" s="494"/>
      <c r="Y476" s="71"/>
      <c r="Z476" s="71"/>
      <c r="AA476" s="71"/>
      <c r="AB476" s="493"/>
    </row>
    <row r="477" spans="1:35" ht="12.6" customHeight="1" x14ac:dyDescent="0.2">
      <c r="A477" s="17"/>
      <c r="B477" s="486"/>
      <c r="C477" s="487"/>
      <c r="D477" s="487"/>
      <c r="E477" s="487"/>
      <c r="F477" s="368"/>
      <c r="G477" s="295"/>
      <c r="H477" s="106"/>
      <c r="I477" s="295"/>
      <c r="J477" s="106"/>
      <c r="K477" s="295"/>
      <c r="L477" s="106"/>
      <c r="M477" s="295"/>
      <c r="N477" s="106"/>
      <c r="O477" s="295"/>
      <c r="P477" s="106"/>
      <c r="Q477" s="295"/>
      <c r="R477" s="106"/>
      <c r="S477" s="295"/>
      <c r="T477" s="106"/>
      <c r="U477" s="295"/>
      <c r="V477" s="106"/>
      <c r="W477" s="295"/>
      <c r="X477" s="494"/>
      <c r="Y477" s="71"/>
      <c r="Z477" s="71"/>
      <c r="AA477" s="71"/>
      <c r="AB477" s="493"/>
    </row>
    <row r="478" spans="1:35" ht="12.6" customHeight="1" x14ac:dyDescent="0.2">
      <c r="A478" s="17"/>
      <c r="B478" s="486"/>
      <c r="C478" s="487"/>
      <c r="D478" s="487"/>
      <c r="E478" s="487"/>
      <c r="F478" s="368"/>
      <c r="G478" s="295"/>
      <c r="H478" s="106"/>
      <c r="I478" s="295"/>
      <c r="J478" s="106"/>
      <c r="K478" s="295"/>
      <c r="L478" s="106"/>
      <c r="M478" s="295"/>
      <c r="N478" s="106"/>
      <c r="O478" s="295"/>
      <c r="P478" s="106"/>
      <c r="Q478" s="295"/>
      <c r="R478" s="106"/>
      <c r="S478" s="295"/>
      <c r="T478" s="106"/>
      <c r="U478" s="295"/>
      <c r="V478" s="106"/>
      <c r="W478" s="295"/>
      <c r="X478" s="494"/>
      <c r="Y478" s="71"/>
      <c r="Z478" s="71"/>
      <c r="AA478" s="71"/>
      <c r="AB478" s="493"/>
    </row>
    <row r="479" spans="1:35" ht="15.75" customHeight="1" x14ac:dyDescent="0.2">
      <c r="A479" s="17"/>
      <c r="B479" s="729" t="s">
        <v>11</v>
      </c>
      <c r="C479" s="688" t="s">
        <v>12</v>
      </c>
      <c r="D479" s="689"/>
      <c r="E479" s="689"/>
      <c r="F479" s="644" t="s">
        <v>13</v>
      </c>
      <c r="G479" s="644" t="s">
        <v>13</v>
      </c>
      <c r="H479" s="632" t="s">
        <v>726</v>
      </c>
      <c r="I479" s="632"/>
      <c r="J479" s="633"/>
      <c r="K479" s="633"/>
      <c r="L479" s="633"/>
      <c r="M479" s="633"/>
      <c r="N479" s="633"/>
      <c r="O479" s="633"/>
      <c r="P479" s="633"/>
      <c r="Q479" s="633"/>
      <c r="R479" s="633"/>
      <c r="S479" s="633"/>
      <c r="T479" s="633"/>
      <c r="U479" s="633"/>
      <c r="V479" s="633"/>
      <c r="W479" s="633"/>
      <c r="X479" s="1155" t="s">
        <v>14</v>
      </c>
      <c r="Y479" s="1155"/>
      <c r="Z479" s="1155"/>
      <c r="AA479" s="1155"/>
      <c r="AB479" s="1168" t="s">
        <v>15</v>
      </c>
      <c r="AE479" s="61"/>
      <c r="AF479" s="748" t="s">
        <v>3</v>
      </c>
      <c r="AG479" s="749"/>
      <c r="AH479" s="749"/>
    </row>
    <row r="480" spans="1:35" ht="12" customHeight="1" x14ac:dyDescent="0.2">
      <c r="A480" s="17"/>
      <c r="B480" s="729"/>
      <c r="C480" s="689"/>
      <c r="D480" s="689"/>
      <c r="E480" s="689"/>
      <c r="F480" s="645"/>
      <c r="G480" s="645"/>
      <c r="H480" s="413"/>
      <c r="I480" s="405" t="s">
        <v>261</v>
      </c>
      <c r="J480" s="407"/>
      <c r="K480" s="405" t="s">
        <v>17</v>
      </c>
      <c r="L480" s="408"/>
      <c r="M480" s="408" t="s">
        <v>18</v>
      </c>
      <c r="N480" s="408"/>
      <c r="O480" s="405" t="s">
        <v>19</v>
      </c>
      <c r="P480" s="408"/>
      <c r="Q480" s="408" t="s">
        <v>262</v>
      </c>
      <c r="R480" s="408"/>
      <c r="S480" s="408" t="s">
        <v>20</v>
      </c>
      <c r="T480" s="408"/>
      <c r="U480" s="408" t="s">
        <v>21</v>
      </c>
      <c r="V480" s="408"/>
      <c r="W480" s="408" t="s">
        <v>22</v>
      </c>
      <c r="X480" s="1155"/>
      <c r="Y480" s="1155"/>
      <c r="Z480" s="1155"/>
      <c r="AA480" s="1155"/>
      <c r="AB480" s="1168"/>
    </row>
    <row r="481" spans="1:29" ht="12.6" customHeight="1" x14ac:dyDescent="0.2">
      <c r="A481" s="17"/>
      <c r="B481" s="630" t="s">
        <v>1016</v>
      </c>
      <c r="C481" s="703"/>
      <c r="D481" s="703"/>
      <c r="E481" s="703"/>
      <c r="F481" s="255">
        <v>2200</v>
      </c>
      <c r="G481" s="255">
        <f t="shared" ref="G481:G483" si="1347">+F481*$X$1</f>
        <v>2200</v>
      </c>
      <c r="H481" s="251"/>
      <c r="I481" s="302"/>
      <c r="J481" s="68">
        <f>F481+310</f>
        <v>2510</v>
      </c>
      <c r="K481" s="255">
        <f t="shared" ref="K481" si="1348">+J481*$X$1</f>
        <v>2510</v>
      </c>
      <c r="L481" s="537">
        <f>F481+250</f>
        <v>2450</v>
      </c>
      <c r="M481" s="255">
        <f t="shared" ref="M481" si="1349">+L481*$X$1</f>
        <v>2450</v>
      </c>
      <c r="N481" s="537">
        <f>F481+200</f>
        <v>2400</v>
      </c>
      <c r="O481" s="255">
        <f t="shared" ref="O481" si="1350">+N481*$X$1</f>
        <v>2400</v>
      </c>
      <c r="P481" s="537">
        <f>F481+175</f>
        <v>2375</v>
      </c>
      <c r="Q481" s="255">
        <f t="shared" ref="Q481" si="1351">+P481*$X$1</f>
        <v>2375</v>
      </c>
      <c r="R481" s="537">
        <f>F481+145</f>
        <v>2345</v>
      </c>
      <c r="S481" s="255">
        <f t="shared" ref="S481" si="1352">+R481*$X$1</f>
        <v>2345</v>
      </c>
      <c r="T481" s="537">
        <f>F481+130</f>
        <v>2330</v>
      </c>
      <c r="U481" s="255">
        <f t="shared" ref="U481" si="1353">+T481*$X$1</f>
        <v>2330</v>
      </c>
      <c r="V481" s="537">
        <f>F481+110</f>
        <v>2310</v>
      </c>
      <c r="W481" s="255">
        <f t="shared" ref="W481" si="1354">+V481*$X$1</f>
        <v>2310</v>
      </c>
      <c r="X481" s="707"/>
      <c r="Y481" s="708"/>
      <c r="Z481" s="708"/>
      <c r="AA481" s="709"/>
      <c r="AB481" s="357">
        <v>11604</v>
      </c>
    </row>
    <row r="482" spans="1:29" ht="12.6" customHeight="1" x14ac:dyDescent="0.2">
      <c r="A482" s="17"/>
      <c r="B482" s="642" t="s">
        <v>477</v>
      </c>
      <c r="C482" s="682"/>
      <c r="D482" s="682"/>
      <c r="E482" s="682"/>
      <c r="F482" s="256">
        <v>2200</v>
      </c>
      <c r="G482" s="256">
        <f>+F482*$X$1</f>
        <v>2200</v>
      </c>
      <c r="H482" s="250"/>
      <c r="I482" s="303"/>
      <c r="J482" s="546">
        <f>F482+450</f>
        <v>2650</v>
      </c>
      <c r="K482" s="256">
        <f t="shared" ref="K482" si="1355">+J482*$X$1</f>
        <v>2650</v>
      </c>
      <c r="L482" s="546">
        <f>F482+380</f>
        <v>2580</v>
      </c>
      <c r="M482" s="256">
        <f>+L482*$X$1</f>
        <v>2580</v>
      </c>
      <c r="N482" s="546">
        <f>F482+340</f>
        <v>2540</v>
      </c>
      <c r="O482" s="256">
        <f>+N482*$X$1</f>
        <v>2540</v>
      </c>
      <c r="P482" s="546">
        <f>F482+300</f>
        <v>2500</v>
      </c>
      <c r="Q482" s="256">
        <f t="shared" ref="Q482" si="1356">+P482*$X$1</f>
        <v>2500</v>
      </c>
      <c r="R482" s="546">
        <f>F482+270</f>
        <v>2470</v>
      </c>
      <c r="S482" s="256">
        <f>+R482*$X$1</f>
        <v>2470</v>
      </c>
      <c r="T482" s="546">
        <f>F482+240</f>
        <v>2440</v>
      </c>
      <c r="U482" s="256">
        <f t="shared" ref="U482" si="1357">+T482*$X$1</f>
        <v>2440</v>
      </c>
      <c r="V482" s="546">
        <f>F482+220</f>
        <v>2420</v>
      </c>
      <c r="W482" s="256">
        <f>+V482*$X$1</f>
        <v>2420</v>
      </c>
      <c r="X482" s="707"/>
      <c r="Y482" s="708"/>
      <c r="Z482" s="708"/>
      <c r="AA482" s="709"/>
      <c r="AB482" s="357">
        <v>11605</v>
      </c>
    </row>
    <row r="483" spans="1:29" ht="12.6" customHeight="1" x14ac:dyDescent="0.2">
      <c r="A483" s="17"/>
      <c r="B483" s="630" t="s">
        <v>1017</v>
      </c>
      <c r="C483" s="703"/>
      <c r="D483" s="703"/>
      <c r="E483" s="703"/>
      <c r="F483" s="255">
        <v>710</v>
      </c>
      <c r="G483" s="255">
        <f t="shared" si="1347"/>
        <v>710</v>
      </c>
      <c r="H483" s="251"/>
      <c r="I483" s="251"/>
      <c r="J483" s="537"/>
      <c r="K483" s="255"/>
      <c r="L483" s="537"/>
      <c r="M483" s="255"/>
      <c r="N483" s="537"/>
      <c r="O483" s="255"/>
      <c r="P483" s="537"/>
      <c r="Q483" s="255"/>
      <c r="R483" s="537"/>
      <c r="S483" s="255"/>
      <c r="T483" s="537"/>
      <c r="U483" s="607"/>
      <c r="V483" s="537"/>
      <c r="W483" s="607"/>
      <c r="X483" s="707"/>
      <c r="Y483" s="708"/>
      <c r="Z483" s="708"/>
      <c r="AA483" s="709"/>
      <c r="AB483" s="360"/>
    </row>
    <row r="484" spans="1:29" ht="12.6" customHeight="1" x14ac:dyDescent="0.2">
      <c r="A484" s="17"/>
      <c r="B484" s="642" t="s">
        <v>228</v>
      </c>
      <c r="C484" s="682"/>
      <c r="D484" s="682"/>
      <c r="E484" s="682"/>
      <c r="F484" s="256">
        <v>1140</v>
      </c>
      <c r="G484" s="256">
        <f>+F484*$X$1</f>
        <v>1140</v>
      </c>
      <c r="H484" s="250"/>
      <c r="I484" s="250"/>
      <c r="J484" s="82">
        <f>F484+310</f>
        <v>1450</v>
      </c>
      <c r="K484" s="256">
        <f t="shared" ref="K484" si="1358">+J484*$X$1</f>
        <v>1450</v>
      </c>
      <c r="L484" s="546">
        <f>F484+250</f>
        <v>1390</v>
      </c>
      <c r="M484" s="256">
        <f t="shared" ref="M484" si="1359">+L484*$X$1</f>
        <v>1390</v>
      </c>
      <c r="N484" s="546">
        <f>F484+200</f>
        <v>1340</v>
      </c>
      <c r="O484" s="256">
        <f t="shared" ref="O484" si="1360">+N484*$X$1</f>
        <v>1340</v>
      </c>
      <c r="P484" s="546">
        <f>F484+175</f>
        <v>1315</v>
      </c>
      <c r="Q484" s="256">
        <f t="shared" ref="Q484" si="1361">+P484*$X$1</f>
        <v>1315</v>
      </c>
      <c r="R484" s="546">
        <f>F484+145</f>
        <v>1285</v>
      </c>
      <c r="S484" s="256">
        <f t="shared" ref="S484" si="1362">+R484*$X$1</f>
        <v>1285</v>
      </c>
      <c r="T484" s="546">
        <f>F484+130</f>
        <v>1270</v>
      </c>
      <c r="U484" s="256">
        <f t="shared" ref="U484" si="1363">+T484*$X$1</f>
        <v>1270</v>
      </c>
      <c r="V484" s="546">
        <f>F484+110</f>
        <v>1250</v>
      </c>
      <c r="W484" s="256">
        <f t="shared" ref="W484" si="1364">+V484*$X$1</f>
        <v>1250</v>
      </c>
      <c r="X484" s="138"/>
      <c r="Y484" s="119"/>
      <c r="Z484" s="119"/>
      <c r="AA484" s="119"/>
      <c r="AB484" s="361"/>
    </row>
    <row r="485" spans="1:29" ht="12.6" customHeight="1" x14ac:dyDescent="0.2">
      <c r="A485" s="94"/>
      <c r="B485" s="939" t="s">
        <v>229</v>
      </c>
      <c r="C485" s="1156"/>
      <c r="D485" s="1156"/>
      <c r="E485" s="1156"/>
      <c r="F485" s="460">
        <v>80</v>
      </c>
      <c r="G485" s="460">
        <f>+F485*$X$1</f>
        <v>80</v>
      </c>
      <c r="H485" s="515"/>
      <c r="I485" s="515"/>
      <c r="J485" s="515"/>
      <c r="K485" s="515"/>
      <c r="L485" s="515"/>
      <c r="M485" s="515"/>
      <c r="N485" s="515"/>
      <c r="O485" s="460"/>
      <c r="P485" s="515"/>
      <c r="Q485" s="460"/>
      <c r="R485" s="515"/>
      <c r="S485" s="460"/>
      <c r="T485" s="515"/>
      <c r="U485" s="460"/>
      <c r="V485" s="515"/>
      <c r="W485" s="460"/>
      <c r="X485" s="138"/>
      <c r="Y485" s="119"/>
      <c r="Z485" s="119"/>
      <c r="AA485" s="119"/>
      <c r="AB485" s="178">
        <v>11612</v>
      </c>
    </row>
    <row r="486" spans="1:29" ht="12.6" customHeight="1" x14ac:dyDescent="0.2">
      <c r="A486" s="17"/>
      <c r="B486" s="683" t="s">
        <v>952</v>
      </c>
      <c r="C486" s="652"/>
      <c r="D486" s="652"/>
      <c r="E486" s="653"/>
      <c r="F486" s="327">
        <f>3.14*X2</f>
        <v>4835.6000000000004</v>
      </c>
      <c r="G486" s="256">
        <f>+F486*$X$1</f>
        <v>4835.6000000000004</v>
      </c>
      <c r="H486" s="546">
        <f>F486+650</f>
        <v>5485.6</v>
      </c>
      <c r="I486" s="256">
        <f t="shared" ref="I486" si="1365">+H486*$X$1</f>
        <v>5485.6</v>
      </c>
      <c r="J486" s="546">
        <f>F486+230</f>
        <v>5065.6000000000004</v>
      </c>
      <c r="K486" s="256">
        <f t="shared" ref="K486" si="1366">+J486*$X$1</f>
        <v>5065.6000000000004</v>
      </c>
      <c r="L486" s="546">
        <f>F486+190</f>
        <v>5025.6000000000004</v>
      </c>
      <c r="M486" s="256">
        <f t="shared" ref="M486" si="1367">+L486*$X$1</f>
        <v>5025.6000000000004</v>
      </c>
      <c r="N486" s="546">
        <f>F486+150</f>
        <v>4985.6000000000004</v>
      </c>
      <c r="O486" s="256">
        <f t="shared" ref="O486" si="1368">+N486*$X$1</f>
        <v>4985.6000000000004</v>
      </c>
      <c r="P486" s="546">
        <f>F486+130</f>
        <v>4965.6000000000004</v>
      </c>
      <c r="Q486" s="256">
        <f t="shared" ref="Q486" si="1369">+P486*$X$1</f>
        <v>4965.6000000000004</v>
      </c>
      <c r="R486" s="546">
        <f>F486+110</f>
        <v>4945.6000000000004</v>
      </c>
      <c r="S486" s="256">
        <f t="shared" ref="S486" si="1370">+R486*$X$1</f>
        <v>4945.6000000000004</v>
      </c>
      <c r="T486" s="546">
        <f>F486+90</f>
        <v>4925.6000000000004</v>
      </c>
      <c r="U486" s="256">
        <f t="shared" ref="U486" si="1371">+T486*$X$1</f>
        <v>4925.6000000000004</v>
      </c>
      <c r="V486" s="546">
        <f>F486+70</f>
        <v>4905.6000000000004</v>
      </c>
      <c r="W486" s="256">
        <f t="shared" ref="W486" si="1372">+V486*$X$1</f>
        <v>4905.6000000000004</v>
      </c>
      <c r="X486" s="636"/>
      <c r="Y486" s="638"/>
      <c r="Z486" s="638"/>
      <c r="AA486" s="637"/>
      <c r="AB486" s="178" t="s">
        <v>954</v>
      </c>
    </row>
    <row r="487" spans="1:29" ht="12.6" customHeight="1" x14ac:dyDescent="0.2">
      <c r="A487" s="17"/>
      <c r="B487" s="666" t="s">
        <v>743</v>
      </c>
      <c r="C487" s="684"/>
      <c r="D487" s="684"/>
      <c r="E487" s="685"/>
      <c r="F487" s="326">
        <f>1.14*X2</f>
        <v>1755.6</v>
      </c>
      <c r="G487" s="255">
        <f t="shared" ref="G487" si="1373">+F487*$X$1</f>
        <v>1755.6</v>
      </c>
      <c r="H487" s="537">
        <f t="shared" ref="H487" si="1374">F487+600</f>
        <v>2355.6</v>
      </c>
      <c r="I487" s="255">
        <f t="shared" ref="I487" si="1375">+H487*$X$1</f>
        <v>2355.6</v>
      </c>
      <c r="J487" s="537">
        <f t="shared" ref="J487" si="1376">F487+200</f>
        <v>1955.6</v>
      </c>
      <c r="K487" s="255">
        <f t="shared" ref="K487" si="1377">+J487*$X$1</f>
        <v>1955.6</v>
      </c>
      <c r="L487" s="537">
        <f>F487+150</f>
        <v>1905.6</v>
      </c>
      <c r="M487" s="255">
        <f t="shared" ref="M487" si="1378">+L487*$X$1</f>
        <v>1905.6</v>
      </c>
      <c r="N487" s="537">
        <f>F487+110</f>
        <v>1865.6</v>
      </c>
      <c r="O487" s="255">
        <f>+N487*$X$1</f>
        <v>1865.6</v>
      </c>
      <c r="P487" s="537">
        <f>F487+90</f>
        <v>1845.6</v>
      </c>
      <c r="Q487" s="255">
        <f t="shared" ref="Q487" si="1379">+P487*$X$1</f>
        <v>1845.6</v>
      </c>
      <c r="R487" s="537">
        <f>F487+70</f>
        <v>1825.6</v>
      </c>
      <c r="S487" s="255">
        <f>+R487*$X$1</f>
        <v>1825.6</v>
      </c>
      <c r="T487" s="537">
        <f>F487+56</f>
        <v>1811.6</v>
      </c>
      <c r="U487" s="255">
        <f t="shared" ref="U487" si="1380">+T487*$X$1</f>
        <v>1811.6</v>
      </c>
      <c r="V487" s="537"/>
      <c r="W487" s="255"/>
      <c r="X487" s="636"/>
      <c r="Y487" s="638"/>
      <c r="Z487" s="638"/>
      <c r="AA487" s="637"/>
      <c r="AB487" s="178" t="s">
        <v>464</v>
      </c>
    </row>
    <row r="488" spans="1:29" ht="12.6" customHeight="1" x14ac:dyDescent="0.2">
      <c r="A488" s="17"/>
      <c r="B488" s="683" t="s">
        <v>940</v>
      </c>
      <c r="C488" s="652"/>
      <c r="D488" s="652"/>
      <c r="E488" s="653"/>
      <c r="F488" s="327">
        <f>1.706*X2</f>
        <v>2627.24</v>
      </c>
      <c r="G488" s="256">
        <f>+F488*$X$1</f>
        <v>2627.24</v>
      </c>
      <c r="H488" s="546">
        <f t="shared" ref="H488" si="1381">F488+600</f>
        <v>3227.24</v>
      </c>
      <c r="I488" s="256">
        <f t="shared" ref="I488:I490" si="1382">+H488*$X$1</f>
        <v>3227.24</v>
      </c>
      <c r="J488" s="546">
        <f t="shared" ref="J488" si="1383">F488+200</f>
        <v>2827.24</v>
      </c>
      <c r="K488" s="256">
        <f t="shared" ref="K488:K490" si="1384">+J488*$X$1</f>
        <v>2827.24</v>
      </c>
      <c r="L488" s="546">
        <f>F488+150</f>
        <v>2777.24</v>
      </c>
      <c r="M488" s="256">
        <f t="shared" ref="M488:M490" si="1385">+L488*$X$1</f>
        <v>2777.24</v>
      </c>
      <c r="N488" s="546">
        <f>F488+110</f>
        <v>2737.24</v>
      </c>
      <c r="O488" s="256">
        <f>+N488*$X$1</f>
        <v>2737.24</v>
      </c>
      <c r="P488" s="546">
        <f>F488+90</f>
        <v>2717.24</v>
      </c>
      <c r="Q488" s="256">
        <f t="shared" ref="Q488:Q490" si="1386">+P488*$X$1</f>
        <v>2717.24</v>
      </c>
      <c r="R488" s="546">
        <f>F488+70</f>
        <v>2697.24</v>
      </c>
      <c r="S488" s="256">
        <f>+R488*$X$1</f>
        <v>2697.24</v>
      </c>
      <c r="T488" s="546">
        <f>F488+56</f>
        <v>2683.24</v>
      </c>
      <c r="U488" s="256">
        <f t="shared" ref="U488:U490" si="1387">+T488*$X$1</f>
        <v>2683.24</v>
      </c>
      <c r="V488" s="546">
        <f>F488+49</f>
        <v>2676.24</v>
      </c>
      <c r="W488" s="256">
        <f t="shared" ref="W488:W490" si="1388">+V488*$X$1</f>
        <v>2676.24</v>
      </c>
      <c r="X488" s="636"/>
      <c r="Y488" s="638"/>
      <c r="Z488" s="638"/>
      <c r="AA488" s="637"/>
      <c r="AB488" s="178" t="s">
        <v>939</v>
      </c>
    </row>
    <row r="489" spans="1:29" ht="12.6" customHeight="1" x14ac:dyDescent="0.2">
      <c r="A489" s="17"/>
      <c r="B489" s="683" t="s">
        <v>953</v>
      </c>
      <c r="C489" s="652"/>
      <c r="D489" s="652"/>
      <c r="E489" s="653"/>
      <c r="F489" s="326">
        <f>3.14*X2</f>
        <v>4835.6000000000004</v>
      </c>
      <c r="G489" s="255">
        <f>+F489*$X$1</f>
        <v>4835.6000000000004</v>
      </c>
      <c r="H489" s="537">
        <f>F489+650</f>
        <v>5485.6</v>
      </c>
      <c r="I489" s="255">
        <f t="shared" ref="I489" si="1389">+H489*$X$1</f>
        <v>5485.6</v>
      </c>
      <c r="J489" s="537">
        <f>F489+230</f>
        <v>5065.6000000000004</v>
      </c>
      <c r="K489" s="255">
        <f t="shared" ref="K489" si="1390">+J489*$X$1</f>
        <v>5065.6000000000004</v>
      </c>
      <c r="L489" s="537">
        <f>F489+190</f>
        <v>5025.6000000000004</v>
      </c>
      <c r="M489" s="255">
        <f t="shared" ref="M489" si="1391">+L489*$X$1</f>
        <v>5025.6000000000004</v>
      </c>
      <c r="N489" s="537">
        <f>F489+150</f>
        <v>4985.6000000000004</v>
      </c>
      <c r="O489" s="255">
        <f t="shared" ref="O489" si="1392">+N489*$X$1</f>
        <v>4985.6000000000004</v>
      </c>
      <c r="P489" s="537">
        <f>F489+130</f>
        <v>4965.6000000000004</v>
      </c>
      <c r="Q489" s="255">
        <f t="shared" ref="Q489" si="1393">+P489*$X$1</f>
        <v>4965.6000000000004</v>
      </c>
      <c r="R489" s="537">
        <f>F489+110</f>
        <v>4945.6000000000004</v>
      </c>
      <c r="S489" s="255">
        <f t="shared" ref="S489" si="1394">+R489*$X$1</f>
        <v>4945.6000000000004</v>
      </c>
      <c r="T489" s="537">
        <f>F489+90</f>
        <v>4925.6000000000004</v>
      </c>
      <c r="U489" s="255">
        <f t="shared" ref="U489" si="1395">+T489*$X$1</f>
        <v>4925.6000000000004</v>
      </c>
      <c r="V489" s="537">
        <f>F489+70</f>
        <v>4905.6000000000004</v>
      </c>
      <c r="W489" s="255">
        <f t="shared" ref="W489" si="1396">+V489*$X$1</f>
        <v>4905.6000000000004</v>
      </c>
      <c r="X489" s="636"/>
      <c r="Y489" s="638"/>
      <c r="Z489" s="638"/>
      <c r="AA489" s="637"/>
      <c r="AB489" s="178" t="s">
        <v>955</v>
      </c>
    </row>
    <row r="490" spans="1:29" ht="12.6" customHeight="1" x14ac:dyDescent="0.2">
      <c r="A490" s="17"/>
      <c r="B490" s="683" t="s">
        <v>942</v>
      </c>
      <c r="C490" s="652"/>
      <c r="D490" s="652"/>
      <c r="E490" s="653"/>
      <c r="F490" s="327">
        <f>3.77*X2</f>
        <v>5805.8</v>
      </c>
      <c r="G490" s="256">
        <f t="shared" ref="G490" si="1397">+F490*$X$1</f>
        <v>5805.8</v>
      </c>
      <c r="H490" s="546">
        <f>F490+650</f>
        <v>6455.8</v>
      </c>
      <c r="I490" s="256">
        <f t="shared" si="1382"/>
        <v>6455.8</v>
      </c>
      <c r="J490" s="546">
        <f>F490+230</f>
        <v>6035.8</v>
      </c>
      <c r="K490" s="256">
        <f t="shared" si="1384"/>
        <v>6035.8</v>
      </c>
      <c r="L490" s="546">
        <f>F490+190</f>
        <v>5995.8</v>
      </c>
      <c r="M490" s="256">
        <f t="shared" si="1385"/>
        <v>5995.8</v>
      </c>
      <c r="N490" s="546">
        <f>F490+150</f>
        <v>5955.8</v>
      </c>
      <c r="O490" s="256">
        <f t="shared" ref="O490" si="1398">+N490*$X$1</f>
        <v>5955.8</v>
      </c>
      <c r="P490" s="546">
        <f>F490+130</f>
        <v>5935.8</v>
      </c>
      <c r="Q490" s="256">
        <f t="shared" si="1386"/>
        <v>5935.8</v>
      </c>
      <c r="R490" s="546">
        <f>F490+110</f>
        <v>5915.8</v>
      </c>
      <c r="S490" s="256">
        <f t="shared" ref="S490" si="1399">+R490*$X$1</f>
        <v>5915.8</v>
      </c>
      <c r="T490" s="546">
        <f>F490+90</f>
        <v>5895.8</v>
      </c>
      <c r="U490" s="256">
        <f t="shared" si="1387"/>
        <v>5895.8</v>
      </c>
      <c r="V490" s="546">
        <f>F490+70</f>
        <v>5875.8</v>
      </c>
      <c r="W490" s="256">
        <f t="shared" si="1388"/>
        <v>5875.8</v>
      </c>
      <c r="X490" s="636"/>
      <c r="Y490" s="638"/>
      <c r="Z490" s="638"/>
      <c r="AA490" s="637"/>
      <c r="AB490" s="178" t="s">
        <v>941</v>
      </c>
    </row>
    <row r="491" spans="1:29" ht="12.6" customHeight="1" x14ac:dyDescent="0.2">
      <c r="A491" s="94"/>
      <c r="B491" s="727" t="s">
        <v>948</v>
      </c>
      <c r="C491" s="728"/>
      <c r="D491" s="728"/>
      <c r="E491" s="728"/>
      <c r="F491" s="326">
        <f>3.77*X2</f>
        <v>5805.8</v>
      </c>
      <c r="G491" s="255">
        <f>+F491*$X$1</f>
        <v>5805.8</v>
      </c>
      <c r="H491" s="537">
        <f>F491+650</f>
        <v>6455.8</v>
      </c>
      <c r="I491" s="255">
        <f t="shared" ref="I491" si="1400">+H491*$X$1</f>
        <v>6455.8</v>
      </c>
      <c r="J491" s="537">
        <f>F491+230</f>
        <v>6035.8</v>
      </c>
      <c r="K491" s="255">
        <f t="shared" ref="K491" si="1401">+J491*$X$1</f>
        <v>6035.8</v>
      </c>
      <c r="L491" s="537">
        <f>F491+190</f>
        <v>5995.8</v>
      </c>
      <c r="M491" s="255">
        <f t="shared" ref="M491" si="1402">+L491*$X$1</f>
        <v>5995.8</v>
      </c>
      <c r="N491" s="537">
        <f>F491+150</f>
        <v>5955.8</v>
      </c>
      <c r="O491" s="255">
        <f t="shared" ref="O491" si="1403">+N491*$X$1</f>
        <v>5955.8</v>
      </c>
      <c r="P491" s="537">
        <f>F491+130</f>
        <v>5935.8</v>
      </c>
      <c r="Q491" s="255">
        <f t="shared" ref="Q491" si="1404">+P491*$X$1</f>
        <v>5935.8</v>
      </c>
      <c r="R491" s="537">
        <f>F491+110</f>
        <v>5915.8</v>
      </c>
      <c r="S491" s="255">
        <f t="shared" ref="S491" si="1405">+R491*$X$1</f>
        <v>5915.8</v>
      </c>
      <c r="T491" s="537">
        <f>F491+90</f>
        <v>5895.8</v>
      </c>
      <c r="U491" s="255">
        <f t="shared" ref="U491" si="1406">+T491*$X$1</f>
        <v>5895.8</v>
      </c>
      <c r="V491" s="537">
        <f>F491+70</f>
        <v>5875.8</v>
      </c>
      <c r="W491" s="255">
        <f t="shared" ref="W491" si="1407">+V491*$X$1</f>
        <v>5875.8</v>
      </c>
      <c r="X491" s="636"/>
      <c r="Y491" s="636"/>
      <c r="Z491" s="636"/>
      <c r="AA491" s="636"/>
      <c r="AB491" s="345" t="s">
        <v>949</v>
      </c>
      <c r="AC491" s="62"/>
    </row>
    <row r="492" spans="1:29" ht="12.6" customHeight="1" x14ac:dyDescent="0.2">
      <c r="A492" s="94"/>
      <c r="B492" s="669" t="s">
        <v>590</v>
      </c>
      <c r="C492" s="670"/>
      <c r="D492" s="670"/>
      <c r="E492" s="670"/>
      <c r="F492" s="327">
        <f>3.14*X2</f>
        <v>4835.6000000000004</v>
      </c>
      <c r="G492" s="256">
        <f>+F492*$X$1</f>
        <v>4835.6000000000004</v>
      </c>
      <c r="H492" s="546">
        <f>F492+650</f>
        <v>5485.6</v>
      </c>
      <c r="I492" s="256">
        <f>+H492*$X$1</f>
        <v>5485.6</v>
      </c>
      <c r="J492" s="546">
        <f>F492+230</f>
        <v>5065.6000000000004</v>
      </c>
      <c r="K492" s="256">
        <f>+J492*$X$1</f>
        <v>5065.6000000000004</v>
      </c>
      <c r="L492" s="546">
        <f>F492+190</f>
        <v>5025.6000000000004</v>
      </c>
      <c r="M492" s="256">
        <f>+L492*$X$1</f>
        <v>5025.6000000000004</v>
      </c>
      <c r="N492" s="546">
        <f>F492+150</f>
        <v>4985.6000000000004</v>
      </c>
      <c r="O492" s="256">
        <f t="shared" ref="O492" si="1408">+N492*$X$1</f>
        <v>4985.6000000000004</v>
      </c>
      <c r="P492" s="546">
        <f>F492+130</f>
        <v>4965.6000000000004</v>
      </c>
      <c r="Q492" s="256">
        <f>+P492*$X$1</f>
        <v>4965.6000000000004</v>
      </c>
      <c r="R492" s="546">
        <f>F492+110</f>
        <v>4945.6000000000004</v>
      </c>
      <c r="S492" s="256">
        <f t="shared" ref="S492" si="1409">+R492*$X$1</f>
        <v>4945.6000000000004</v>
      </c>
      <c r="T492" s="546">
        <f>F492+90</f>
        <v>4925.6000000000004</v>
      </c>
      <c r="U492" s="256">
        <f>+T492*$X$1</f>
        <v>4925.6000000000004</v>
      </c>
      <c r="V492" s="546">
        <f>F492+70</f>
        <v>4905.6000000000004</v>
      </c>
      <c r="W492" s="256">
        <f>+V492*$X$1</f>
        <v>4905.6000000000004</v>
      </c>
      <c r="X492" s="636"/>
      <c r="Y492" s="636"/>
      <c r="Z492" s="636"/>
      <c r="AA492" s="636"/>
      <c r="AB492" s="345" t="s">
        <v>589</v>
      </c>
      <c r="AC492" s="62"/>
    </row>
    <row r="493" spans="1:29" ht="12.6" customHeight="1" x14ac:dyDescent="0.2">
      <c r="A493" s="17"/>
      <c r="B493" s="683" t="s">
        <v>957</v>
      </c>
      <c r="C493" s="652"/>
      <c r="D493" s="652"/>
      <c r="E493" s="653"/>
      <c r="F493" s="326">
        <f>3.512*X2</f>
        <v>5408.48</v>
      </c>
      <c r="G493" s="255">
        <f t="shared" ref="G493" si="1410">+F493*$X$1</f>
        <v>5408.48</v>
      </c>
      <c r="H493" s="537">
        <f t="shared" ref="H493" si="1411">F493+600</f>
        <v>6008.48</v>
      </c>
      <c r="I493" s="255">
        <f t="shared" ref="I493" si="1412">+H493*$X$1</f>
        <v>6008.48</v>
      </c>
      <c r="J493" s="537">
        <f t="shared" ref="J493" si="1413">F493+200</f>
        <v>5608.48</v>
      </c>
      <c r="K493" s="255">
        <f t="shared" ref="K493" si="1414">+J493*$X$1</f>
        <v>5608.48</v>
      </c>
      <c r="L493" s="537">
        <f>F493+150</f>
        <v>5558.48</v>
      </c>
      <c r="M493" s="255">
        <f t="shared" ref="M493" si="1415">+L493*$X$1</f>
        <v>5558.48</v>
      </c>
      <c r="N493" s="537">
        <f>F493+110</f>
        <v>5518.48</v>
      </c>
      <c r="O493" s="255">
        <f>+N493*$X$1</f>
        <v>5518.48</v>
      </c>
      <c r="P493" s="537">
        <f>F493+90</f>
        <v>5498.48</v>
      </c>
      <c r="Q493" s="255">
        <f t="shared" ref="Q493" si="1416">+P493*$X$1</f>
        <v>5498.48</v>
      </c>
      <c r="R493" s="537">
        <f>F493+70</f>
        <v>5478.48</v>
      </c>
      <c r="S493" s="255">
        <f>+R493*$X$1</f>
        <v>5478.48</v>
      </c>
      <c r="T493" s="537">
        <f>F493+56</f>
        <v>5464.48</v>
      </c>
      <c r="U493" s="255">
        <f t="shared" ref="U493" si="1417">+T493*$X$1</f>
        <v>5464.48</v>
      </c>
      <c r="V493" s="537">
        <f>F493+49</f>
        <v>5457.48</v>
      </c>
      <c r="W493" s="255">
        <f t="shared" ref="W493" si="1418">+V493*$X$1</f>
        <v>5457.48</v>
      </c>
      <c r="X493" s="636"/>
      <c r="Y493" s="638"/>
      <c r="Z493" s="638"/>
      <c r="AA493" s="637"/>
      <c r="AB493" s="178" t="s">
        <v>943</v>
      </c>
    </row>
    <row r="494" spans="1:29" ht="12.6" customHeight="1" x14ac:dyDescent="0.2">
      <c r="A494" s="17"/>
      <c r="B494" s="683" t="s">
        <v>956</v>
      </c>
      <c r="C494" s="652"/>
      <c r="D494" s="652"/>
      <c r="E494" s="653"/>
      <c r="F494" s="327">
        <f>4.4*X2</f>
        <v>6776.0000000000009</v>
      </c>
      <c r="G494" s="256">
        <f t="shared" ref="G494" si="1419">+F494*$X$1</f>
        <v>6776.0000000000009</v>
      </c>
      <c r="H494" s="546">
        <f t="shared" ref="H494" si="1420">F494+600</f>
        <v>7376.0000000000009</v>
      </c>
      <c r="I494" s="256">
        <f t="shared" ref="I494" si="1421">+H494*$X$1</f>
        <v>7376.0000000000009</v>
      </c>
      <c r="J494" s="546">
        <f t="shared" ref="J494" si="1422">F494+200</f>
        <v>6976.0000000000009</v>
      </c>
      <c r="K494" s="256">
        <f t="shared" ref="K494" si="1423">+J494*$X$1</f>
        <v>6976.0000000000009</v>
      </c>
      <c r="L494" s="546">
        <f>F494+150</f>
        <v>6926.0000000000009</v>
      </c>
      <c r="M494" s="256">
        <f t="shared" ref="M494" si="1424">+L494*$X$1</f>
        <v>6926.0000000000009</v>
      </c>
      <c r="N494" s="546">
        <f>F494+110</f>
        <v>6886.0000000000009</v>
      </c>
      <c r="O494" s="256">
        <f>+N494*$X$1</f>
        <v>6886.0000000000009</v>
      </c>
      <c r="P494" s="546">
        <f>F494+90</f>
        <v>6866.0000000000009</v>
      </c>
      <c r="Q494" s="256">
        <f t="shared" ref="Q494" si="1425">+P494*$X$1</f>
        <v>6866.0000000000009</v>
      </c>
      <c r="R494" s="546">
        <f>F494+70</f>
        <v>6846.0000000000009</v>
      </c>
      <c r="S494" s="256">
        <f>+R494*$X$1</f>
        <v>6846.0000000000009</v>
      </c>
      <c r="T494" s="546">
        <f>F494+56</f>
        <v>6832.0000000000009</v>
      </c>
      <c r="U494" s="256">
        <f t="shared" ref="U494" si="1426">+T494*$X$1</f>
        <v>6832.0000000000009</v>
      </c>
      <c r="V494" s="546">
        <f>F494+49</f>
        <v>6825.0000000000009</v>
      </c>
      <c r="W494" s="256">
        <f t="shared" ref="W494" si="1427">+V494*$X$1</f>
        <v>6825.0000000000009</v>
      </c>
      <c r="X494" s="636"/>
      <c r="Y494" s="638"/>
      <c r="Z494" s="638"/>
      <c r="AA494" s="637"/>
      <c r="AB494" s="178" t="s">
        <v>958</v>
      </c>
    </row>
    <row r="495" spans="1:29" ht="12.6" customHeight="1" x14ac:dyDescent="0.2">
      <c r="A495" s="17"/>
      <c r="B495" s="666" t="s">
        <v>951</v>
      </c>
      <c r="C495" s="684"/>
      <c r="D495" s="684"/>
      <c r="E495" s="685"/>
      <c r="F495" s="326">
        <f>4.1*X2</f>
        <v>6313.9999999999991</v>
      </c>
      <c r="G495" s="255">
        <f t="shared" ref="G495" si="1428">+F495*$X$1</f>
        <v>6313.9999999999991</v>
      </c>
      <c r="H495" s="537"/>
      <c r="I495" s="255"/>
      <c r="J495" s="537">
        <f t="shared" ref="J495" si="1429">F495+200</f>
        <v>6513.9999999999991</v>
      </c>
      <c r="K495" s="255">
        <f t="shared" ref="K495" si="1430">+J495*$X$1</f>
        <v>6513.9999999999991</v>
      </c>
      <c r="L495" s="537">
        <f>F495+150</f>
        <v>6463.9999999999991</v>
      </c>
      <c r="M495" s="255">
        <f t="shared" ref="M495" si="1431">+L495*$X$1</f>
        <v>6463.9999999999991</v>
      </c>
      <c r="N495" s="537">
        <f>F495+110</f>
        <v>6423.9999999999991</v>
      </c>
      <c r="O495" s="255">
        <f>+N495*$X$1</f>
        <v>6423.9999999999991</v>
      </c>
      <c r="P495" s="537">
        <f>F495+90</f>
        <v>6403.9999999999991</v>
      </c>
      <c r="Q495" s="255">
        <f t="shared" ref="Q495" si="1432">+P495*$X$1</f>
        <v>6403.9999999999991</v>
      </c>
      <c r="R495" s="537">
        <f>F495+70</f>
        <v>6383.9999999999991</v>
      </c>
      <c r="S495" s="255">
        <f>+R495*$X$1</f>
        <v>6383.9999999999991</v>
      </c>
      <c r="T495" s="537">
        <f>F495+56</f>
        <v>6369.9999999999991</v>
      </c>
      <c r="U495" s="255">
        <f t="shared" ref="U495" si="1433">+T495*$X$1</f>
        <v>6369.9999999999991</v>
      </c>
      <c r="V495" s="537">
        <f>F495+49</f>
        <v>6362.9999999999991</v>
      </c>
      <c r="W495" s="255">
        <f t="shared" ref="W495" si="1434">+V495*$X$1</f>
        <v>6362.9999999999991</v>
      </c>
      <c r="X495" s="636"/>
      <c r="Y495" s="638"/>
      <c r="Z495" s="638"/>
      <c r="AA495" s="637"/>
      <c r="AB495" s="178" t="s">
        <v>950</v>
      </c>
    </row>
    <row r="496" spans="1:29" ht="12.6" customHeight="1" x14ac:dyDescent="0.2">
      <c r="A496" s="94"/>
      <c r="B496" s="669" t="s">
        <v>797</v>
      </c>
      <c r="C496" s="670"/>
      <c r="D496" s="670"/>
      <c r="E496" s="670"/>
      <c r="F496" s="327">
        <f>3.1*X2</f>
        <v>4774</v>
      </c>
      <c r="G496" s="256">
        <f t="shared" ref="G496" si="1435">+F496*$X$1</f>
        <v>4774</v>
      </c>
      <c r="H496" s="546"/>
      <c r="I496" s="256"/>
      <c r="J496" s="546">
        <f>F496+300</f>
        <v>5074</v>
      </c>
      <c r="K496" s="256">
        <f t="shared" ref="K496" si="1436">+J496*$X$1</f>
        <v>5074</v>
      </c>
      <c r="L496" s="546">
        <f>F496+240</f>
        <v>5014</v>
      </c>
      <c r="M496" s="256">
        <f t="shared" ref="M496" si="1437">+L496*$X$1</f>
        <v>5014</v>
      </c>
      <c r="N496" s="546">
        <f>F496+210</f>
        <v>4984</v>
      </c>
      <c r="O496" s="256">
        <f t="shared" ref="O496" si="1438">+N496*$X$1</f>
        <v>4984</v>
      </c>
      <c r="P496" s="546">
        <f>F496+180</f>
        <v>4954</v>
      </c>
      <c r="Q496" s="256">
        <f t="shared" ref="Q496" si="1439">+P496*$X$1</f>
        <v>4954</v>
      </c>
      <c r="R496" s="546">
        <f>F496+165</f>
        <v>4939</v>
      </c>
      <c r="S496" s="256">
        <f t="shared" ref="S496" si="1440">+R496*$X$1</f>
        <v>4939</v>
      </c>
      <c r="T496" s="546">
        <f>F496+140</f>
        <v>4914</v>
      </c>
      <c r="U496" s="256">
        <f t="shared" ref="U496" si="1441">+T496*$X$1</f>
        <v>4914</v>
      </c>
      <c r="V496" s="546">
        <f>F496+110</f>
        <v>4884</v>
      </c>
      <c r="W496" s="256">
        <f t="shared" ref="W496" si="1442">+V496*$X$1</f>
        <v>4884</v>
      </c>
      <c r="X496" s="636"/>
      <c r="Y496" s="636"/>
      <c r="Z496" s="636"/>
      <c r="AA496" s="636"/>
      <c r="AB496" s="345" t="s">
        <v>798</v>
      </c>
      <c r="AC496" s="62"/>
    </row>
    <row r="497" spans="1:33" ht="12.6" customHeight="1" x14ac:dyDescent="0.2">
      <c r="A497" s="94"/>
      <c r="B497" s="943" t="s">
        <v>871</v>
      </c>
      <c r="C497" s="1151"/>
      <c r="D497" s="1151"/>
      <c r="E497" s="1151"/>
      <c r="F497" s="326">
        <v>1310</v>
      </c>
      <c r="G497" s="255">
        <f t="shared" ref="G497" si="1443">+F497*$X$1</f>
        <v>1310</v>
      </c>
      <c r="H497" s="537"/>
      <c r="I497" s="255"/>
      <c r="J497" s="537"/>
      <c r="K497" s="255"/>
      <c r="L497" s="537">
        <f>F497+190</f>
        <v>1500</v>
      </c>
      <c r="M497" s="255">
        <f t="shared" ref="M497:M498" si="1444">+L497*$X$1</f>
        <v>1500</v>
      </c>
      <c r="N497" s="537">
        <f>F497+150</f>
        <v>1460</v>
      </c>
      <c r="O497" s="255">
        <f t="shared" ref="O497:O498" si="1445">+N497*$X$1</f>
        <v>1460</v>
      </c>
      <c r="P497" s="537">
        <f>F497+130</f>
        <v>1440</v>
      </c>
      <c r="Q497" s="255">
        <f t="shared" ref="Q497:Q498" si="1446">+P497*$X$1</f>
        <v>1440</v>
      </c>
      <c r="R497" s="537">
        <f>F497+110</f>
        <v>1420</v>
      </c>
      <c r="S497" s="255">
        <f t="shared" ref="S497:S498" si="1447">+R497*$X$1</f>
        <v>1420</v>
      </c>
      <c r="T497" s="537">
        <f>F497+90</f>
        <v>1400</v>
      </c>
      <c r="U497" s="255">
        <f t="shared" ref="U497:U498" si="1448">+T497*$X$1</f>
        <v>1400</v>
      </c>
      <c r="V497" s="537">
        <f>F497+70</f>
        <v>1380</v>
      </c>
      <c r="W497" s="255">
        <f t="shared" ref="W497:W498" si="1449">+V497*$X$1</f>
        <v>1380</v>
      </c>
      <c r="X497" s="636"/>
      <c r="Y497" s="636"/>
      <c r="Z497" s="636"/>
      <c r="AA497" s="636"/>
      <c r="AB497" s="345" t="s">
        <v>882</v>
      </c>
      <c r="AC497" s="62"/>
    </row>
    <row r="498" spans="1:33" ht="12.6" customHeight="1" x14ac:dyDescent="0.2">
      <c r="A498" s="94"/>
      <c r="B498" s="943" t="s">
        <v>872</v>
      </c>
      <c r="C498" s="1151"/>
      <c r="D498" s="1151"/>
      <c r="E498" s="1151"/>
      <c r="F498" s="327">
        <v>1570</v>
      </c>
      <c r="G498" s="256">
        <f t="shared" ref="G498" si="1450">+F498*$X$1</f>
        <v>1570</v>
      </c>
      <c r="H498" s="546"/>
      <c r="I498" s="256"/>
      <c r="J498" s="546"/>
      <c r="K498" s="256"/>
      <c r="L498" s="546">
        <f>F498+190</f>
        <v>1760</v>
      </c>
      <c r="M498" s="256">
        <f t="shared" si="1444"/>
        <v>1760</v>
      </c>
      <c r="N498" s="546">
        <f>F498+150</f>
        <v>1720</v>
      </c>
      <c r="O498" s="256">
        <f t="shared" si="1445"/>
        <v>1720</v>
      </c>
      <c r="P498" s="546">
        <f>F498+130</f>
        <v>1700</v>
      </c>
      <c r="Q498" s="256">
        <f t="shared" si="1446"/>
        <v>1700</v>
      </c>
      <c r="R498" s="546">
        <f>F498+110</f>
        <v>1680</v>
      </c>
      <c r="S498" s="256">
        <f t="shared" si="1447"/>
        <v>1680</v>
      </c>
      <c r="T498" s="546">
        <f>F498+90</f>
        <v>1660</v>
      </c>
      <c r="U498" s="256">
        <f t="shared" si="1448"/>
        <v>1660</v>
      </c>
      <c r="V498" s="546">
        <f>F498+70</f>
        <v>1640</v>
      </c>
      <c r="W498" s="256">
        <f t="shared" si="1449"/>
        <v>1640</v>
      </c>
      <c r="X498" s="636"/>
      <c r="Y498" s="636"/>
      <c r="Z498" s="636"/>
      <c r="AA498" s="636"/>
      <c r="AB498" s="345" t="s">
        <v>883</v>
      </c>
      <c r="AC498" s="62"/>
    </row>
    <row r="499" spans="1:33" ht="12.6" customHeight="1" x14ac:dyDescent="0.2">
      <c r="A499" s="94"/>
      <c r="B499" s="943" t="s">
        <v>873</v>
      </c>
      <c r="C499" s="1151"/>
      <c r="D499" s="1151"/>
      <c r="E499" s="1151"/>
      <c r="F499" s="326">
        <v>1570</v>
      </c>
      <c r="G499" s="255">
        <f t="shared" ref="G499" si="1451">+F499*$X$1</f>
        <v>1570</v>
      </c>
      <c r="H499" s="537"/>
      <c r="I499" s="255"/>
      <c r="J499" s="537"/>
      <c r="K499" s="255"/>
      <c r="L499" s="537">
        <f>F499+190</f>
        <v>1760</v>
      </c>
      <c r="M499" s="255">
        <f>+L499*$X$1</f>
        <v>1760</v>
      </c>
      <c r="N499" s="537">
        <f>F499+150</f>
        <v>1720</v>
      </c>
      <c r="O499" s="255">
        <f>+N499*$X$1</f>
        <v>1720</v>
      </c>
      <c r="P499" s="537">
        <f>F499+130</f>
        <v>1700</v>
      </c>
      <c r="Q499" s="255">
        <f>+P499*$X$1</f>
        <v>1700</v>
      </c>
      <c r="R499" s="537">
        <f>F499+110</f>
        <v>1680</v>
      </c>
      <c r="S499" s="255">
        <f>+R499*$X$1</f>
        <v>1680</v>
      </c>
      <c r="T499" s="537">
        <f>F499+90</f>
        <v>1660</v>
      </c>
      <c r="U499" s="255">
        <f>+T499*$X$1</f>
        <v>1660</v>
      </c>
      <c r="V499" s="537">
        <f>F499+70</f>
        <v>1640</v>
      </c>
      <c r="W499" s="255">
        <f>+V499*$X$1</f>
        <v>1640</v>
      </c>
      <c r="X499" s="636"/>
      <c r="Y499" s="636"/>
      <c r="Z499" s="636"/>
      <c r="AA499" s="636"/>
      <c r="AB499" s="345" t="s">
        <v>884</v>
      </c>
      <c r="AC499" s="62"/>
    </row>
    <row r="500" spans="1:33" ht="12.6" customHeight="1" x14ac:dyDescent="0.2">
      <c r="A500" s="94"/>
      <c r="B500" s="943" t="s">
        <v>874</v>
      </c>
      <c r="C500" s="1151"/>
      <c r="D500" s="1151"/>
      <c r="E500" s="1151"/>
      <c r="F500" s="327">
        <v>1570</v>
      </c>
      <c r="G500" s="256">
        <f t="shared" ref="G500" si="1452">+F500*$X$1</f>
        <v>1570</v>
      </c>
      <c r="H500" s="398"/>
      <c r="I500" s="256"/>
      <c r="J500" s="398"/>
      <c r="K500" s="256"/>
      <c r="L500" s="398">
        <f>F500+190</f>
        <v>1760</v>
      </c>
      <c r="M500" s="256">
        <f>+L500*$X$1</f>
        <v>1760</v>
      </c>
      <c r="N500" s="398">
        <f>F500+150</f>
        <v>1720</v>
      </c>
      <c r="O500" s="256">
        <f>+N500*$X$1</f>
        <v>1720</v>
      </c>
      <c r="P500" s="398">
        <f>F500+130</f>
        <v>1700</v>
      </c>
      <c r="Q500" s="256">
        <f>+P500*$X$1</f>
        <v>1700</v>
      </c>
      <c r="R500" s="398">
        <f>F500+110</f>
        <v>1680</v>
      </c>
      <c r="S500" s="256">
        <f>+R500*$X$1</f>
        <v>1680</v>
      </c>
      <c r="T500" s="398">
        <f>F500+90</f>
        <v>1660</v>
      </c>
      <c r="U500" s="256">
        <f>+T500*$X$1</f>
        <v>1660</v>
      </c>
      <c r="V500" s="398">
        <f>F500+70</f>
        <v>1640</v>
      </c>
      <c r="W500" s="256">
        <f>+V500*$X$1</f>
        <v>1640</v>
      </c>
      <c r="X500" s="636"/>
      <c r="Y500" s="636"/>
      <c r="Z500" s="636"/>
      <c r="AA500" s="636"/>
      <c r="AB500" s="345"/>
      <c r="AC500" s="62"/>
    </row>
    <row r="501" spans="1:33" ht="12.6" customHeight="1" x14ac:dyDescent="0.2">
      <c r="A501" s="94"/>
      <c r="B501" s="943" t="s">
        <v>812</v>
      </c>
      <c r="C501" s="1151"/>
      <c r="D501" s="1151"/>
      <c r="E501" s="1151"/>
      <c r="F501" s="326">
        <v>30</v>
      </c>
      <c r="G501" s="255">
        <f t="shared" ref="G501" si="1453">+F501*$X$1</f>
        <v>30</v>
      </c>
      <c r="H501" s="537"/>
      <c r="I501" s="255"/>
      <c r="J501" s="537"/>
      <c r="K501" s="255"/>
      <c r="L501" s="537"/>
      <c r="M501" s="255"/>
      <c r="N501" s="537"/>
      <c r="O501" s="255"/>
      <c r="P501" s="537"/>
      <c r="Q501" s="255"/>
      <c r="R501" s="537"/>
      <c r="S501" s="255"/>
      <c r="T501" s="537"/>
      <c r="U501" s="255"/>
      <c r="V501" s="537"/>
      <c r="W501" s="255"/>
      <c r="X501" s="636"/>
      <c r="Y501" s="636"/>
      <c r="Z501" s="636"/>
      <c r="AA501" s="636"/>
      <c r="AB501" s="345" t="s">
        <v>813</v>
      </c>
      <c r="AC501" s="62"/>
    </row>
    <row r="502" spans="1:33" ht="12.6" customHeight="1" x14ac:dyDescent="0.2">
      <c r="A502" s="94"/>
      <c r="B502" s="943" t="s">
        <v>811</v>
      </c>
      <c r="C502" s="1151"/>
      <c r="D502" s="1151"/>
      <c r="E502" s="1151"/>
      <c r="F502" s="327">
        <v>58</v>
      </c>
      <c r="G502" s="256">
        <f t="shared" ref="G502" si="1454">+F502*$X$1</f>
        <v>58</v>
      </c>
      <c r="H502" s="545"/>
      <c r="I502" s="256"/>
      <c r="J502" s="545"/>
      <c r="K502" s="256"/>
      <c r="L502" s="545"/>
      <c r="M502" s="256"/>
      <c r="N502" s="545"/>
      <c r="O502" s="256"/>
      <c r="P502" s="545"/>
      <c r="Q502" s="256"/>
      <c r="R502" s="545"/>
      <c r="S502" s="256"/>
      <c r="T502" s="545"/>
      <c r="U502" s="256"/>
      <c r="V502" s="545"/>
      <c r="W502" s="256"/>
      <c r="X502" s="636"/>
      <c r="Y502" s="636"/>
      <c r="Z502" s="636"/>
      <c r="AA502" s="636"/>
      <c r="AB502" s="345" t="s">
        <v>814</v>
      </c>
      <c r="AC502" s="62"/>
    </row>
    <row r="503" spans="1:33" ht="12.6" customHeight="1" x14ac:dyDescent="0.2">
      <c r="A503" s="17"/>
      <c r="B503" s="666" t="s">
        <v>307</v>
      </c>
      <c r="C503" s="684"/>
      <c r="D503" s="684"/>
      <c r="E503" s="685"/>
      <c r="F503" s="255">
        <v>1420</v>
      </c>
      <c r="G503" s="255">
        <f t="shared" ref="G503:G505" si="1455">+F503*$X$1</f>
        <v>1420</v>
      </c>
      <c r="H503" s="239"/>
      <c r="I503" s="714" t="s">
        <v>451</v>
      </c>
      <c r="J503" s="930"/>
      <c r="K503" s="930"/>
      <c r="L503" s="930"/>
      <c r="M503" s="931"/>
      <c r="N503" s="537">
        <v>2020</v>
      </c>
      <c r="O503" s="255">
        <f>+N503*$X$1</f>
        <v>2020</v>
      </c>
      <c r="P503" s="91">
        <v>2010</v>
      </c>
      <c r="Q503" s="255">
        <f t="shared" ref="Q503" si="1456">+P503*$X$1</f>
        <v>2010</v>
      </c>
      <c r="R503" s="537">
        <v>1815</v>
      </c>
      <c r="S503" s="255">
        <f>+R503*$X$1</f>
        <v>1815</v>
      </c>
      <c r="T503" s="537">
        <v>1690</v>
      </c>
      <c r="U503" s="255">
        <f>+T503*$X$1</f>
        <v>1690</v>
      </c>
      <c r="V503" s="537">
        <v>1640</v>
      </c>
      <c r="W503" s="255">
        <f t="shared" ref="W503" si="1457">+V503*$X$1</f>
        <v>1640</v>
      </c>
      <c r="X503" s="122"/>
      <c r="Y503" s="122"/>
      <c r="Z503" s="122"/>
      <c r="AA503" s="125"/>
      <c r="AB503" s="27"/>
    </row>
    <row r="504" spans="1:33" ht="12.6" customHeight="1" x14ac:dyDescent="0.2">
      <c r="A504" s="17"/>
      <c r="B504" s="639" t="s">
        <v>308</v>
      </c>
      <c r="C504" s="649"/>
      <c r="D504" s="649"/>
      <c r="E504" s="650"/>
      <c r="F504" s="256">
        <v>1420</v>
      </c>
      <c r="G504" s="256">
        <f t="shared" si="1455"/>
        <v>1420</v>
      </c>
      <c r="H504" s="237"/>
      <c r="I504" s="932"/>
      <c r="J504" s="933"/>
      <c r="K504" s="933"/>
      <c r="L504" s="933"/>
      <c r="M504" s="934"/>
      <c r="N504" s="546">
        <v>2020</v>
      </c>
      <c r="O504" s="256">
        <f>+N504*$X$1</f>
        <v>2020</v>
      </c>
      <c r="P504" s="95">
        <v>2010</v>
      </c>
      <c r="Q504" s="256">
        <f t="shared" ref="Q504:Q506" si="1458">+P504*$X$1</f>
        <v>2010</v>
      </c>
      <c r="R504" s="546">
        <v>1815</v>
      </c>
      <c r="S504" s="256">
        <f>+R504*$X$1</f>
        <v>1815</v>
      </c>
      <c r="T504" s="546">
        <v>1690</v>
      </c>
      <c r="U504" s="256">
        <f>+T504*$X$1</f>
        <v>1690</v>
      </c>
      <c r="V504" s="546">
        <v>1640</v>
      </c>
      <c r="W504" s="256">
        <f t="shared" ref="W504:W506" si="1459">+V504*$X$1</f>
        <v>1640</v>
      </c>
      <c r="X504" s="122"/>
      <c r="Y504" s="122"/>
      <c r="Z504" s="122"/>
      <c r="AA504" s="125"/>
      <c r="AB504" s="178"/>
    </row>
    <row r="505" spans="1:33" ht="12.6" customHeight="1" x14ac:dyDescent="0.2">
      <c r="A505" s="17"/>
      <c r="B505" s="666" t="s">
        <v>309</v>
      </c>
      <c r="C505" s="684"/>
      <c r="D505" s="684"/>
      <c r="E505" s="685"/>
      <c r="F505" s="255">
        <v>1420</v>
      </c>
      <c r="G505" s="255">
        <f t="shared" si="1455"/>
        <v>1420</v>
      </c>
      <c r="H505" s="239"/>
      <c r="I505" s="935"/>
      <c r="J505" s="936"/>
      <c r="K505" s="936"/>
      <c r="L505" s="936"/>
      <c r="M505" s="937"/>
      <c r="N505" s="537">
        <v>2020</v>
      </c>
      <c r="O505" s="255">
        <f>+N505*$X$1</f>
        <v>2020</v>
      </c>
      <c r="P505" s="91">
        <v>2010</v>
      </c>
      <c r="Q505" s="255">
        <f t="shared" si="1458"/>
        <v>2010</v>
      </c>
      <c r="R505" s="537">
        <v>1815</v>
      </c>
      <c r="S505" s="255">
        <f>+R505*$X$1</f>
        <v>1815</v>
      </c>
      <c r="T505" s="537">
        <v>1690</v>
      </c>
      <c r="U505" s="255">
        <f>+T505*$X$1</f>
        <v>1690</v>
      </c>
      <c r="V505" s="537">
        <v>1640</v>
      </c>
      <c r="W505" s="255">
        <f t="shared" si="1459"/>
        <v>1640</v>
      </c>
      <c r="X505" s="122"/>
      <c r="Y505" s="122"/>
      <c r="Z505" s="122"/>
      <c r="AA505" s="125"/>
      <c r="AB505" s="178"/>
      <c r="AG505" s="211"/>
    </row>
    <row r="506" spans="1:33" ht="12.6" customHeight="1" x14ac:dyDescent="0.2">
      <c r="A506" s="17"/>
      <c r="B506" s="642" t="s">
        <v>230</v>
      </c>
      <c r="C506" s="643"/>
      <c r="D506" s="643"/>
      <c r="E506" s="643"/>
      <c r="F506" s="327">
        <f>3.11*X2</f>
        <v>4789.3999999999996</v>
      </c>
      <c r="G506" s="256">
        <f>+F506*$X$1</f>
        <v>4789.3999999999996</v>
      </c>
      <c r="H506" s="546"/>
      <c r="I506" s="256"/>
      <c r="J506" s="82">
        <f t="shared" ref="J506" si="1460">F506+280</f>
        <v>5069.3999999999996</v>
      </c>
      <c r="K506" s="256">
        <f t="shared" ref="K506" si="1461">+J506*$X$1</f>
        <v>5069.3999999999996</v>
      </c>
      <c r="L506" s="546">
        <f t="shared" ref="L506" si="1462">F506+210</f>
        <v>4999.3999999999996</v>
      </c>
      <c r="M506" s="256">
        <f t="shared" ref="M506" si="1463">+L506*$X$1</f>
        <v>4999.3999999999996</v>
      </c>
      <c r="N506" s="546">
        <f t="shared" ref="N506" si="1464">F506+160</f>
        <v>4949.3999999999996</v>
      </c>
      <c r="O506" s="256">
        <f t="shared" ref="O506" si="1465">+N506*$X$1</f>
        <v>4949.3999999999996</v>
      </c>
      <c r="P506" s="546">
        <f t="shared" ref="P506" si="1466">F506+130</f>
        <v>4919.3999999999996</v>
      </c>
      <c r="Q506" s="256">
        <f t="shared" si="1458"/>
        <v>4919.3999999999996</v>
      </c>
      <c r="R506" s="546">
        <f t="shared" ref="R506" si="1467">F506+110</f>
        <v>4899.3999999999996</v>
      </c>
      <c r="S506" s="256">
        <f t="shared" ref="S506" si="1468">+R506*$X$1</f>
        <v>4899.3999999999996</v>
      </c>
      <c r="T506" s="546">
        <f t="shared" ref="T506" si="1469">F506+90</f>
        <v>4879.3999999999996</v>
      </c>
      <c r="U506" s="256">
        <f t="shared" ref="U506" si="1470">+T506*$X$1</f>
        <v>4879.3999999999996</v>
      </c>
      <c r="V506" s="546">
        <f t="shared" ref="V506" si="1471">F506+70</f>
        <v>4859.3999999999996</v>
      </c>
      <c r="W506" s="256">
        <f t="shared" si="1459"/>
        <v>4859.3999999999996</v>
      </c>
      <c r="X506" s="628"/>
      <c r="Y506" s="628"/>
      <c r="Z506" s="628"/>
      <c r="AA506" s="629"/>
      <c r="AB506" s="178" t="s">
        <v>231</v>
      </c>
    </row>
    <row r="507" spans="1:33" ht="12.6" customHeight="1" x14ac:dyDescent="0.2">
      <c r="A507" s="17"/>
      <c r="B507" s="630" t="s">
        <v>890</v>
      </c>
      <c r="C507" s="631"/>
      <c r="D507" s="631"/>
      <c r="E507" s="631"/>
      <c r="F507" s="326">
        <f>0.77*X2</f>
        <v>1185.8</v>
      </c>
      <c r="G507" s="255">
        <f>+F507*$X$1</f>
        <v>1185.8</v>
      </c>
      <c r="H507" s="251"/>
      <c r="I507" s="251"/>
      <c r="J507" s="68">
        <f t="shared" ref="J507:J508" si="1472">F507+280</f>
        <v>1465.8</v>
      </c>
      <c r="K507" s="255">
        <f t="shared" ref="K507:K508" si="1473">+J507*$X$1</f>
        <v>1465.8</v>
      </c>
      <c r="L507" s="537">
        <f t="shared" ref="L507:L508" si="1474">F507+210</f>
        <v>1395.8</v>
      </c>
      <c r="M507" s="255">
        <f t="shared" ref="M507:M508" si="1475">+L507*$X$1</f>
        <v>1395.8</v>
      </c>
      <c r="N507" s="537">
        <f t="shared" ref="N507:N508" si="1476">F507+160</f>
        <v>1345.8</v>
      </c>
      <c r="O507" s="255">
        <f t="shared" ref="O507:O508" si="1477">+N507*$X$1</f>
        <v>1345.8</v>
      </c>
      <c r="P507" s="537">
        <f t="shared" ref="P507:P508" si="1478">F507+130</f>
        <v>1315.8</v>
      </c>
      <c r="Q507" s="255">
        <f t="shared" ref="Q507:Q508" si="1479">+P507*$X$1</f>
        <v>1315.8</v>
      </c>
      <c r="R507" s="537">
        <f t="shared" ref="R507:R508" si="1480">F507+110</f>
        <v>1295.8</v>
      </c>
      <c r="S507" s="255">
        <f t="shared" ref="S507:S508" si="1481">+R507*$X$1</f>
        <v>1295.8</v>
      </c>
      <c r="T507" s="537">
        <f t="shared" ref="T507:T508" si="1482">F507+90</f>
        <v>1275.8</v>
      </c>
      <c r="U507" s="255">
        <f t="shared" ref="U507:U508" si="1483">+T507*$X$1</f>
        <v>1275.8</v>
      </c>
      <c r="V507" s="537">
        <f t="shared" ref="V507:V508" si="1484">F507+70</f>
        <v>1255.8</v>
      </c>
      <c r="W507" s="255">
        <f t="shared" ref="W507:W508" si="1485">+V507*$X$1</f>
        <v>1255.8</v>
      </c>
      <c r="X507" s="628"/>
      <c r="Y507" s="628"/>
      <c r="Z507" s="628"/>
      <c r="AA507" s="629"/>
      <c r="AB507" s="178" t="s">
        <v>891</v>
      </c>
    </row>
    <row r="508" spans="1:33" ht="12.6" customHeight="1" x14ac:dyDescent="0.2">
      <c r="A508" s="17"/>
      <c r="B508" s="642" t="s">
        <v>355</v>
      </c>
      <c r="C508" s="643"/>
      <c r="D508" s="643"/>
      <c r="E508" s="643"/>
      <c r="F508" s="327">
        <f>0.843*X2</f>
        <v>1298.22</v>
      </c>
      <c r="G508" s="256">
        <f t="shared" ref="G508" si="1486">+F508*$X$1</f>
        <v>1298.22</v>
      </c>
      <c r="H508" s="250"/>
      <c r="I508" s="250"/>
      <c r="J508" s="82">
        <f t="shared" si="1472"/>
        <v>1578.22</v>
      </c>
      <c r="K508" s="256">
        <f t="shared" si="1473"/>
        <v>1578.22</v>
      </c>
      <c r="L508" s="546">
        <f t="shared" si="1474"/>
        <v>1508.22</v>
      </c>
      <c r="M508" s="256">
        <f t="shared" si="1475"/>
        <v>1508.22</v>
      </c>
      <c r="N508" s="546">
        <f t="shared" si="1476"/>
        <v>1458.22</v>
      </c>
      <c r="O508" s="256">
        <f t="shared" si="1477"/>
        <v>1458.22</v>
      </c>
      <c r="P508" s="546">
        <f t="shared" si="1478"/>
        <v>1428.22</v>
      </c>
      <c r="Q508" s="256">
        <f t="shared" si="1479"/>
        <v>1428.22</v>
      </c>
      <c r="R508" s="546">
        <f t="shared" si="1480"/>
        <v>1408.22</v>
      </c>
      <c r="S508" s="256">
        <f t="shared" si="1481"/>
        <v>1408.22</v>
      </c>
      <c r="T508" s="546">
        <f t="shared" si="1482"/>
        <v>1388.22</v>
      </c>
      <c r="U508" s="256">
        <f t="shared" si="1483"/>
        <v>1388.22</v>
      </c>
      <c r="V508" s="546">
        <f t="shared" si="1484"/>
        <v>1368.22</v>
      </c>
      <c r="W508" s="256">
        <f t="shared" si="1485"/>
        <v>1368.22</v>
      </c>
      <c r="X508" s="628"/>
      <c r="Y508" s="628"/>
      <c r="Z508" s="628"/>
      <c r="AA508" s="629"/>
      <c r="AB508" s="178" t="s">
        <v>383</v>
      </c>
    </row>
    <row r="509" spans="1:33" s="62" customFormat="1" ht="12.6" customHeight="1" x14ac:dyDescent="0.25">
      <c r="A509" s="88"/>
      <c r="B509" s="699" t="s">
        <v>305</v>
      </c>
      <c r="C509" s="938"/>
      <c r="D509" s="938"/>
      <c r="E509" s="938"/>
      <c r="F509" s="255">
        <v>740</v>
      </c>
      <c r="G509" s="255">
        <f t="shared" ref="G509:G514" si="1487">+F509*$X$1</f>
        <v>740</v>
      </c>
      <c r="H509" s="249"/>
      <c r="I509" s="714" t="s">
        <v>447</v>
      </c>
      <c r="J509" s="715"/>
      <c r="K509" s="715"/>
      <c r="L509" s="716"/>
      <c r="M509" s="717"/>
      <c r="N509" s="537">
        <v>1450</v>
      </c>
      <c r="O509" s="255">
        <f t="shared" ref="O509:O514" si="1488">+N509*$X$1</f>
        <v>1450</v>
      </c>
      <c r="P509" s="261">
        <v>1439</v>
      </c>
      <c r="Q509" s="255">
        <f t="shared" ref="Q509:Q514" si="1489">+P509*$X$1</f>
        <v>1439</v>
      </c>
      <c r="R509" s="537">
        <v>1320</v>
      </c>
      <c r="S509" s="255">
        <f t="shared" ref="S509:S514" si="1490">+R509*$X$1</f>
        <v>1320</v>
      </c>
      <c r="T509" s="537">
        <v>1201</v>
      </c>
      <c r="U509" s="255">
        <f t="shared" ref="U509:U514" si="1491">+T509*$X$1</f>
        <v>1201</v>
      </c>
      <c r="V509" s="537">
        <v>1143</v>
      </c>
      <c r="W509" s="255">
        <f t="shared" ref="W509:W514" si="1492">+V509*$X$1</f>
        <v>1143</v>
      </c>
      <c r="X509" s="136"/>
      <c r="Y509" s="136"/>
      <c r="Z509" s="136"/>
      <c r="AA509" s="137"/>
      <c r="AB509" s="362" t="s">
        <v>232</v>
      </c>
    </row>
    <row r="510" spans="1:33" s="62" customFormat="1" ht="12.6" customHeight="1" x14ac:dyDescent="0.25">
      <c r="A510" s="88"/>
      <c r="B510" s="642" t="s">
        <v>306</v>
      </c>
      <c r="C510" s="643"/>
      <c r="D510" s="643"/>
      <c r="E510" s="643"/>
      <c r="F510" s="256">
        <v>740</v>
      </c>
      <c r="G510" s="256">
        <f t="shared" si="1487"/>
        <v>740</v>
      </c>
      <c r="H510" s="253"/>
      <c r="I510" s="718"/>
      <c r="J510" s="719"/>
      <c r="K510" s="719"/>
      <c r="L510" s="720"/>
      <c r="M510" s="721"/>
      <c r="N510" s="546">
        <v>1810</v>
      </c>
      <c r="O510" s="256">
        <f t="shared" si="1488"/>
        <v>1810</v>
      </c>
      <c r="P510" s="260">
        <v>1792</v>
      </c>
      <c r="Q510" s="256">
        <f t="shared" si="1489"/>
        <v>1792</v>
      </c>
      <c r="R510" s="546">
        <v>1710</v>
      </c>
      <c r="S510" s="256">
        <f t="shared" si="1490"/>
        <v>1710</v>
      </c>
      <c r="T510" s="546">
        <v>1640</v>
      </c>
      <c r="U510" s="256">
        <f t="shared" si="1491"/>
        <v>1640</v>
      </c>
      <c r="V510" s="546">
        <v>1560</v>
      </c>
      <c r="W510" s="256">
        <f t="shared" si="1492"/>
        <v>1560</v>
      </c>
      <c r="X510" s="158"/>
      <c r="Y510" s="122"/>
      <c r="Z510" s="122"/>
      <c r="AA510" s="125"/>
      <c r="AB510" s="363"/>
    </row>
    <row r="511" spans="1:33" s="62" customFormat="1" ht="12.6" customHeight="1" x14ac:dyDescent="0.25">
      <c r="A511" s="88"/>
      <c r="B511" s="630" t="s">
        <v>318</v>
      </c>
      <c r="C511" s="631"/>
      <c r="D511" s="631"/>
      <c r="E511" s="631"/>
      <c r="F511" s="255">
        <v>740</v>
      </c>
      <c r="G511" s="255">
        <f t="shared" si="1487"/>
        <v>740</v>
      </c>
      <c r="H511" s="248"/>
      <c r="I511" s="718"/>
      <c r="J511" s="719"/>
      <c r="K511" s="719"/>
      <c r="L511" s="720"/>
      <c r="M511" s="721"/>
      <c r="N511" s="537">
        <v>1450</v>
      </c>
      <c r="O511" s="255">
        <f t="shared" ref="O511:O512" si="1493">+N511*$X$1</f>
        <v>1450</v>
      </c>
      <c r="P511" s="261">
        <v>1439</v>
      </c>
      <c r="Q511" s="255">
        <f t="shared" ref="Q511:Q512" si="1494">+P511*$X$1</f>
        <v>1439</v>
      </c>
      <c r="R511" s="537">
        <v>1320</v>
      </c>
      <c r="S511" s="255">
        <f t="shared" ref="S511:S512" si="1495">+R511*$X$1</f>
        <v>1320</v>
      </c>
      <c r="T511" s="537">
        <v>1201</v>
      </c>
      <c r="U511" s="255">
        <f t="shared" ref="U511:U512" si="1496">+T511*$X$1</f>
        <v>1201</v>
      </c>
      <c r="V511" s="537">
        <v>1143</v>
      </c>
      <c r="W511" s="255">
        <f t="shared" ref="W511:W512" si="1497">+V511*$X$1</f>
        <v>1143</v>
      </c>
      <c r="X511" s="122"/>
      <c r="Y511" s="122"/>
      <c r="Z511" s="122"/>
      <c r="AA511" s="125"/>
      <c r="AB511" s="362" t="s">
        <v>233</v>
      </c>
    </row>
    <row r="512" spans="1:33" s="62" customFormat="1" ht="12" customHeight="1" x14ac:dyDescent="0.25">
      <c r="A512" s="88"/>
      <c r="B512" s="642" t="s">
        <v>319</v>
      </c>
      <c r="C512" s="643"/>
      <c r="D512" s="643"/>
      <c r="E512" s="643"/>
      <c r="F512" s="256">
        <v>740</v>
      </c>
      <c r="G512" s="256">
        <f t="shared" si="1487"/>
        <v>740</v>
      </c>
      <c r="H512" s="253"/>
      <c r="I512" s="718"/>
      <c r="J512" s="719"/>
      <c r="K512" s="719"/>
      <c r="L512" s="720"/>
      <c r="M512" s="721"/>
      <c r="N512" s="546">
        <v>1810</v>
      </c>
      <c r="O512" s="256">
        <f t="shared" si="1493"/>
        <v>1810</v>
      </c>
      <c r="P512" s="260">
        <v>1792</v>
      </c>
      <c r="Q512" s="256">
        <f t="shared" si="1494"/>
        <v>1792</v>
      </c>
      <c r="R512" s="546">
        <v>1710</v>
      </c>
      <c r="S512" s="256">
        <f t="shared" si="1495"/>
        <v>1710</v>
      </c>
      <c r="T512" s="546">
        <v>1640</v>
      </c>
      <c r="U512" s="256">
        <f t="shared" si="1496"/>
        <v>1640</v>
      </c>
      <c r="V512" s="546">
        <v>1560</v>
      </c>
      <c r="W512" s="256">
        <f t="shared" si="1497"/>
        <v>1560</v>
      </c>
      <c r="X512" s="136"/>
      <c r="Y512" s="136"/>
      <c r="Z512" s="122"/>
      <c r="AA512" s="125"/>
      <c r="AB512" s="363"/>
    </row>
    <row r="513" spans="1:31" s="62" customFormat="1" ht="12.6" customHeight="1" x14ac:dyDescent="0.25">
      <c r="A513" s="88"/>
      <c r="B513" s="630" t="s">
        <v>234</v>
      </c>
      <c r="C513" s="631"/>
      <c r="D513" s="631"/>
      <c r="E513" s="631"/>
      <c r="F513" s="255">
        <v>740</v>
      </c>
      <c r="G513" s="255">
        <f t="shared" si="1487"/>
        <v>740</v>
      </c>
      <c r="H513" s="248"/>
      <c r="I513" s="722"/>
      <c r="J513" s="723"/>
      <c r="K513" s="723"/>
      <c r="L513" s="720"/>
      <c r="M513" s="721"/>
      <c r="N513" s="537">
        <v>1630</v>
      </c>
      <c r="O513" s="255">
        <f t="shared" ref="O513" si="1498">+N513*$X$1</f>
        <v>1630</v>
      </c>
      <c r="P513" s="261">
        <v>1620</v>
      </c>
      <c r="Q513" s="255">
        <f t="shared" ref="Q513" si="1499">+P513*$X$1</f>
        <v>1620</v>
      </c>
      <c r="R513" s="537">
        <v>1455</v>
      </c>
      <c r="S513" s="255">
        <f t="shared" ref="S513" si="1500">+R513*$X$1</f>
        <v>1455</v>
      </c>
      <c r="T513" s="537">
        <v>1350</v>
      </c>
      <c r="U513" s="255">
        <f t="shared" ref="U513" si="1501">+T513*$X$1</f>
        <v>1350</v>
      </c>
      <c r="V513" s="537">
        <v>1270</v>
      </c>
      <c r="W513" s="255">
        <f t="shared" ref="W513" si="1502">+V513*$X$1</f>
        <v>1270</v>
      </c>
      <c r="X513" s="122"/>
      <c r="Y513" s="122"/>
      <c r="Z513" s="122"/>
      <c r="AA513" s="125"/>
      <c r="AB513" s="362" t="s">
        <v>235</v>
      </c>
      <c r="AE513" s="219"/>
    </row>
    <row r="514" spans="1:31" s="62" customFormat="1" ht="12.6" customHeight="1" x14ac:dyDescent="0.25">
      <c r="A514" s="88"/>
      <c r="B514" s="642" t="s">
        <v>236</v>
      </c>
      <c r="C514" s="643"/>
      <c r="D514" s="643"/>
      <c r="E514" s="643"/>
      <c r="F514" s="256">
        <v>740</v>
      </c>
      <c r="G514" s="256">
        <f t="shared" si="1487"/>
        <v>740</v>
      </c>
      <c r="H514" s="253"/>
      <c r="I514" s="724"/>
      <c r="J514" s="725"/>
      <c r="K514" s="725"/>
      <c r="L514" s="725"/>
      <c r="M514" s="726"/>
      <c r="N514" s="546">
        <v>1990</v>
      </c>
      <c r="O514" s="256">
        <f t="shared" si="1488"/>
        <v>1990</v>
      </c>
      <c r="P514" s="260">
        <v>1970</v>
      </c>
      <c r="Q514" s="256">
        <f t="shared" si="1489"/>
        <v>1970</v>
      </c>
      <c r="R514" s="546">
        <v>1890</v>
      </c>
      <c r="S514" s="256">
        <f t="shared" si="1490"/>
        <v>1890</v>
      </c>
      <c r="T514" s="546">
        <v>1824</v>
      </c>
      <c r="U514" s="256">
        <f t="shared" si="1491"/>
        <v>1824</v>
      </c>
      <c r="V514" s="546">
        <v>1736</v>
      </c>
      <c r="W514" s="256">
        <f t="shared" si="1492"/>
        <v>1736</v>
      </c>
      <c r="X514" s="122"/>
      <c r="Y514" s="122"/>
      <c r="Z514" s="122"/>
      <c r="AA514" s="125"/>
      <c r="AB514" s="362" t="s">
        <v>237</v>
      </c>
    </row>
    <row r="515" spans="1:31" ht="12.6" customHeight="1" x14ac:dyDescent="0.2">
      <c r="A515" s="17"/>
      <c r="B515" s="666" t="s">
        <v>238</v>
      </c>
      <c r="C515" s="684"/>
      <c r="D515" s="684"/>
      <c r="E515" s="685"/>
      <c r="F515" s="326">
        <f>2.98*X2</f>
        <v>4589.2</v>
      </c>
      <c r="G515" s="255">
        <f t="shared" ref="G515" si="1503">+F515*$X$1</f>
        <v>4589.2</v>
      </c>
      <c r="H515" s="517">
        <f t="shared" ref="H515" si="1504">F515+600</f>
        <v>5189.2</v>
      </c>
      <c r="I515" s="255">
        <f t="shared" ref="I515" si="1505">+H515*$X$1</f>
        <v>5189.2</v>
      </c>
      <c r="J515" s="517">
        <f t="shared" ref="J515" si="1506">F515+200</f>
        <v>4789.2</v>
      </c>
      <c r="K515" s="255">
        <f t="shared" ref="K515" si="1507">+J515*$X$1</f>
        <v>4789.2</v>
      </c>
      <c r="L515" s="517">
        <f>F515+150</f>
        <v>4739.2</v>
      </c>
      <c r="M515" s="255">
        <f t="shared" ref="M515" si="1508">+L515*$X$1</f>
        <v>4739.2</v>
      </c>
      <c r="N515" s="517">
        <f>F515+110</f>
        <v>4699.2</v>
      </c>
      <c r="O515" s="255">
        <f>+N515*$X$1</f>
        <v>4699.2</v>
      </c>
      <c r="P515" s="517">
        <f>F515+90</f>
        <v>4679.2</v>
      </c>
      <c r="Q515" s="255">
        <f t="shared" ref="Q515" si="1509">+P515*$X$1</f>
        <v>4679.2</v>
      </c>
      <c r="R515" s="517">
        <f>F515+70</f>
        <v>4659.2</v>
      </c>
      <c r="S515" s="255">
        <f>+R515*$X$1</f>
        <v>4659.2</v>
      </c>
      <c r="T515" s="517">
        <f>F515+56</f>
        <v>4645.2</v>
      </c>
      <c r="U515" s="255">
        <f t="shared" ref="U515" si="1510">+T515*$X$1</f>
        <v>4645.2</v>
      </c>
      <c r="V515" s="517">
        <f>F515+49</f>
        <v>4638.2</v>
      </c>
      <c r="W515" s="255">
        <f t="shared" ref="W515" si="1511">+V515*$X$1</f>
        <v>4638.2</v>
      </c>
      <c r="X515" s="636"/>
      <c r="Y515" s="636"/>
      <c r="Z515" s="636"/>
      <c r="AA515" s="637"/>
      <c r="AB515" s="178" t="s">
        <v>239</v>
      </c>
    </row>
    <row r="516" spans="1:31" ht="12.6" customHeight="1" x14ac:dyDescent="0.2">
      <c r="A516" s="17"/>
      <c r="B516" s="639" t="s">
        <v>701</v>
      </c>
      <c r="C516" s="649"/>
      <c r="D516" s="649"/>
      <c r="E516" s="650"/>
      <c r="F516" s="290">
        <v>3808</v>
      </c>
      <c r="G516" s="256">
        <f t="shared" ref="G516" si="1512">+F516*$X$1</f>
        <v>3808</v>
      </c>
      <c r="H516" s="546"/>
      <c r="I516" s="256"/>
      <c r="J516" s="546">
        <f t="shared" ref="J516" si="1513">F516+200</f>
        <v>4008</v>
      </c>
      <c r="K516" s="256">
        <f t="shared" ref="K516" si="1514">+J516*$X$1</f>
        <v>4008</v>
      </c>
      <c r="L516" s="546">
        <f>F516+150</f>
        <v>3958</v>
      </c>
      <c r="M516" s="256">
        <f t="shared" ref="M516" si="1515">+L516*$X$1</f>
        <v>3958</v>
      </c>
      <c r="N516" s="546">
        <f>F516+110</f>
        <v>3918</v>
      </c>
      <c r="O516" s="256">
        <f t="shared" ref="O516:O525" si="1516">+N516*$X$1</f>
        <v>3918</v>
      </c>
      <c r="P516" s="546">
        <f>F516+90</f>
        <v>3898</v>
      </c>
      <c r="Q516" s="256">
        <f t="shared" ref="Q516" si="1517">+P516*$X$1</f>
        <v>3898</v>
      </c>
      <c r="R516" s="546">
        <f>F516+70</f>
        <v>3878</v>
      </c>
      <c r="S516" s="256">
        <f t="shared" ref="S516:S525" si="1518">+R516*$X$1</f>
        <v>3878</v>
      </c>
      <c r="T516" s="546">
        <f>F516+56</f>
        <v>3864</v>
      </c>
      <c r="U516" s="256">
        <f t="shared" ref="U516" si="1519">+T516*$X$1</f>
        <v>3864</v>
      </c>
      <c r="V516" s="546">
        <f>F516+49</f>
        <v>3857</v>
      </c>
      <c r="W516" s="256">
        <f t="shared" ref="W516" si="1520">+V516*$X$1</f>
        <v>3857</v>
      </c>
      <c r="X516" s="636"/>
      <c r="Y516" s="636"/>
      <c r="Z516" s="636"/>
      <c r="AA516" s="637"/>
      <c r="AB516" s="178" t="s">
        <v>700</v>
      </c>
    </row>
    <row r="517" spans="1:31" ht="12.6" customHeight="1" x14ac:dyDescent="0.2">
      <c r="A517" s="17"/>
      <c r="B517" s="666" t="s">
        <v>344</v>
      </c>
      <c r="C517" s="684"/>
      <c r="D517" s="684"/>
      <c r="E517" s="685"/>
      <c r="F517" s="326">
        <f>0.71*X2</f>
        <v>1093.3999999999999</v>
      </c>
      <c r="G517" s="255">
        <f t="shared" ref="G517:G518" si="1521">+F517*$X$1</f>
        <v>1093.3999999999999</v>
      </c>
      <c r="H517" s="537">
        <f t="shared" ref="H517:H518" si="1522">F517+600</f>
        <v>1693.3999999999999</v>
      </c>
      <c r="I517" s="255">
        <f t="shared" ref="I517:I518" si="1523">+H517*$X$1</f>
        <v>1693.3999999999999</v>
      </c>
      <c r="J517" s="537">
        <f t="shared" ref="J517:J518" si="1524">F517+200</f>
        <v>1293.3999999999999</v>
      </c>
      <c r="K517" s="255">
        <f t="shared" ref="K517:K518" si="1525">+J517*$X$1</f>
        <v>1293.3999999999999</v>
      </c>
      <c r="L517" s="537">
        <f>F517+150</f>
        <v>1243.3999999999999</v>
      </c>
      <c r="M517" s="255">
        <f t="shared" ref="M517:M518" si="1526">+L517*$X$1</f>
        <v>1243.3999999999999</v>
      </c>
      <c r="N517" s="537">
        <f>F517+110</f>
        <v>1203.3999999999999</v>
      </c>
      <c r="O517" s="255">
        <f t="shared" si="1516"/>
        <v>1203.3999999999999</v>
      </c>
      <c r="P517" s="537">
        <f>F517+90</f>
        <v>1183.3999999999999</v>
      </c>
      <c r="Q517" s="255">
        <f t="shared" ref="Q517:Q518" si="1527">+P517*$X$1</f>
        <v>1183.3999999999999</v>
      </c>
      <c r="R517" s="537">
        <f>F517+70</f>
        <v>1163.3999999999999</v>
      </c>
      <c r="S517" s="255">
        <f t="shared" si="1518"/>
        <v>1163.3999999999999</v>
      </c>
      <c r="T517" s="537">
        <f>F517+56</f>
        <v>1149.3999999999999</v>
      </c>
      <c r="U517" s="255">
        <f t="shared" ref="U517:U518" si="1528">+T517*$X$1</f>
        <v>1149.3999999999999</v>
      </c>
      <c r="V517" s="537">
        <f>F517+49</f>
        <v>1142.3999999999999</v>
      </c>
      <c r="W517" s="255">
        <f t="shared" ref="W517:W518" si="1529">+V517*$X$1</f>
        <v>1142.3999999999999</v>
      </c>
      <c r="X517" s="636"/>
      <c r="Y517" s="638"/>
      <c r="Z517" s="638"/>
      <c r="AA517" s="637"/>
      <c r="AB517" s="178" t="s">
        <v>377</v>
      </c>
    </row>
    <row r="518" spans="1:31" ht="12.6" customHeight="1" x14ac:dyDescent="0.2">
      <c r="A518" s="17"/>
      <c r="B518" s="639" t="s">
        <v>796</v>
      </c>
      <c r="C518" s="649"/>
      <c r="D518" s="649"/>
      <c r="E518" s="650"/>
      <c r="F518" s="327">
        <f>2.7*X2</f>
        <v>4158</v>
      </c>
      <c r="G518" s="256">
        <f t="shared" si="1521"/>
        <v>4158</v>
      </c>
      <c r="H518" s="546">
        <f t="shared" si="1522"/>
        <v>4758</v>
      </c>
      <c r="I518" s="256">
        <f t="shared" si="1523"/>
        <v>4758</v>
      </c>
      <c r="J518" s="546">
        <f t="shared" si="1524"/>
        <v>4358</v>
      </c>
      <c r="K518" s="256">
        <f t="shared" si="1525"/>
        <v>4358</v>
      </c>
      <c r="L518" s="546">
        <f>F518+150</f>
        <v>4308</v>
      </c>
      <c r="M518" s="256">
        <f t="shared" si="1526"/>
        <v>4308</v>
      </c>
      <c r="N518" s="546">
        <f>F518+110</f>
        <v>4268</v>
      </c>
      <c r="O518" s="256">
        <f t="shared" si="1516"/>
        <v>4268</v>
      </c>
      <c r="P518" s="546">
        <f>F518+90</f>
        <v>4248</v>
      </c>
      <c r="Q518" s="256">
        <f t="shared" si="1527"/>
        <v>4248</v>
      </c>
      <c r="R518" s="546">
        <f>F518+70</f>
        <v>4228</v>
      </c>
      <c r="S518" s="256">
        <f t="shared" si="1518"/>
        <v>4228</v>
      </c>
      <c r="T518" s="546">
        <f>F518+56</f>
        <v>4214</v>
      </c>
      <c r="U518" s="256">
        <f t="shared" si="1528"/>
        <v>4214</v>
      </c>
      <c r="V518" s="546">
        <f>F518+49</f>
        <v>4207</v>
      </c>
      <c r="W518" s="256">
        <f t="shared" si="1529"/>
        <v>4207</v>
      </c>
      <c r="X518" s="636"/>
      <c r="Y518" s="636"/>
      <c r="Z518" s="636"/>
      <c r="AA518" s="637"/>
      <c r="AB518" s="178" t="s">
        <v>728</v>
      </c>
    </row>
    <row r="519" spans="1:31" ht="12.6" customHeight="1" x14ac:dyDescent="0.2">
      <c r="A519" s="17"/>
      <c r="B519" s="699" t="s">
        <v>240</v>
      </c>
      <c r="C519" s="700"/>
      <c r="D519" s="700"/>
      <c r="E519" s="700"/>
      <c r="F519" s="270">
        <v>4011</v>
      </c>
      <c r="G519" s="255">
        <f t="shared" ref="G519:G522" si="1530">+F519*$X$1</f>
        <v>4011</v>
      </c>
      <c r="H519" s="251"/>
      <c r="I519" s="302"/>
      <c r="J519" s="537">
        <f>F519+66</f>
        <v>4077</v>
      </c>
      <c r="K519" s="255"/>
      <c r="L519" s="537">
        <f t="shared" ref="L519:L525" si="1531">F519+400</f>
        <v>4411</v>
      </c>
      <c r="M519" s="255">
        <f t="shared" ref="M519:M540" si="1532">+L519*$X$1</f>
        <v>4411</v>
      </c>
      <c r="N519" s="537">
        <f t="shared" ref="N519:N525" si="1533">F519+350</f>
        <v>4361</v>
      </c>
      <c r="O519" s="255">
        <f t="shared" si="1516"/>
        <v>4361</v>
      </c>
      <c r="P519" s="537">
        <f t="shared" ref="P519:P525" si="1534">F519+310</f>
        <v>4321</v>
      </c>
      <c r="Q519" s="255">
        <f t="shared" ref="Q519:Q525" si="1535">+P519*$X$1</f>
        <v>4321</v>
      </c>
      <c r="R519" s="537">
        <f t="shared" ref="R519:R525" si="1536">F519+280</f>
        <v>4291</v>
      </c>
      <c r="S519" s="255">
        <f t="shared" si="1518"/>
        <v>4291</v>
      </c>
      <c r="T519" s="537">
        <f t="shared" ref="T519:T525" si="1537">F519+240</f>
        <v>4251</v>
      </c>
      <c r="U519" s="255">
        <f t="shared" ref="U519:U525" si="1538">+T519*$X$1</f>
        <v>4251</v>
      </c>
      <c r="V519" s="537">
        <f t="shared" ref="V519:V525" si="1539">F519+220</f>
        <v>4231</v>
      </c>
      <c r="W519" s="255">
        <f t="shared" ref="W519:W525" si="1540">+V519*$X$1</f>
        <v>4231</v>
      </c>
      <c r="X519" s="133"/>
      <c r="Y519" s="119"/>
      <c r="Z519" s="119"/>
      <c r="AA519" s="119"/>
      <c r="AB519" s="178" t="s">
        <v>241</v>
      </c>
    </row>
    <row r="520" spans="1:31" ht="12.6" customHeight="1" x14ac:dyDescent="0.2">
      <c r="A520" s="17"/>
      <c r="B520" s="642" t="s">
        <v>242</v>
      </c>
      <c r="C520" s="643"/>
      <c r="D520" s="643"/>
      <c r="E520" s="643"/>
      <c r="F520" s="256">
        <v>5592</v>
      </c>
      <c r="G520" s="256">
        <f t="shared" si="1530"/>
        <v>5592</v>
      </c>
      <c r="H520" s="250"/>
      <c r="I520" s="303"/>
      <c r="J520" s="546">
        <f>F520+66</f>
        <v>5658</v>
      </c>
      <c r="K520" s="256"/>
      <c r="L520" s="546">
        <f t="shared" si="1531"/>
        <v>5992</v>
      </c>
      <c r="M520" s="256">
        <f t="shared" si="1532"/>
        <v>5992</v>
      </c>
      <c r="N520" s="546">
        <f t="shared" si="1533"/>
        <v>5942</v>
      </c>
      <c r="O520" s="256">
        <f t="shared" si="1516"/>
        <v>5942</v>
      </c>
      <c r="P520" s="546">
        <f t="shared" si="1534"/>
        <v>5902</v>
      </c>
      <c r="Q520" s="256">
        <f t="shared" si="1535"/>
        <v>5902</v>
      </c>
      <c r="R520" s="546">
        <f t="shared" si="1536"/>
        <v>5872</v>
      </c>
      <c r="S520" s="256">
        <f t="shared" si="1518"/>
        <v>5872</v>
      </c>
      <c r="T520" s="546">
        <f t="shared" si="1537"/>
        <v>5832</v>
      </c>
      <c r="U520" s="256">
        <f t="shared" si="1538"/>
        <v>5832</v>
      </c>
      <c r="V520" s="546">
        <f t="shared" si="1539"/>
        <v>5812</v>
      </c>
      <c r="W520" s="256">
        <f t="shared" si="1540"/>
        <v>5812</v>
      </c>
      <c r="X520" s="133"/>
      <c r="Y520" s="119"/>
      <c r="Z520" s="119"/>
      <c r="AA520" s="119"/>
      <c r="AB520" s="361"/>
    </row>
    <row r="521" spans="1:31" ht="12.6" customHeight="1" x14ac:dyDescent="0.2">
      <c r="A521" s="17"/>
      <c r="B521" s="630" t="s">
        <v>243</v>
      </c>
      <c r="C521" s="631"/>
      <c r="D521" s="631"/>
      <c r="E521" s="631"/>
      <c r="F521" s="255">
        <v>4390</v>
      </c>
      <c r="G521" s="255">
        <f t="shared" si="1530"/>
        <v>4390</v>
      </c>
      <c r="H521" s="251"/>
      <c r="I521" s="302"/>
      <c r="J521" s="537">
        <f>F521+80</f>
        <v>4470</v>
      </c>
      <c r="K521" s="255"/>
      <c r="L521" s="537">
        <f t="shared" si="1531"/>
        <v>4790</v>
      </c>
      <c r="M521" s="255">
        <f t="shared" si="1532"/>
        <v>4790</v>
      </c>
      <c r="N521" s="537">
        <f t="shared" si="1533"/>
        <v>4740</v>
      </c>
      <c r="O521" s="255">
        <f t="shared" si="1516"/>
        <v>4740</v>
      </c>
      <c r="P521" s="537">
        <f t="shared" si="1534"/>
        <v>4700</v>
      </c>
      <c r="Q521" s="255">
        <f t="shared" si="1535"/>
        <v>4700</v>
      </c>
      <c r="R521" s="537">
        <f t="shared" si="1536"/>
        <v>4670</v>
      </c>
      <c r="S521" s="255">
        <f t="shared" si="1518"/>
        <v>4670</v>
      </c>
      <c r="T521" s="537">
        <f t="shared" si="1537"/>
        <v>4630</v>
      </c>
      <c r="U521" s="255">
        <f t="shared" si="1538"/>
        <v>4630</v>
      </c>
      <c r="V521" s="537">
        <f t="shared" si="1539"/>
        <v>4610</v>
      </c>
      <c r="W521" s="255">
        <f t="shared" si="1540"/>
        <v>4610</v>
      </c>
      <c r="X521" s="133"/>
      <c r="Y521" s="119"/>
      <c r="Z521" s="119"/>
      <c r="AA521" s="119"/>
      <c r="AB521" s="178" t="s">
        <v>244</v>
      </c>
    </row>
    <row r="522" spans="1:31" ht="12.6" customHeight="1" x14ac:dyDescent="0.2">
      <c r="A522" s="17"/>
      <c r="B522" s="642" t="s">
        <v>245</v>
      </c>
      <c r="C522" s="643"/>
      <c r="D522" s="643"/>
      <c r="E522" s="643"/>
      <c r="F522" s="256">
        <v>6160</v>
      </c>
      <c r="G522" s="256">
        <f t="shared" si="1530"/>
        <v>6160</v>
      </c>
      <c r="H522" s="250"/>
      <c r="I522" s="303"/>
      <c r="J522" s="546">
        <f>F522+80</f>
        <v>6240</v>
      </c>
      <c r="K522" s="256"/>
      <c r="L522" s="546">
        <f t="shared" si="1531"/>
        <v>6560</v>
      </c>
      <c r="M522" s="256">
        <f t="shared" si="1532"/>
        <v>6560</v>
      </c>
      <c r="N522" s="546">
        <f t="shared" si="1533"/>
        <v>6510</v>
      </c>
      <c r="O522" s="256">
        <f t="shared" si="1516"/>
        <v>6510</v>
      </c>
      <c r="P522" s="546">
        <f t="shared" si="1534"/>
        <v>6470</v>
      </c>
      <c r="Q522" s="256">
        <f t="shared" si="1535"/>
        <v>6470</v>
      </c>
      <c r="R522" s="546">
        <f t="shared" si="1536"/>
        <v>6440</v>
      </c>
      <c r="S522" s="256">
        <f t="shared" si="1518"/>
        <v>6440</v>
      </c>
      <c r="T522" s="546">
        <f t="shared" si="1537"/>
        <v>6400</v>
      </c>
      <c r="U522" s="256">
        <f t="shared" si="1538"/>
        <v>6400</v>
      </c>
      <c r="V522" s="546">
        <f t="shared" si="1539"/>
        <v>6380</v>
      </c>
      <c r="W522" s="256">
        <f t="shared" si="1540"/>
        <v>6380</v>
      </c>
      <c r="X522" s="133"/>
      <c r="Y522" s="119"/>
      <c r="Z522" s="119"/>
      <c r="AA522" s="119"/>
      <c r="AB522" s="361"/>
    </row>
    <row r="523" spans="1:31" ht="12.6" customHeight="1" x14ac:dyDescent="0.2">
      <c r="A523" s="17"/>
      <c r="B523" s="630" t="s">
        <v>800</v>
      </c>
      <c r="C523" s="631"/>
      <c r="D523" s="631"/>
      <c r="E523" s="631"/>
      <c r="F523" s="291">
        <v>12490</v>
      </c>
      <c r="G523" s="255">
        <f t="shared" ref="G523" si="1541">+F523*$X$1</f>
        <v>12490</v>
      </c>
      <c r="H523" s="251"/>
      <c r="I523" s="302"/>
      <c r="J523" s="537">
        <f>F523+430</f>
        <v>12920</v>
      </c>
      <c r="K523" s="255">
        <f t="shared" ref="K523" si="1542">+J523*$X$1</f>
        <v>12920</v>
      </c>
      <c r="L523" s="537">
        <f t="shared" si="1531"/>
        <v>12890</v>
      </c>
      <c r="M523" s="255">
        <f t="shared" si="1532"/>
        <v>12890</v>
      </c>
      <c r="N523" s="537">
        <f t="shared" si="1533"/>
        <v>12840</v>
      </c>
      <c r="O523" s="255">
        <f t="shared" si="1516"/>
        <v>12840</v>
      </c>
      <c r="P523" s="537">
        <f t="shared" si="1534"/>
        <v>12800</v>
      </c>
      <c r="Q523" s="255">
        <f t="shared" si="1535"/>
        <v>12800</v>
      </c>
      <c r="R523" s="537">
        <f t="shared" si="1536"/>
        <v>12770</v>
      </c>
      <c r="S523" s="255">
        <f t="shared" si="1518"/>
        <v>12770</v>
      </c>
      <c r="T523" s="537">
        <f t="shared" si="1537"/>
        <v>12730</v>
      </c>
      <c r="U523" s="255">
        <f t="shared" si="1538"/>
        <v>12730</v>
      </c>
      <c r="V523" s="537">
        <f t="shared" si="1539"/>
        <v>12710</v>
      </c>
      <c r="W523" s="255">
        <f t="shared" si="1540"/>
        <v>12710</v>
      </c>
      <c r="X523" s="133"/>
      <c r="Y523" s="119"/>
      <c r="Z523" s="119"/>
      <c r="AA523" s="119"/>
      <c r="AB523" s="178" t="s">
        <v>801</v>
      </c>
    </row>
    <row r="524" spans="1:31" ht="12.6" customHeight="1" x14ac:dyDescent="0.2">
      <c r="A524" s="17"/>
      <c r="B524" s="642" t="s">
        <v>574</v>
      </c>
      <c r="C524" s="643"/>
      <c r="D524" s="643"/>
      <c r="E524" s="643"/>
      <c r="F524" s="256">
        <v>5790</v>
      </c>
      <c r="G524" s="256">
        <f>+F524*$X$1</f>
        <v>5790</v>
      </c>
      <c r="H524" s="250"/>
      <c r="I524" s="303"/>
      <c r="J524" s="546">
        <f>F524+66</f>
        <v>5856</v>
      </c>
      <c r="K524" s="256"/>
      <c r="L524" s="546">
        <f t="shared" si="1531"/>
        <v>6190</v>
      </c>
      <c r="M524" s="256">
        <f t="shared" si="1532"/>
        <v>6190</v>
      </c>
      <c r="N524" s="546">
        <f t="shared" si="1533"/>
        <v>6140</v>
      </c>
      <c r="O524" s="256">
        <f t="shared" si="1516"/>
        <v>6140</v>
      </c>
      <c r="P524" s="546">
        <f t="shared" si="1534"/>
        <v>6100</v>
      </c>
      <c r="Q524" s="256">
        <f t="shared" si="1535"/>
        <v>6100</v>
      </c>
      <c r="R524" s="546">
        <f t="shared" si="1536"/>
        <v>6070</v>
      </c>
      <c r="S524" s="256">
        <f t="shared" si="1518"/>
        <v>6070</v>
      </c>
      <c r="T524" s="546">
        <f t="shared" si="1537"/>
        <v>6030</v>
      </c>
      <c r="U524" s="256">
        <f t="shared" si="1538"/>
        <v>6030</v>
      </c>
      <c r="V524" s="546">
        <f t="shared" si="1539"/>
        <v>6010</v>
      </c>
      <c r="W524" s="256">
        <f t="shared" si="1540"/>
        <v>6010</v>
      </c>
      <c r="X524" s="133"/>
      <c r="Y524" s="119"/>
      <c r="Z524" s="119"/>
      <c r="AA524" s="119"/>
      <c r="AB524" s="178" t="s">
        <v>246</v>
      </c>
    </row>
    <row r="525" spans="1:31" ht="12.6" customHeight="1" x14ac:dyDescent="0.2">
      <c r="A525" s="17"/>
      <c r="B525" s="630" t="s">
        <v>575</v>
      </c>
      <c r="C525" s="631"/>
      <c r="D525" s="631"/>
      <c r="E525" s="631"/>
      <c r="F525" s="255">
        <v>6310</v>
      </c>
      <c r="G525" s="255">
        <f>+F525*$X$1</f>
        <v>6310</v>
      </c>
      <c r="H525" s="251"/>
      <c r="I525" s="302"/>
      <c r="J525" s="537">
        <f>F525+80</f>
        <v>6390</v>
      </c>
      <c r="K525" s="255"/>
      <c r="L525" s="537">
        <f t="shared" si="1531"/>
        <v>6710</v>
      </c>
      <c r="M525" s="255">
        <f t="shared" si="1532"/>
        <v>6710</v>
      </c>
      <c r="N525" s="537">
        <f t="shared" si="1533"/>
        <v>6660</v>
      </c>
      <c r="O525" s="255">
        <f t="shared" si="1516"/>
        <v>6660</v>
      </c>
      <c r="P525" s="537">
        <f t="shared" si="1534"/>
        <v>6620</v>
      </c>
      <c r="Q525" s="255">
        <f t="shared" si="1535"/>
        <v>6620</v>
      </c>
      <c r="R525" s="537">
        <f t="shared" si="1536"/>
        <v>6590</v>
      </c>
      <c r="S525" s="255">
        <f t="shared" si="1518"/>
        <v>6590</v>
      </c>
      <c r="T525" s="537">
        <f t="shared" si="1537"/>
        <v>6550</v>
      </c>
      <c r="U525" s="255">
        <f t="shared" si="1538"/>
        <v>6550</v>
      </c>
      <c r="V525" s="537">
        <f t="shared" si="1539"/>
        <v>6530</v>
      </c>
      <c r="W525" s="255">
        <f t="shared" si="1540"/>
        <v>6530</v>
      </c>
      <c r="X525" s="133"/>
      <c r="Y525" s="119"/>
      <c r="Z525" s="119"/>
      <c r="AA525" s="119"/>
      <c r="AB525" s="178" t="s">
        <v>247</v>
      </c>
    </row>
    <row r="526" spans="1:31" ht="12.6" customHeight="1" x14ac:dyDescent="0.25">
      <c r="A526" s="17"/>
      <c r="B526" s="642" t="s">
        <v>294</v>
      </c>
      <c r="C526" s="643"/>
      <c r="D526" s="643"/>
      <c r="E526" s="643"/>
      <c r="F526" s="256">
        <v>6050</v>
      </c>
      <c r="G526" s="256">
        <f>+F526*$X$1</f>
        <v>6050</v>
      </c>
      <c r="H526" s="546">
        <f t="shared" ref="H526:H530" si="1543">F526+600</f>
        <v>6650</v>
      </c>
      <c r="I526" s="256">
        <f t="shared" ref="I526:I532" si="1544">+H526*$X$1</f>
        <v>6650</v>
      </c>
      <c r="J526" s="546">
        <f t="shared" ref="J526:J531" si="1545">F526+410</f>
        <v>6460</v>
      </c>
      <c r="K526" s="256">
        <f t="shared" ref="K526" si="1546">+J526*$X$1</f>
        <v>6460</v>
      </c>
      <c r="L526" s="546">
        <f t="shared" ref="L526:L531" si="1547">F526+360</f>
        <v>6410</v>
      </c>
      <c r="M526" s="256">
        <f t="shared" si="1532"/>
        <v>6410</v>
      </c>
      <c r="N526" s="546">
        <f t="shared" ref="N526:N531" si="1548">F526+320</f>
        <v>6370</v>
      </c>
      <c r="O526" s="256">
        <f t="shared" ref="O526" si="1549">+N526*$X$1</f>
        <v>6370</v>
      </c>
      <c r="P526" s="546">
        <f t="shared" ref="P526:P531" si="1550">F526+290</f>
        <v>6340</v>
      </c>
      <c r="Q526" s="256">
        <f t="shared" ref="Q526" si="1551">+P526*$X$1</f>
        <v>6340</v>
      </c>
      <c r="R526" s="546">
        <f t="shared" ref="R526:R531" si="1552">F526+270</f>
        <v>6320</v>
      </c>
      <c r="S526" s="256">
        <f t="shared" ref="S526" si="1553">+R526*$X$1</f>
        <v>6320</v>
      </c>
      <c r="T526" s="546">
        <f t="shared" ref="T526:T531" si="1554">F526+230</f>
        <v>6280</v>
      </c>
      <c r="U526" s="256">
        <f t="shared" ref="U526" si="1555">+T526*$X$1</f>
        <v>6280</v>
      </c>
      <c r="V526" s="546">
        <f t="shared" ref="V526:V531" si="1556">F526+210</f>
        <v>6260</v>
      </c>
      <c r="W526" s="256">
        <f t="shared" ref="W526" si="1557">+V526*$X$1</f>
        <v>6260</v>
      </c>
      <c r="X526" s="710"/>
      <c r="Y526" s="711"/>
      <c r="Z526" s="711"/>
      <c r="AA526" s="711"/>
      <c r="AB526" s="178" t="s">
        <v>248</v>
      </c>
    </row>
    <row r="527" spans="1:31" ht="12.6" customHeight="1" x14ac:dyDescent="0.25">
      <c r="A527" s="17"/>
      <c r="B527" s="898" t="s">
        <v>455</v>
      </c>
      <c r="C527" s="684"/>
      <c r="D527" s="684"/>
      <c r="E527" s="685"/>
      <c r="F527" s="255">
        <v>4290</v>
      </c>
      <c r="G527" s="255">
        <f t="shared" ref="G527" si="1558">+F527*$X$1</f>
        <v>4290</v>
      </c>
      <c r="H527" s="537">
        <f t="shared" si="1543"/>
        <v>4890</v>
      </c>
      <c r="I527" s="255">
        <f t="shared" ref="I527:I530" si="1559">+H527*$X$1</f>
        <v>4890</v>
      </c>
      <c r="J527" s="537">
        <f t="shared" si="1545"/>
        <v>4700</v>
      </c>
      <c r="K527" s="255">
        <f t="shared" ref="K527:K538" si="1560">+J527*$X$1</f>
        <v>4700</v>
      </c>
      <c r="L527" s="537">
        <f t="shared" si="1547"/>
        <v>4650</v>
      </c>
      <c r="M527" s="255">
        <f t="shared" si="1532"/>
        <v>4650</v>
      </c>
      <c r="N527" s="537">
        <f t="shared" si="1548"/>
        <v>4610</v>
      </c>
      <c r="O527" s="255">
        <f t="shared" ref="O527:O531" si="1561">+N527*$X$1</f>
        <v>4610</v>
      </c>
      <c r="P527" s="537">
        <f t="shared" si="1550"/>
        <v>4580</v>
      </c>
      <c r="Q527" s="255">
        <f t="shared" ref="Q527:Q531" si="1562">+P527*$X$1</f>
        <v>4580</v>
      </c>
      <c r="R527" s="537">
        <f t="shared" si="1552"/>
        <v>4560</v>
      </c>
      <c r="S527" s="255">
        <f t="shared" ref="S527:S531" si="1563">+R527*$X$1</f>
        <v>4560</v>
      </c>
      <c r="T527" s="537">
        <f t="shared" si="1554"/>
        <v>4520</v>
      </c>
      <c r="U527" s="255">
        <f t="shared" ref="U527:U531" si="1564">+T527*$X$1</f>
        <v>4520</v>
      </c>
      <c r="V527" s="537">
        <f t="shared" si="1556"/>
        <v>4500</v>
      </c>
      <c r="W527" s="255">
        <f t="shared" ref="W527:W531" si="1565">+V527*$X$1</f>
        <v>4500</v>
      </c>
      <c r="X527" s="710"/>
      <c r="Y527" s="711"/>
      <c r="Z527" s="711"/>
      <c r="AA527" s="711"/>
      <c r="AB527" s="178" t="s">
        <v>390</v>
      </c>
    </row>
    <row r="528" spans="1:31" ht="12.6" customHeight="1" x14ac:dyDescent="0.2">
      <c r="A528" s="17"/>
      <c r="B528" s="939" t="s">
        <v>341</v>
      </c>
      <c r="C528" s="942"/>
      <c r="D528" s="942"/>
      <c r="E528" s="942"/>
      <c r="F528" s="460">
        <v>2700</v>
      </c>
      <c r="G528" s="460">
        <f>+F528*$X$1</f>
        <v>2700</v>
      </c>
      <c r="H528" s="595">
        <f t="shared" si="1543"/>
        <v>3300</v>
      </c>
      <c r="I528" s="460">
        <f t="shared" si="1559"/>
        <v>3300</v>
      </c>
      <c r="J528" s="595">
        <f t="shared" si="1545"/>
        <v>3110</v>
      </c>
      <c r="K528" s="460">
        <f t="shared" si="1560"/>
        <v>3110</v>
      </c>
      <c r="L528" s="595">
        <f t="shared" si="1547"/>
        <v>3060</v>
      </c>
      <c r="M528" s="460">
        <f t="shared" si="1532"/>
        <v>3060</v>
      </c>
      <c r="N528" s="595"/>
      <c r="O528" s="460"/>
      <c r="P528" s="595"/>
      <c r="Q528" s="460"/>
      <c r="R528" s="595"/>
      <c r="S528" s="460"/>
      <c r="T528" s="595"/>
      <c r="U528" s="460"/>
      <c r="V528" s="595"/>
      <c r="W528" s="460"/>
      <c r="X528" s="922"/>
      <c r="Y528" s="923"/>
      <c r="Z528" s="923"/>
      <c r="AA528" s="924"/>
      <c r="AB528" s="178" t="s">
        <v>249</v>
      </c>
    </row>
    <row r="529" spans="1:28" ht="12.6" customHeight="1" x14ac:dyDescent="0.25">
      <c r="A529" s="17"/>
      <c r="B529" s="928" t="s">
        <v>745</v>
      </c>
      <c r="C529" s="929"/>
      <c r="D529" s="929"/>
      <c r="E529" s="929"/>
      <c r="F529" s="255">
        <v>3980</v>
      </c>
      <c r="G529" s="255">
        <f t="shared" ref="G529:G531" si="1566">+F529*$X$1</f>
        <v>3980</v>
      </c>
      <c r="H529" s="537">
        <f t="shared" si="1543"/>
        <v>4580</v>
      </c>
      <c r="I529" s="255">
        <f t="shared" si="1559"/>
        <v>4580</v>
      </c>
      <c r="J529" s="537">
        <f t="shared" si="1545"/>
        <v>4390</v>
      </c>
      <c r="K529" s="255">
        <f t="shared" si="1560"/>
        <v>4390</v>
      </c>
      <c r="L529" s="537">
        <f t="shared" si="1547"/>
        <v>4340</v>
      </c>
      <c r="M529" s="255">
        <f t="shared" si="1532"/>
        <v>4340</v>
      </c>
      <c r="N529" s="537">
        <f t="shared" si="1548"/>
        <v>4300</v>
      </c>
      <c r="O529" s="255">
        <f t="shared" si="1561"/>
        <v>4300</v>
      </c>
      <c r="P529" s="537">
        <f t="shared" si="1550"/>
        <v>4270</v>
      </c>
      <c r="Q529" s="255">
        <f t="shared" si="1562"/>
        <v>4270</v>
      </c>
      <c r="R529" s="537">
        <f t="shared" si="1552"/>
        <v>4250</v>
      </c>
      <c r="S529" s="255">
        <f t="shared" si="1563"/>
        <v>4250</v>
      </c>
      <c r="T529" s="537">
        <f t="shared" si="1554"/>
        <v>4210</v>
      </c>
      <c r="U529" s="255">
        <f t="shared" si="1564"/>
        <v>4210</v>
      </c>
      <c r="V529" s="537">
        <f t="shared" si="1556"/>
        <v>4190</v>
      </c>
      <c r="W529" s="255">
        <f t="shared" si="1565"/>
        <v>4190</v>
      </c>
      <c r="X529" s="710"/>
      <c r="Y529" s="711"/>
      <c r="Z529" s="711"/>
      <c r="AA529" s="711"/>
      <c r="AB529" s="178" t="s">
        <v>250</v>
      </c>
    </row>
    <row r="530" spans="1:28" ht="12.6" customHeight="1" x14ac:dyDescent="0.25">
      <c r="A530" s="17"/>
      <c r="B530" s="927" t="s">
        <v>486</v>
      </c>
      <c r="C530" s="649"/>
      <c r="D530" s="649"/>
      <c r="E530" s="650"/>
      <c r="F530" s="258">
        <v>4290</v>
      </c>
      <c r="G530" s="256">
        <f>+F530*$X$1</f>
        <v>4290</v>
      </c>
      <c r="H530" s="546">
        <f t="shared" si="1543"/>
        <v>4890</v>
      </c>
      <c r="I530" s="256">
        <f t="shared" si="1559"/>
        <v>4890</v>
      </c>
      <c r="J530" s="546">
        <f t="shared" si="1545"/>
        <v>4700</v>
      </c>
      <c r="K530" s="256">
        <f t="shared" si="1560"/>
        <v>4700</v>
      </c>
      <c r="L530" s="546">
        <f t="shared" si="1547"/>
        <v>4650</v>
      </c>
      <c r="M530" s="256">
        <f t="shared" si="1532"/>
        <v>4650</v>
      </c>
      <c r="N530" s="546">
        <f t="shared" si="1548"/>
        <v>4610</v>
      </c>
      <c r="O530" s="256">
        <f t="shared" si="1561"/>
        <v>4610</v>
      </c>
      <c r="P530" s="546">
        <f t="shared" si="1550"/>
        <v>4580</v>
      </c>
      <c r="Q530" s="256">
        <f t="shared" si="1562"/>
        <v>4580</v>
      </c>
      <c r="R530" s="546">
        <f t="shared" si="1552"/>
        <v>4560</v>
      </c>
      <c r="S530" s="256">
        <f t="shared" si="1563"/>
        <v>4560</v>
      </c>
      <c r="T530" s="546">
        <f t="shared" si="1554"/>
        <v>4520</v>
      </c>
      <c r="U530" s="256">
        <f t="shared" si="1564"/>
        <v>4520</v>
      </c>
      <c r="V530" s="546">
        <f t="shared" si="1556"/>
        <v>4500</v>
      </c>
      <c r="W530" s="256">
        <f t="shared" si="1565"/>
        <v>4500</v>
      </c>
      <c r="X530" s="710"/>
      <c r="Y530" s="711"/>
      <c r="Z530" s="711"/>
      <c r="AA530" s="711"/>
      <c r="AB530" s="27"/>
    </row>
    <row r="531" spans="1:28" ht="12.6" customHeight="1" x14ac:dyDescent="0.25">
      <c r="A531" s="17"/>
      <c r="B531" s="630" t="s">
        <v>293</v>
      </c>
      <c r="C531" s="631"/>
      <c r="D531" s="631"/>
      <c r="E531" s="631"/>
      <c r="F531" s="291">
        <v>6780</v>
      </c>
      <c r="G531" s="255">
        <f t="shared" si="1566"/>
        <v>6780</v>
      </c>
      <c r="H531" s="537"/>
      <c r="I531" s="255"/>
      <c r="J531" s="537">
        <f t="shared" si="1545"/>
        <v>7190</v>
      </c>
      <c r="K531" s="255">
        <f t="shared" si="1560"/>
        <v>7190</v>
      </c>
      <c r="L531" s="537">
        <f t="shared" si="1547"/>
        <v>7140</v>
      </c>
      <c r="M531" s="255">
        <f t="shared" si="1532"/>
        <v>7140</v>
      </c>
      <c r="N531" s="537">
        <f t="shared" si="1548"/>
        <v>7100</v>
      </c>
      <c r="O531" s="255">
        <f t="shared" si="1561"/>
        <v>7100</v>
      </c>
      <c r="P531" s="537">
        <f t="shared" si="1550"/>
        <v>7070</v>
      </c>
      <c r="Q531" s="255">
        <f t="shared" si="1562"/>
        <v>7070</v>
      </c>
      <c r="R531" s="537">
        <f t="shared" si="1552"/>
        <v>7050</v>
      </c>
      <c r="S531" s="255">
        <f t="shared" si="1563"/>
        <v>7050</v>
      </c>
      <c r="T531" s="537">
        <f t="shared" si="1554"/>
        <v>7010</v>
      </c>
      <c r="U531" s="255">
        <f t="shared" si="1564"/>
        <v>7010</v>
      </c>
      <c r="V531" s="537">
        <f t="shared" si="1556"/>
        <v>6990</v>
      </c>
      <c r="W531" s="255">
        <f t="shared" si="1565"/>
        <v>6990</v>
      </c>
      <c r="X531" s="710"/>
      <c r="Y531" s="711"/>
      <c r="Z531" s="711"/>
      <c r="AA531" s="711"/>
      <c r="AB531" s="178" t="s">
        <v>251</v>
      </c>
    </row>
    <row r="532" spans="1:28" ht="12.6" customHeight="1" x14ac:dyDescent="0.2">
      <c r="A532" s="17"/>
      <c r="B532" s="642" t="s">
        <v>683</v>
      </c>
      <c r="C532" s="926"/>
      <c r="D532" s="926"/>
      <c r="E532" s="926"/>
      <c r="F532" s="256">
        <v>12630</v>
      </c>
      <c r="G532" s="256">
        <f>+F532*$X$1</f>
        <v>12630</v>
      </c>
      <c r="H532" s="546">
        <f>F532+700</f>
        <v>13330</v>
      </c>
      <c r="I532" s="256">
        <f t="shared" si="1544"/>
        <v>13330</v>
      </c>
      <c r="J532" s="546">
        <f t="shared" ref="J532:J538" si="1567">F532+430</f>
        <v>13060</v>
      </c>
      <c r="K532" s="256">
        <f t="shared" si="1560"/>
        <v>13060</v>
      </c>
      <c r="L532" s="546">
        <f t="shared" ref="L532:L538" si="1568">F532+400</f>
        <v>13030</v>
      </c>
      <c r="M532" s="256">
        <f t="shared" si="1532"/>
        <v>13030</v>
      </c>
      <c r="N532" s="546">
        <f t="shared" ref="N532:N538" si="1569">F532+350</f>
        <v>12980</v>
      </c>
      <c r="O532" s="256">
        <f t="shared" ref="O532:O538" si="1570">+N532*$X$1</f>
        <v>12980</v>
      </c>
      <c r="P532" s="546">
        <f t="shared" ref="P532:P538" si="1571">F532+310</f>
        <v>12940</v>
      </c>
      <c r="Q532" s="256">
        <f t="shared" ref="Q532:Q538" si="1572">+P532*$X$1</f>
        <v>12940</v>
      </c>
      <c r="R532" s="546">
        <f t="shared" ref="R532:R538" si="1573">F532+280</f>
        <v>12910</v>
      </c>
      <c r="S532" s="256">
        <f t="shared" ref="S532:S538" si="1574">+R532*$X$1</f>
        <v>12910</v>
      </c>
      <c r="T532" s="546">
        <f t="shared" ref="T532:T538" si="1575">F532+240</f>
        <v>12870</v>
      </c>
      <c r="U532" s="256">
        <f t="shared" ref="U532:U538" si="1576">+T532*$X$1</f>
        <v>12870</v>
      </c>
      <c r="V532" s="546">
        <f t="shared" ref="V532:V538" si="1577">F532+220</f>
        <v>12850</v>
      </c>
      <c r="W532" s="256">
        <f t="shared" ref="W532:W538" si="1578">+V532*$X$1</f>
        <v>12850</v>
      </c>
      <c r="X532" s="134"/>
      <c r="Y532" s="122"/>
      <c r="Z532" s="122"/>
      <c r="AA532" s="125"/>
      <c r="AB532" s="178" t="s">
        <v>252</v>
      </c>
    </row>
    <row r="533" spans="1:28" ht="12.6" customHeight="1" x14ac:dyDescent="0.2">
      <c r="A533" s="17"/>
      <c r="B533" s="630" t="s">
        <v>684</v>
      </c>
      <c r="C533" s="925"/>
      <c r="D533" s="925"/>
      <c r="E533" s="925"/>
      <c r="F533" s="255">
        <v>12700</v>
      </c>
      <c r="G533" s="255">
        <f t="shared" ref="G533" si="1579">+F533*$X$1</f>
        <v>12700</v>
      </c>
      <c r="H533" s="537">
        <f>F533+700</f>
        <v>13400</v>
      </c>
      <c r="I533" s="255">
        <f>+H533*$X$1</f>
        <v>13400</v>
      </c>
      <c r="J533" s="537">
        <f t="shared" si="1567"/>
        <v>13130</v>
      </c>
      <c r="K533" s="255">
        <f t="shared" si="1560"/>
        <v>13130</v>
      </c>
      <c r="L533" s="537">
        <f t="shared" si="1568"/>
        <v>13100</v>
      </c>
      <c r="M533" s="255">
        <f t="shared" si="1532"/>
        <v>13100</v>
      </c>
      <c r="N533" s="537">
        <f t="shared" si="1569"/>
        <v>13050</v>
      </c>
      <c r="O533" s="255">
        <f t="shared" si="1570"/>
        <v>13050</v>
      </c>
      <c r="P533" s="537">
        <f t="shared" si="1571"/>
        <v>13010</v>
      </c>
      <c r="Q533" s="255">
        <f t="shared" si="1572"/>
        <v>13010</v>
      </c>
      <c r="R533" s="537">
        <f t="shared" si="1573"/>
        <v>12980</v>
      </c>
      <c r="S533" s="255">
        <f t="shared" si="1574"/>
        <v>12980</v>
      </c>
      <c r="T533" s="537">
        <f t="shared" si="1575"/>
        <v>12940</v>
      </c>
      <c r="U533" s="255">
        <f t="shared" si="1576"/>
        <v>12940</v>
      </c>
      <c r="V533" s="537">
        <f t="shared" si="1577"/>
        <v>12920</v>
      </c>
      <c r="W533" s="255">
        <f t="shared" si="1578"/>
        <v>12920</v>
      </c>
      <c r="X533" s="134"/>
      <c r="Y533" s="122"/>
      <c r="Z533" s="122"/>
      <c r="AA533" s="125"/>
      <c r="AB533" s="178" t="s">
        <v>253</v>
      </c>
    </row>
    <row r="534" spans="1:28" ht="12.6" customHeight="1" x14ac:dyDescent="0.2">
      <c r="A534" s="17"/>
      <c r="B534" s="642" t="s">
        <v>819</v>
      </c>
      <c r="C534" s="926"/>
      <c r="D534" s="926"/>
      <c r="E534" s="926"/>
      <c r="F534" s="327">
        <f>9.22*X2</f>
        <v>14198.800000000001</v>
      </c>
      <c r="G534" s="256">
        <f t="shared" ref="G534" si="1580">+F534*$X$1</f>
        <v>14198.800000000001</v>
      </c>
      <c r="H534" s="546">
        <f>F534+700</f>
        <v>14898.800000000001</v>
      </c>
      <c r="I534" s="256">
        <f>+H534*$X$1</f>
        <v>14898.800000000001</v>
      </c>
      <c r="J534" s="546">
        <f t="shared" si="1567"/>
        <v>14628.800000000001</v>
      </c>
      <c r="K534" s="256">
        <f t="shared" si="1560"/>
        <v>14628.800000000001</v>
      </c>
      <c r="L534" s="546">
        <f t="shared" si="1568"/>
        <v>14598.800000000001</v>
      </c>
      <c r="M534" s="256">
        <f t="shared" si="1532"/>
        <v>14598.800000000001</v>
      </c>
      <c r="N534" s="546">
        <f t="shared" si="1569"/>
        <v>14548.800000000001</v>
      </c>
      <c r="O534" s="256">
        <f t="shared" si="1570"/>
        <v>14548.800000000001</v>
      </c>
      <c r="P534" s="546">
        <f t="shared" si="1571"/>
        <v>14508.800000000001</v>
      </c>
      <c r="Q534" s="256">
        <f t="shared" si="1572"/>
        <v>14508.800000000001</v>
      </c>
      <c r="R534" s="546">
        <f t="shared" si="1573"/>
        <v>14478.800000000001</v>
      </c>
      <c r="S534" s="256">
        <f t="shared" si="1574"/>
        <v>14478.800000000001</v>
      </c>
      <c r="T534" s="546">
        <f t="shared" si="1575"/>
        <v>14438.800000000001</v>
      </c>
      <c r="U534" s="256">
        <f t="shared" si="1576"/>
        <v>14438.800000000001</v>
      </c>
      <c r="V534" s="546">
        <f t="shared" si="1577"/>
        <v>14418.800000000001</v>
      </c>
      <c r="W534" s="256">
        <f t="shared" si="1578"/>
        <v>14418.800000000001</v>
      </c>
      <c r="X534" s="134"/>
      <c r="Y534" s="122"/>
      <c r="Z534" s="122"/>
      <c r="AA534" s="125"/>
      <c r="AB534" s="178" t="s">
        <v>820</v>
      </c>
    </row>
    <row r="535" spans="1:28" ht="12.6" customHeight="1" x14ac:dyDescent="0.2">
      <c r="A535" s="17"/>
      <c r="B535" s="630" t="s">
        <v>821</v>
      </c>
      <c r="C535" s="925"/>
      <c r="D535" s="925"/>
      <c r="E535" s="925"/>
      <c r="F535" s="326">
        <f>9.4*X2</f>
        <v>14476</v>
      </c>
      <c r="G535" s="255">
        <f t="shared" ref="G535" si="1581">+F535*$X$1</f>
        <v>14476</v>
      </c>
      <c r="H535" s="537">
        <f>F535+700</f>
        <v>15176</v>
      </c>
      <c r="I535" s="255">
        <f t="shared" ref="I535" si="1582">+H535*$X$1</f>
        <v>15176</v>
      </c>
      <c r="J535" s="537">
        <f t="shared" si="1567"/>
        <v>14906</v>
      </c>
      <c r="K535" s="255">
        <f t="shared" si="1560"/>
        <v>14906</v>
      </c>
      <c r="L535" s="537">
        <f t="shared" si="1568"/>
        <v>14876</v>
      </c>
      <c r="M535" s="255">
        <f t="shared" si="1532"/>
        <v>14876</v>
      </c>
      <c r="N535" s="537">
        <f t="shared" si="1569"/>
        <v>14826</v>
      </c>
      <c r="O535" s="255">
        <f t="shared" si="1570"/>
        <v>14826</v>
      </c>
      <c r="P535" s="537">
        <f t="shared" si="1571"/>
        <v>14786</v>
      </c>
      <c r="Q535" s="255">
        <f t="shared" si="1572"/>
        <v>14786</v>
      </c>
      <c r="R535" s="537">
        <f t="shared" si="1573"/>
        <v>14756</v>
      </c>
      <c r="S535" s="255">
        <f t="shared" si="1574"/>
        <v>14756</v>
      </c>
      <c r="T535" s="537">
        <f t="shared" si="1575"/>
        <v>14716</v>
      </c>
      <c r="U535" s="255">
        <f t="shared" si="1576"/>
        <v>14716</v>
      </c>
      <c r="V535" s="537">
        <f t="shared" si="1577"/>
        <v>14696</v>
      </c>
      <c r="W535" s="255">
        <f t="shared" si="1578"/>
        <v>14696</v>
      </c>
      <c r="X535" s="134"/>
      <c r="Y535" s="122"/>
      <c r="Z535" s="122"/>
      <c r="AA535" s="125"/>
      <c r="AB535" s="178" t="s">
        <v>822</v>
      </c>
    </row>
    <row r="536" spans="1:28" ht="12.6" customHeight="1" x14ac:dyDescent="0.2">
      <c r="A536" s="17"/>
      <c r="B536" s="642" t="s">
        <v>254</v>
      </c>
      <c r="C536" s="643"/>
      <c r="D536" s="643"/>
      <c r="E536" s="643"/>
      <c r="F536" s="256">
        <v>8740</v>
      </c>
      <c r="G536" s="256">
        <f>+F536*$X$1</f>
        <v>8740</v>
      </c>
      <c r="H536" s="546"/>
      <c r="I536" s="256"/>
      <c r="J536" s="546">
        <f t="shared" si="1567"/>
        <v>9170</v>
      </c>
      <c r="K536" s="256">
        <f t="shared" si="1560"/>
        <v>9170</v>
      </c>
      <c r="L536" s="546">
        <f t="shared" si="1568"/>
        <v>9140</v>
      </c>
      <c r="M536" s="256">
        <f t="shared" si="1532"/>
        <v>9140</v>
      </c>
      <c r="N536" s="546">
        <f t="shared" si="1569"/>
        <v>9090</v>
      </c>
      <c r="O536" s="256">
        <f t="shared" si="1570"/>
        <v>9090</v>
      </c>
      <c r="P536" s="546">
        <f t="shared" si="1571"/>
        <v>9050</v>
      </c>
      <c r="Q536" s="256">
        <f t="shared" si="1572"/>
        <v>9050</v>
      </c>
      <c r="R536" s="546">
        <f t="shared" si="1573"/>
        <v>9020</v>
      </c>
      <c r="S536" s="256">
        <f t="shared" si="1574"/>
        <v>9020</v>
      </c>
      <c r="T536" s="546">
        <f t="shared" si="1575"/>
        <v>8980</v>
      </c>
      <c r="U536" s="256">
        <f t="shared" si="1576"/>
        <v>8980</v>
      </c>
      <c r="V536" s="546">
        <f t="shared" si="1577"/>
        <v>8960</v>
      </c>
      <c r="W536" s="256">
        <f t="shared" si="1578"/>
        <v>8960</v>
      </c>
      <c r="X536" s="134"/>
      <c r="Y536" s="122"/>
      <c r="Z536" s="122"/>
      <c r="AA536" s="125"/>
      <c r="AB536" s="178" t="s">
        <v>255</v>
      </c>
    </row>
    <row r="537" spans="1:28" ht="12.6" customHeight="1" x14ac:dyDescent="0.2">
      <c r="A537" s="17"/>
      <c r="B537" s="630" t="s">
        <v>256</v>
      </c>
      <c r="C537" s="631"/>
      <c r="D537" s="631"/>
      <c r="E537" s="631"/>
      <c r="F537" s="255">
        <v>9710</v>
      </c>
      <c r="G537" s="255">
        <f>+F537*$X$1</f>
        <v>9710</v>
      </c>
      <c r="H537" s="537"/>
      <c r="I537" s="255"/>
      <c r="J537" s="537">
        <f t="shared" si="1567"/>
        <v>10140</v>
      </c>
      <c r="K537" s="255">
        <f t="shared" si="1560"/>
        <v>10140</v>
      </c>
      <c r="L537" s="537">
        <f t="shared" si="1568"/>
        <v>10110</v>
      </c>
      <c r="M537" s="255">
        <f t="shared" si="1532"/>
        <v>10110</v>
      </c>
      <c r="N537" s="537">
        <f t="shared" si="1569"/>
        <v>10060</v>
      </c>
      <c r="O537" s="255">
        <f t="shared" si="1570"/>
        <v>10060</v>
      </c>
      <c r="P537" s="537">
        <f t="shared" si="1571"/>
        <v>10020</v>
      </c>
      <c r="Q537" s="255">
        <f t="shared" si="1572"/>
        <v>10020</v>
      </c>
      <c r="R537" s="537">
        <f t="shared" si="1573"/>
        <v>9990</v>
      </c>
      <c r="S537" s="255">
        <f t="shared" si="1574"/>
        <v>9990</v>
      </c>
      <c r="T537" s="537">
        <f t="shared" si="1575"/>
        <v>9950</v>
      </c>
      <c r="U537" s="255">
        <f t="shared" si="1576"/>
        <v>9950</v>
      </c>
      <c r="V537" s="537">
        <f t="shared" si="1577"/>
        <v>9930</v>
      </c>
      <c r="W537" s="255">
        <f t="shared" si="1578"/>
        <v>9930</v>
      </c>
      <c r="X537" s="134"/>
      <c r="Y537" s="122"/>
      <c r="Z537" s="122"/>
      <c r="AA537" s="125"/>
      <c r="AB537" s="178" t="s">
        <v>257</v>
      </c>
    </row>
    <row r="538" spans="1:28" ht="12.6" customHeight="1" x14ac:dyDescent="0.2">
      <c r="A538" s="17"/>
      <c r="B538" s="642" t="s">
        <v>824</v>
      </c>
      <c r="C538" s="926"/>
      <c r="D538" s="926"/>
      <c r="E538" s="926"/>
      <c r="F538" s="290">
        <v>17980</v>
      </c>
      <c r="G538" s="256">
        <f t="shared" ref="G538:G540" si="1583">+F538*$X$1</f>
        <v>17980</v>
      </c>
      <c r="H538" s="546"/>
      <c r="I538" s="256"/>
      <c r="J538" s="546">
        <f t="shared" si="1567"/>
        <v>18410</v>
      </c>
      <c r="K538" s="256">
        <f t="shared" si="1560"/>
        <v>18410</v>
      </c>
      <c r="L538" s="546">
        <f t="shared" si="1568"/>
        <v>18380</v>
      </c>
      <c r="M538" s="256">
        <f t="shared" si="1532"/>
        <v>18380</v>
      </c>
      <c r="N538" s="546">
        <f t="shared" si="1569"/>
        <v>18330</v>
      </c>
      <c r="O538" s="256">
        <f t="shared" si="1570"/>
        <v>18330</v>
      </c>
      <c r="P538" s="546">
        <f t="shared" si="1571"/>
        <v>18290</v>
      </c>
      <c r="Q538" s="256">
        <f t="shared" si="1572"/>
        <v>18290</v>
      </c>
      <c r="R538" s="546">
        <f t="shared" si="1573"/>
        <v>18260</v>
      </c>
      <c r="S538" s="256">
        <f t="shared" si="1574"/>
        <v>18260</v>
      </c>
      <c r="T538" s="546">
        <f t="shared" si="1575"/>
        <v>18220</v>
      </c>
      <c r="U538" s="256">
        <f t="shared" si="1576"/>
        <v>18220</v>
      </c>
      <c r="V538" s="546">
        <f t="shared" si="1577"/>
        <v>18200</v>
      </c>
      <c r="W538" s="256">
        <f t="shared" si="1578"/>
        <v>18200</v>
      </c>
      <c r="X538" s="134"/>
      <c r="Y538" s="122"/>
      <c r="Z538" s="122"/>
      <c r="AA538" s="125"/>
      <c r="AB538" s="178" t="s">
        <v>823</v>
      </c>
    </row>
    <row r="539" spans="1:28" ht="12.6" customHeight="1" x14ac:dyDescent="0.2">
      <c r="A539" s="17"/>
      <c r="B539" s="630" t="s">
        <v>893</v>
      </c>
      <c r="C539" s="631"/>
      <c r="D539" s="631"/>
      <c r="E539" s="631"/>
      <c r="F539" s="326">
        <f>3.51*X2</f>
        <v>5405.4</v>
      </c>
      <c r="G539" s="255">
        <f t="shared" si="1583"/>
        <v>5405.4</v>
      </c>
      <c r="H539" s="537">
        <f t="shared" ref="H539:H543" si="1584">F539+600</f>
        <v>6005.4</v>
      </c>
      <c r="I539" s="255">
        <f t="shared" ref="I539:I540" si="1585">+H539*$X$1</f>
        <v>6005.4</v>
      </c>
      <c r="J539" s="537">
        <f>F539+410</f>
        <v>5815.4</v>
      </c>
      <c r="K539" s="255">
        <f t="shared" ref="K539:K540" si="1586">+J539*$X$1</f>
        <v>5815.4</v>
      </c>
      <c r="L539" s="537">
        <f>F539+360</f>
        <v>5765.4</v>
      </c>
      <c r="M539" s="255">
        <f t="shared" si="1532"/>
        <v>5765.4</v>
      </c>
      <c r="N539" s="537">
        <f>F539+320</f>
        <v>5725.4</v>
      </c>
      <c r="O539" s="255">
        <f t="shared" ref="O539:O540" si="1587">+N539*$X$1</f>
        <v>5725.4</v>
      </c>
      <c r="P539" s="537">
        <f>F539+290</f>
        <v>5695.4</v>
      </c>
      <c r="Q539" s="255">
        <f t="shared" ref="Q539:Q540" si="1588">+P539*$X$1</f>
        <v>5695.4</v>
      </c>
      <c r="R539" s="537">
        <f>F539+270</f>
        <v>5675.4</v>
      </c>
      <c r="S539" s="255">
        <f t="shared" ref="S539:S540" si="1589">+R539*$X$1</f>
        <v>5675.4</v>
      </c>
      <c r="T539" s="537">
        <f>F539+230</f>
        <v>5635.4</v>
      </c>
      <c r="U539" s="255">
        <f t="shared" ref="U539:U540" si="1590">+T539*$X$1</f>
        <v>5635.4</v>
      </c>
      <c r="V539" s="537">
        <f>F539+210</f>
        <v>5615.4</v>
      </c>
      <c r="W539" s="255">
        <f t="shared" ref="W539:W540" si="1591">+V539*$X$1</f>
        <v>5615.4</v>
      </c>
      <c r="X539" s="922"/>
      <c r="Y539" s="923"/>
      <c r="Z539" s="923"/>
      <c r="AA539" s="924"/>
      <c r="AB539" s="178" t="s">
        <v>863</v>
      </c>
    </row>
    <row r="540" spans="1:28" ht="12.6" customHeight="1" x14ac:dyDescent="0.2">
      <c r="A540" s="17"/>
      <c r="B540" s="642" t="s">
        <v>864</v>
      </c>
      <c r="C540" s="643"/>
      <c r="D540" s="643"/>
      <c r="E540" s="643"/>
      <c r="F540" s="327">
        <f>2.75*X2</f>
        <v>4235</v>
      </c>
      <c r="G540" s="256">
        <f t="shared" si="1583"/>
        <v>4235</v>
      </c>
      <c r="H540" s="546">
        <f t="shared" si="1584"/>
        <v>4835</v>
      </c>
      <c r="I540" s="256">
        <f t="shared" si="1585"/>
        <v>4835</v>
      </c>
      <c r="J540" s="546">
        <f>F540+410</f>
        <v>4645</v>
      </c>
      <c r="K540" s="256">
        <f t="shared" si="1586"/>
        <v>4645</v>
      </c>
      <c r="L540" s="546">
        <f>F540+360</f>
        <v>4595</v>
      </c>
      <c r="M540" s="256">
        <f t="shared" si="1532"/>
        <v>4595</v>
      </c>
      <c r="N540" s="546">
        <f>F540+320</f>
        <v>4555</v>
      </c>
      <c r="O540" s="256">
        <f t="shared" si="1587"/>
        <v>4555</v>
      </c>
      <c r="P540" s="546">
        <f>F540+290</f>
        <v>4525</v>
      </c>
      <c r="Q540" s="256">
        <f t="shared" si="1588"/>
        <v>4525</v>
      </c>
      <c r="R540" s="546">
        <f>F540+270</f>
        <v>4505</v>
      </c>
      <c r="S540" s="256">
        <f t="shared" si="1589"/>
        <v>4505</v>
      </c>
      <c r="T540" s="546">
        <f>F540+230</f>
        <v>4465</v>
      </c>
      <c r="U540" s="256">
        <f t="shared" si="1590"/>
        <v>4465</v>
      </c>
      <c r="V540" s="546">
        <f>F540+210</f>
        <v>4445</v>
      </c>
      <c r="W540" s="256">
        <f t="shared" si="1591"/>
        <v>4445</v>
      </c>
      <c r="X540" s="922"/>
      <c r="Y540" s="923"/>
      <c r="Z540" s="923"/>
      <c r="AA540" s="924"/>
      <c r="AB540" s="178" t="s">
        <v>865</v>
      </c>
    </row>
    <row r="541" spans="1:28" ht="12.6" customHeight="1" x14ac:dyDescent="0.2">
      <c r="A541" s="17"/>
      <c r="B541" s="630" t="s">
        <v>515</v>
      </c>
      <c r="C541" s="631"/>
      <c r="D541" s="631"/>
      <c r="E541" s="631"/>
      <c r="F541" s="326">
        <f>3.74*X2</f>
        <v>5759.6</v>
      </c>
      <c r="G541" s="255">
        <f t="shared" ref="G541" si="1592">+F541*$X$1</f>
        <v>5759.6</v>
      </c>
      <c r="H541" s="537">
        <f t="shared" si="1584"/>
        <v>6359.6</v>
      </c>
      <c r="I541" s="255">
        <f t="shared" ref="I541:I543" si="1593">+H541*$X$1</f>
        <v>6359.6</v>
      </c>
      <c r="J541" s="537">
        <f>F541+350</f>
        <v>6109.6</v>
      </c>
      <c r="K541" s="255">
        <f t="shared" ref="K541:K544" si="1594">+J541*$X$1</f>
        <v>6109.6</v>
      </c>
      <c r="L541" s="537">
        <f>F541+300</f>
        <v>6059.6</v>
      </c>
      <c r="M541" s="255">
        <f t="shared" ref="M541" si="1595">+L541*$X$1</f>
        <v>6059.6</v>
      </c>
      <c r="N541" s="537">
        <f>F541+270</f>
        <v>6029.6</v>
      </c>
      <c r="O541" s="255">
        <f>+N541*$X$1</f>
        <v>6029.6</v>
      </c>
      <c r="P541" s="537">
        <f>F541+240</f>
        <v>5999.6</v>
      </c>
      <c r="Q541" s="255">
        <f t="shared" ref="Q541:Q544" si="1596">+P541*$X$1</f>
        <v>5999.6</v>
      </c>
      <c r="R541" s="537">
        <f>F541+220</f>
        <v>5979.6</v>
      </c>
      <c r="S541" s="255">
        <f t="shared" ref="S541:S544" si="1597">+R541*$X$1</f>
        <v>5979.6</v>
      </c>
      <c r="T541" s="537">
        <f>F541+190</f>
        <v>5949.6</v>
      </c>
      <c r="U541" s="255">
        <f t="shared" ref="U541:U544" si="1598">+T541*$X$1</f>
        <v>5949.6</v>
      </c>
      <c r="V541" s="537">
        <f>F541+150</f>
        <v>5909.6</v>
      </c>
      <c r="W541" s="255">
        <f t="shared" ref="W541:W544" si="1599">+V541*$X$1</f>
        <v>5909.6</v>
      </c>
      <c r="X541" s="922"/>
      <c r="Y541" s="923"/>
      <c r="Z541" s="923"/>
      <c r="AA541" s="924"/>
      <c r="AB541" s="178" t="s">
        <v>258</v>
      </c>
    </row>
    <row r="542" spans="1:28" ht="12.6" customHeight="1" x14ac:dyDescent="0.2">
      <c r="A542" s="17"/>
      <c r="B542" s="642" t="s">
        <v>581</v>
      </c>
      <c r="C542" s="643"/>
      <c r="D542" s="643"/>
      <c r="E542" s="643"/>
      <c r="F542" s="327">
        <f>3.74*X2</f>
        <v>5759.6</v>
      </c>
      <c r="G542" s="256">
        <f t="shared" ref="G542" si="1600">+F542*$X$1</f>
        <v>5759.6</v>
      </c>
      <c r="H542" s="546">
        <f t="shared" si="1584"/>
        <v>6359.6</v>
      </c>
      <c r="I542" s="256">
        <f t="shared" si="1593"/>
        <v>6359.6</v>
      </c>
      <c r="J542" s="546">
        <f>F542+410</f>
        <v>6169.6</v>
      </c>
      <c r="K542" s="256">
        <f t="shared" si="1594"/>
        <v>6169.6</v>
      </c>
      <c r="L542" s="546">
        <f>F542+360</f>
        <v>6119.6</v>
      </c>
      <c r="M542" s="256">
        <f>+L542*$X$1</f>
        <v>6119.6</v>
      </c>
      <c r="N542" s="546">
        <f>F542+320</f>
        <v>6079.6</v>
      </c>
      <c r="O542" s="256">
        <f t="shared" ref="O542:O544" si="1601">+N542*$X$1</f>
        <v>6079.6</v>
      </c>
      <c r="P542" s="546">
        <f>F542+290</f>
        <v>6049.6</v>
      </c>
      <c r="Q542" s="256">
        <f t="shared" si="1596"/>
        <v>6049.6</v>
      </c>
      <c r="R542" s="546">
        <f>F542+270</f>
        <v>6029.6</v>
      </c>
      <c r="S542" s="256">
        <f t="shared" si="1597"/>
        <v>6029.6</v>
      </c>
      <c r="T542" s="546">
        <f>F542+230</f>
        <v>5989.6</v>
      </c>
      <c r="U542" s="256">
        <f t="shared" si="1598"/>
        <v>5989.6</v>
      </c>
      <c r="V542" s="546">
        <f>F542+210</f>
        <v>5969.6</v>
      </c>
      <c r="W542" s="256">
        <f t="shared" si="1599"/>
        <v>5969.6</v>
      </c>
      <c r="X542" s="922"/>
      <c r="Y542" s="923"/>
      <c r="Z542" s="923"/>
      <c r="AA542" s="924"/>
      <c r="AB542" s="178" t="s">
        <v>582</v>
      </c>
    </row>
    <row r="543" spans="1:28" ht="12.6" customHeight="1" x14ac:dyDescent="0.2">
      <c r="A543" s="17"/>
      <c r="B543" s="630" t="s">
        <v>353</v>
      </c>
      <c r="C543" s="762"/>
      <c r="D543" s="762"/>
      <c r="E543" s="762"/>
      <c r="F543" s="326">
        <f>3.116*X2</f>
        <v>4798.6400000000003</v>
      </c>
      <c r="G543" s="255">
        <f t="shared" ref="G543" si="1602">+F543*$X$1</f>
        <v>4798.6400000000003</v>
      </c>
      <c r="H543" s="537">
        <f t="shared" si="1584"/>
        <v>5398.64</v>
      </c>
      <c r="I543" s="255">
        <f t="shared" si="1593"/>
        <v>5398.64</v>
      </c>
      <c r="J543" s="537">
        <f>F543+410</f>
        <v>5208.6400000000003</v>
      </c>
      <c r="K543" s="255">
        <f t="shared" si="1594"/>
        <v>5208.6400000000003</v>
      </c>
      <c r="L543" s="537">
        <f>F543+360</f>
        <v>5158.6400000000003</v>
      </c>
      <c r="M543" s="255">
        <f>+L543*$X$1</f>
        <v>5158.6400000000003</v>
      </c>
      <c r="N543" s="537">
        <f>F543+320</f>
        <v>5118.6400000000003</v>
      </c>
      <c r="O543" s="255">
        <f t="shared" si="1601"/>
        <v>5118.6400000000003</v>
      </c>
      <c r="P543" s="537">
        <f>F543+290</f>
        <v>5088.6400000000003</v>
      </c>
      <c r="Q543" s="255">
        <f t="shared" si="1596"/>
        <v>5088.6400000000003</v>
      </c>
      <c r="R543" s="537">
        <f>F543+270</f>
        <v>5068.6400000000003</v>
      </c>
      <c r="S543" s="255">
        <f t="shared" si="1597"/>
        <v>5068.6400000000003</v>
      </c>
      <c r="T543" s="537">
        <f>F543+230</f>
        <v>5028.6400000000003</v>
      </c>
      <c r="U543" s="255">
        <f t="shared" si="1598"/>
        <v>5028.6400000000003</v>
      </c>
      <c r="V543" s="537">
        <f>F543+210</f>
        <v>5008.6400000000003</v>
      </c>
      <c r="W543" s="255">
        <f t="shared" si="1599"/>
        <v>5008.6400000000003</v>
      </c>
      <c r="X543" s="922"/>
      <c r="Y543" s="923"/>
      <c r="Z543" s="923"/>
      <c r="AA543" s="924"/>
      <c r="AB543" s="178" t="s">
        <v>414</v>
      </c>
    </row>
    <row r="544" spans="1:28" ht="12.6" customHeight="1" x14ac:dyDescent="0.2">
      <c r="A544" s="17"/>
      <c r="B544" s="642" t="s">
        <v>619</v>
      </c>
      <c r="C544" s="914"/>
      <c r="D544" s="914"/>
      <c r="E544" s="914"/>
      <c r="F544" s="327">
        <f>4.705*X2</f>
        <v>7245.7</v>
      </c>
      <c r="G544" s="256">
        <f t="shared" ref="G544" si="1603">+F544*$X$1</f>
        <v>7245.7</v>
      </c>
      <c r="H544" s="546"/>
      <c r="I544" s="256"/>
      <c r="J544" s="546">
        <f>F544+410</f>
        <v>7655.7</v>
      </c>
      <c r="K544" s="256">
        <f t="shared" si="1594"/>
        <v>7655.7</v>
      </c>
      <c r="L544" s="546">
        <f>F544+360</f>
        <v>7605.7</v>
      </c>
      <c r="M544" s="256">
        <f>+L544*$X$1</f>
        <v>7605.7</v>
      </c>
      <c r="N544" s="546">
        <f>F544+320</f>
        <v>7565.7</v>
      </c>
      <c r="O544" s="256">
        <f t="shared" si="1601"/>
        <v>7565.7</v>
      </c>
      <c r="P544" s="546">
        <f>F544+290</f>
        <v>7535.7</v>
      </c>
      <c r="Q544" s="256">
        <f t="shared" si="1596"/>
        <v>7535.7</v>
      </c>
      <c r="R544" s="546">
        <f>F544+270</f>
        <v>7515.7</v>
      </c>
      <c r="S544" s="256">
        <f t="shared" si="1597"/>
        <v>7515.7</v>
      </c>
      <c r="T544" s="546">
        <f>F544+230</f>
        <v>7475.7</v>
      </c>
      <c r="U544" s="256">
        <f t="shared" si="1598"/>
        <v>7475.7</v>
      </c>
      <c r="V544" s="546">
        <f>F544+210</f>
        <v>7455.7</v>
      </c>
      <c r="W544" s="256">
        <f t="shared" si="1599"/>
        <v>7455.7</v>
      </c>
      <c r="X544" s="922"/>
      <c r="Y544" s="923"/>
      <c r="Z544" s="923"/>
      <c r="AA544" s="924"/>
      <c r="AB544" s="178" t="s">
        <v>620</v>
      </c>
    </row>
    <row r="545" spans="1:34" ht="12" customHeight="1" x14ac:dyDescent="0.2">
      <c r="A545" s="94"/>
      <c r="B545" s="212"/>
      <c r="C545" s="59"/>
      <c r="D545" s="59"/>
      <c r="E545" s="59"/>
      <c r="F545" s="117"/>
      <c r="G545" s="106"/>
      <c r="H545" s="106"/>
      <c r="I545" s="106"/>
      <c r="J545" s="106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213"/>
      <c r="Y545" s="214"/>
      <c r="Z545" s="214"/>
      <c r="AA545" s="213"/>
      <c r="AB545" s="36"/>
      <c r="AC545" s="62"/>
    </row>
    <row r="546" spans="1:34" ht="12" customHeight="1" x14ac:dyDescent="0.2">
      <c r="A546" s="94"/>
      <c r="B546" s="212"/>
      <c r="C546" s="59"/>
      <c r="D546" s="59"/>
      <c r="E546" s="59"/>
      <c r="F546" s="117"/>
      <c r="G546" s="106"/>
      <c r="H546" s="106"/>
      <c r="I546" s="106"/>
      <c r="J546" s="106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213"/>
      <c r="Y546" s="214"/>
      <c r="Z546" s="214"/>
      <c r="AA546" s="213"/>
      <c r="AB546" s="36"/>
      <c r="AC546" s="62"/>
    </row>
    <row r="547" spans="1:34" ht="12" customHeight="1" x14ac:dyDescent="0.2">
      <c r="A547" s="94"/>
      <c r="B547" s="212"/>
      <c r="C547" s="59"/>
      <c r="D547" s="59"/>
      <c r="E547" s="59"/>
      <c r="F547" s="117"/>
      <c r="G547" s="106"/>
      <c r="H547" s="106"/>
      <c r="I547" s="106"/>
      <c r="J547" s="106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213"/>
      <c r="Y547" s="214"/>
      <c r="Z547" s="214"/>
      <c r="AA547" s="213"/>
      <c r="AB547" s="36"/>
      <c r="AC547" s="62"/>
    </row>
    <row r="548" spans="1:34" ht="12" customHeight="1" x14ac:dyDescent="0.2">
      <c r="A548" s="94"/>
      <c r="B548" s="212"/>
      <c r="C548" s="59"/>
      <c r="D548" s="59"/>
      <c r="E548" s="59"/>
      <c r="F548" s="117"/>
      <c r="G548" s="106"/>
      <c r="H548" s="106"/>
      <c r="I548" s="106"/>
      <c r="J548" s="106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213"/>
      <c r="Y548" s="214"/>
      <c r="Z548" s="214"/>
      <c r="AA548" s="213"/>
      <c r="AB548" s="36"/>
      <c r="AC548" s="62"/>
    </row>
    <row r="549" spans="1:34" ht="12" customHeight="1" x14ac:dyDescent="0.2">
      <c r="A549" s="94"/>
      <c r="B549" s="212"/>
      <c r="C549" s="59"/>
      <c r="D549" s="59"/>
      <c r="E549" s="59"/>
      <c r="F549" s="117"/>
      <c r="G549" s="106"/>
      <c r="H549" s="106"/>
      <c r="I549" s="106"/>
      <c r="J549" s="106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213"/>
      <c r="Y549" s="214"/>
      <c r="Z549" s="214"/>
      <c r="AA549" s="213"/>
      <c r="AB549" s="36"/>
      <c r="AC549" s="62"/>
    </row>
    <row r="550" spans="1:34" ht="12" customHeight="1" x14ac:dyDescent="0.2">
      <c r="A550" s="94"/>
      <c r="B550" s="212"/>
      <c r="C550" s="59"/>
      <c r="D550" s="59"/>
      <c r="E550" s="59"/>
      <c r="F550" s="117"/>
      <c r="G550" s="106"/>
      <c r="H550" s="106"/>
      <c r="I550" s="106"/>
      <c r="J550" s="106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213"/>
      <c r="Y550" s="214"/>
      <c r="Z550" s="214"/>
      <c r="AA550" s="213"/>
      <c r="AB550" s="36"/>
      <c r="AC550" s="62"/>
    </row>
    <row r="551" spans="1:34" ht="12" customHeight="1" x14ac:dyDescent="0.2">
      <c r="A551" s="94"/>
      <c r="B551" s="212"/>
      <c r="C551" s="59"/>
      <c r="D551" s="59"/>
      <c r="E551" s="59"/>
      <c r="F551" s="117"/>
      <c r="G551" s="106"/>
      <c r="H551" s="106"/>
      <c r="I551" s="106"/>
      <c r="J551" s="106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213"/>
      <c r="Y551" s="214"/>
      <c r="Z551" s="214"/>
      <c r="AA551" s="213"/>
      <c r="AB551" s="36"/>
      <c r="AC551" s="62"/>
    </row>
    <row r="552" spans="1:34" ht="12" customHeight="1" x14ac:dyDescent="0.2">
      <c r="A552" s="94"/>
      <c r="B552" s="212"/>
      <c r="C552" s="59"/>
      <c r="D552" s="59"/>
      <c r="E552" s="59"/>
      <c r="F552" s="117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213"/>
      <c r="Y552" s="214"/>
      <c r="Z552" s="214"/>
      <c r="AA552" s="213"/>
      <c r="AB552" s="36"/>
      <c r="AC552" s="62"/>
    </row>
    <row r="553" spans="1:34" ht="12" customHeight="1" x14ac:dyDescent="0.2">
      <c r="A553" s="94"/>
      <c r="B553" s="212"/>
      <c r="C553" s="59"/>
      <c r="D553" s="59"/>
      <c r="E553" s="59"/>
      <c r="F553" s="117"/>
      <c r="G553" s="106"/>
      <c r="H553" s="106"/>
      <c r="I553" s="106"/>
      <c r="J553" s="106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213"/>
      <c r="Y553" s="214"/>
      <c r="Z553" s="214"/>
      <c r="AA553" s="213"/>
      <c r="AB553" s="36"/>
      <c r="AC553" s="62"/>
    </row>
    <row r="554" spans="1:34" ht="12" customHeight="1" x14ac:dyDescent="0.2">
      <c r="A554" s="94"/>
      <c r="B554" s="212"/>
      <c r="C554" s="59"/>
      <c r="D554" s="59"/>
      <c r="E554" s="59"/>
      <c r="F554" s="117"/>
      <c r="G554" s="106"/>
      <c r="H554" s="106"/>
      <c r="I554" s="106"/>
      <c r="J554" s="106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213"/>
      <c r="Y554" s="214"/>
      <c r="Z554" s="214"/>
      <c r="AA554" s="213"/>
      <c r="AB554" s="36"/>
      <c r="AC554" s="62"/>
    </row>
    <row r="555" spans="1:34" ht="12.6" customHeight="1" x14ac:dyDescent="0.2">
      <c r="A555" s="4"/>
      <c r="B555" s="98"/>
      <c r="C555" s="551"/>
      <c r="D555" s="551"/>
      <c r="E555" s="551"/>
      <c r="F555" s="368"/>
      <c r="G555" s="295"/>
      <c r="H555" s="106"/>
      <c r="I555" s="295"/>
      <c r="J555" s="106"/>
      <c r="K555" s="295"/>
      <c r="L555" s="106"/>
      <c r="M555" s="295"/>
      <c r="N555" s="106"/>
      <c r="O555" s="295"/>
      <c r="P555" s="106"/>
      <c r="Q555" s="295"/>
      <c r="R555" s="106"/>
      <c r="S555" s="295"/>
      <c r="T555" s="106"/>
      <c r="U555" s="295"/>
      <c r="V555" s="106"/>
      <c r="W555" s="295"/>
      <c r="X555" s="185"/>
      <c r="Y555" s="71"/>
      <c r="Z555" s="186"/>
      <c r="AA555" s="186"/>
      <c r="AB555" s="550"/>
    </row>
    <row r="556" spans="1:34" ht="12.6" customHeight="1" x14ac:dyDescent="0.2">
      <c r="A556" s="4"/>
      <c r="B556" s="98"/>
      <c r="C556" s="551"/>
      <c r="D556" s="551"/>
      <c r="E556" s="551"/>
      <c r="F556" s="368"/>
      <c r="G556" s="295"/>
      <c r="H556" s="106"/>
      <c r="I556" s="295"/>
      <c r="J556" s="106"/>
      <c r="K556" s="295"/>
      <c r="L556" s="106"/>
      <c r="M556" s="295"/>
      <c r="N556" s="106"/>
      <c r="O556" s="295"/>
      <c r="P556" s="106"/>
      <c r="Q556" s="295"/>
      <c r="R556" s="106"/>
      <c r="S556" s="295"/>
      <c r="T556" s="106"/>
      <c r="U556" s="295"/>
      <c r="V556" s="106"/>
      <c r="W556" s="295"/>
      <c r="X556" s="185"/>
      <c r="Y556" s="71"/>
      <c r="Z556" s="186"/>
      <c r="AA556" s="186"/>
      <c r="AB556" s="550"/>
    </row>
    <row r="557" spans="1:34" ht="12.6" customHeight="1" x14ac:dyDescent="0.2">
      <c r="A557" s="4"/>
      <c r="B557" s="98"/>
      <c r="C557" s="551"/>
      <c r="D557" s="551"/>
      <c r="E557" s="551"/>
      <c r="F557" s="368"/>
      <c r="G557" s="295"/>
      <c r="H557" s="106"/>
      <c r="I557" s="295"/>
      <c r="J557" s="106"/>
      <c r="K557" s="295"/>
      <c r="L557" s="106"/>
      <c r="M557" s="295"/>
      <c r="N557" s="106"/>
      <c r="O557" s="295"/>
      <c r="P557" s="106"/>
      <c r="Q557" s="295"/>
      <c r="R557" s="106"/>
      <c r="S557" s="295"/>
      <c r="T557" s="106"/>
      <c r="U557" s="295"/>
      <c r="V557" s="106"/>
      <c r="W557" s="295"/>
      <c r="X557" s="185"/>
      <c r="Y557" s="71"/>
      <c r="Z557" s="186"/>
      <c r="AA557" s="186"/>
      <c r="AB557" s="550"/>
    </row>
    <row r="558" spans="1:34" ht="12.6" customHeight="1" x14ac:dyDescent="0.2">
      <c r="A558" s="4"/>
      <c r="B558" s="98"/>
      <c r="C558" s="551"/>
      <c r="D558" s="551"/>
      <c r="E558" s="551"/>
      <c r="F558" s="368"/>
      <c r="G558" s="295"/>
      <c r="H558" s="106"/>
      <c r="I558" s="295"/>
      <c r="J558" s="106"/>
      <c r="K558" s="295"/>
      <c r="L558" s="106"/>
      <c r="M558" s="295"/>
      <c r="N558" s="106"/>
      <c r="O558" s="295"/>
      <c r="P558" s="106"/>
      <c r="Q558" s="295"/>
      <c r="R558" s="106"/>
      <c r="S558" s="295"/>
      <c r="T558" s="106"/>
      <c r="U558" s="295"/>
      <c r="V558" s="106"/>
      <c r="W558" s="295"/>
      <c r="X558" s="185"/>
      <c r="Y558" s="71"/>
      <c r="Z558" s="186"/>
      <c r="AA558" s="186"/>
      <c r="AB558" s="550"/>
    </row>
    <row r="559" spans="1:34" ht="15.75" customHeight="1" x14ac:dyDescent="0.2">
      <c r="B559" s="741" t="s">
        <v>445</v>
      </c>
      <c r="C559" s="742"/>
      <c r="D559" s="742"/>
      <c r="E559" s="742"/>
      <c r="F559" s="742"/>
      <c r="G559" s="742"/>
      <c r="H559" s="742"/>
      <c r="I559" s="742"/>
      <c r="J559" s="742"/>
      <c r="K559" s="742"/>
      <c r="L559" s="742"/>
      <c r="M559" s="742"/>
      <c r="N559" s="742"/>
      <c r="O559" s="742"/>
      <c r="P559" s="742"/>
      <c r="Q559" s="742"/>
      <c r="R559" s="742"/>
      <c r="S559" s="742"/>
      <c r="T559" s="742"/>
      <c r="U559" s="742"/>
      <c r="V559" s="742"/>
      <c r="W559" s="742"/>
      <c r="AB559" s="4"/>
      <c r="AF559" s="748"/>
      <c r="AG559" s="749"/>
      <c r="AH559" s="749"/>
    </row>
    <row r="560" spans="1:34" ht="12" customHeight="1" x14ac:dyDescent="0.2">
      <c r="B560" s="739" t="s">
        <v>11</v>
      </c>
      <c r="C560" s="739" t="s">
        <v>12</v>
      </c>
      <c r="D560" s="740"/>
      <c r="E560" s="740"/>
      <c r="F560" s="644" t="s">
        <v>259</v>
      </c>
      <c r="G560" s="644" t="s">
        <v>13</v>
      </c>
      <c r="H560" s="632" t="s">
        <v>935</v>
      </c>
      <c r="I560" s="632"/>
      <c r="J560" s="633"/>
      <c r="K560" s="633"/>
      <c r="L560" s="633"/>
      <c r="M560" s="633"/>
      <c r="N560" s="633"/>
      <c r="O560" s="633"/>
      <c r="P560" s="633"/>
      <c r="Q560" s="633"/>
      <c r="R560" s="633"/>
      <c r="S560" s="633"/>
      <c r="T560" s="633"/>
      <c r="U560" s="633"/>
      <c r="V560" s="633"/>
      <c r="W560" s="633"/>
      <c r="X560" s="658" t="s">
        <v>14</v>
      </c>
      <c r="Y560" s="659"/>
      <c r="Z560" s="659"/>
      <c r="AA560" s="660"/>
      <c r="AB560" s="760" t="s">
        <v>15</v>
      </c>
      <c r="AF560" s="748" t="s">
        <v>3</v>
      </c>
      <c r="AG560" s="749"/>
      <c r="AH560" s="749"/>
    </row>
    <row r="561" spans="1:28" ht="12" customHeight="1" x14ac:dyDescent="0.2">
      <c r="B561" s="740"/>
      <c r="C561" s="740"/>
      <c r="D561" s="740"/>
      <c r="E561" s="740"/>
      <c r="F561" s="645"/>
      <c r="G561" s="645"/>
      <c r="H561" s="406"/>
      <c r="I561" s="405" t="s">
        <v>510</v>
      </c>
      <c r="J561" s="406"/>
      <c r="K561" s="405" t="s">
        <v>260</v>
      </c>
      <c r="L561" s="406"/>
      <c r="M561" s="405" t="s">
        <v>261</v>
      </c>
      <c r="N561" s="406"/>
      <c r="O561" s="405" t="s">
        <v>512</v>
      </c>
      <c r="P561" s="406"/>
      <c r="Q561" s="405" t="s">
        <v>17</v>
      </c>
      <c r="R561" s="406"/>
      <c r="S561" s="405" t="s">
        <v>18</v>
      </c>
      <c r="T561" s="406"/>
      <c r="U561" s="405" t="s">
        <v>19</v>
      </c>
      <c r="V561" s="406"/>
      <c r="W561" s="405" t="s">
        <v>513</v>
      </c>
      <c r="X561" s="661"/>
      <c r="Y561" s="662"/>
      <c r="Z561" s="662"/>
      <c r="AA561" s="663"/>
      <c r="AB561" s="761"/>
    </row>
    <row r="562" spans="1:28" ht="12" customHeight="1" x14ac:dyDescent="0.2">
      <c r="A562" s="4"/>
      <c r="B562" s="899" t="s">
        <v>1008</v>
      </c>
      <c r="C562" s="900"/>
      <c r="D562" s="900"/>
      <c r="E562" s="900"/>
      <c r="F562" s="280">
        <f>14.6*X2</f>
        <v>22484</v>
      </c>
      <c r="G562" s="280">
        <f t="shared" ref="G562" si="1604">+F562*$X$1</f>
        <v>22484</v>
      </c>
      <c r="H562" s="92">
        <f>F562+5000</f>
        <v>27484</v>
      </c>
      <c r="I562" s="280">
        <f t="shared" ref="I562" si="1605">+H562*$X$1</f>
        <v>27484</v>
      </c>
      <c r="J562" s="92">
        <f>F562+1200</f>
        <v>23684</v>
      </c>
      <c r="K562" s="280">
        <f t="shared" ref="K562" si="1606">+J562*$X$1</f>
        <v>23684</v>
      </c>
      <c r="L562" s="92">
        <f>F562+1000</f>
        <v>23484</v>
      </c>
      <c r="M562" s="280">
        <f t="shared" ref="M562" si="1607">+L562*$X$1</f>
        <v>23484</v>
      </c>
      <c r="N562" s="92">
        <f>F562+850</f>
        <v>23334</v>
      </c>
      <c r="O562" s="280">
        <f t="shared" ref="O562" si="1608">+N562*$X$1</f>
        <v>23334</v>
      </c>
      <c r="P562" s="92">
        <f>F562+740</f>
        <v>23224</v>
      </c>
      <c r="Q562" s="280">
        <f t="shared" ref="Q562" si="1609">+P562*$X$1</f>
        <v>23224</v>
      </c>
      <c r="R562" s="92">
        <f>F562+650</f>
        <v>23134</v>
      </c>
      <c r="S562" s="280">
        <f t="shared" ref="S562" si="1610">+R562*$X$1</f>
        <v>23134</v>
      </c>
      <c r="T562" s="92">
        <f>F562+560</f>
        <v>23044</v>
      </c>
      <c r="U562" s="280">
        <f t="shared" ref="U562" si="1611">+T562*$X$1</f>
        <v>23044</v>
      </c>
      <c r="V562" s="92">
        <f>F562+450</f>
        <v>22934</v>
      </c>
      <c r="W562" s="280">
        <f t="shared" ref="W562" si="1612">+V562*$X$1</f>
        <v>22934</v>
      </c>
      <c r="X562" s="127"/>
      <c r="Y562" s="122"/>
      <c r="Z562" s="128"/>
      <c r="AA562" s="129"/>
      <c r="AB562" s="345">
        <v>872</v>
      </c>
    </row>
    <row r="563" spans="1:28" ht="12" customHeight="1" x14ac:dyDescent="0.2">
      <c r="A563" s="4"/>
      <c r="B563" s="750" t="s">
        <v>676</v>
      </c>
      <c r="C563" s="700"/>
      <c r="D563" s="700"/>
      <c r="E563" s="700"/>
      <c r="F563" s="270">
        <f>7.9*X2</f>
        <v>12166</v>
      </c>
      <c r="G563" s="270">
        <f t="shared" ref="G563" si="1613">+F563*$X$1</f>
        <v>12166</v>
      </c>
      <c r="H563" s="93">
        <f>F563+6000</f>
        <v>18166</v>
      </c>
      <c r="I563" s="270">
        <f t="shared" ref="I563" si="1614">+H563*$X$1</f>
        <v>18166</v>
      </c>
      <c r="J563" s="93">
        <f>F563+2000</f>
        <v>14166</v>
      </c>
      <c r="K563" s="270">
        <f t="shared" ref="K563" si="1615">+J563*$X$1</f>
        <v>14166</v>
      </c>
      <c r="L563" s="93">
        <f>F563+1700</f>
        <v>13866</v>
      </c>
      <c r="M563" s="270">
        <f t="shared" ref="M563" si="1616">+L563*$X$1</f>
        <v>13866</v>
      </c>
      <c r="N563" s="93">
        <f>F563+1550</f>
        <v>13716</v>
      </c>
      <c r="O563" s="270">
        <f t="shared" ref="O563" si="1617">+N563*$X$1</f>
        <v>13716</v>
      </c>
      <c r="P563" s="93">
        <f>F563+1350</f>
        <v>13516</v>
      </c>
      <c r="Q563" s="270">
        <f t="shared" ref="Q563" si="1618">+P563*$X$1</f>
        <v>13516</v>
      </c>
      <c r="R563" s="93">
        <f>F563+1200</f>
        <v>13366</v>
      </c>
      <c r="S563" s="270">
        <f t="shared" ref="S563" si="1619">+R563*$X$1</f>
        <v>13366</v>
      </c>
      <c r="T563" s="93">
        <f>F563+1050</f>
        <v>13216</v>
      </c>
      <c r="U563" s="270">
        <f t="shared" ref="U563" si="1620">+T563*$X$1</f>
        <v>13216</v>
      </c>
      <c r="V563" s="93">
        <f>F563+900</f>
        <v>13066</v>
      </c>
      <c r="W563" s="270">
        <f t="shared" ref="W563" si="1621">+V563*$X$1</f>
        <v>13066</v>
      </c>
      <c r="X563" s="127"/>
      <c r="Y563" s="122"/>
      <c r="Z563" s="128"/>
      <c r="AA563" s="129"/>
      <c r="AB563" s="359" t="s">
        <v>680</v>
      </c>
    </row>
    <row r="564" spans="1:28" ht="12" customHeight="1" x14ac:dyDescent="0.2">
      <c r="A564" s="4"/>
      <c r="B564" s="746" t="s">
        <v>675</v>
      </c>
      <c r="C564" s="747"/>
      <c r="D564" s="747"/>
      <c r="E564" s="747"/>
      <c r="F564" s="280">
        <f>7.9*X2</f>
        <v>12166</v>
      </c>
      <c r="G564" s="280">
        <f t="shared" ref="G564" si="1622">+F564*$X$1</f>
        <v>12166</v>
      </c>
      <c r="H564" s="92">
        <f>F564+5000</f>
        <v>17166</v>
      </c>
      <c r="I564" s="280">
        <f t="shared" ref="I564" si="1623">+H564*$X$1</f>
        <v>17166</v>
      </c>
      <c r="J564" s="92">
        <f>F564+1200</f>
        <v>13366</v>
      </c>
      <c r="K564" s="280">
        <f t="shared" ref="K564" si="1624">+J564*$X$1</f>
        <v>13366</v>
      </c>
      <c r="L564" s="92">
        <f>F564+1000</f>
        <v>13166</v>
      </c>
      <c r="M564" s="280">
        <f t="shared" ref="M564" si="1625">+L564*$X$1</f>
        <v>13166</v>
      </c>
      <c r="N564" s="92">
        <f>F564+850</f>
        <v>13016</v>
      </c>
      <c r="O564" s="280">
        <f t="shared" ref="O564" si="1626">+N564*$X$1</f>
        <v>13016</v>
      </c>
      <c r="P564" s="92">
        <f>F564+740</f>
        <v>12906</v>
      </c>
      <c r="Q564" s="280">
        <f t="shared" ref="Q564" si="1627">+P564*$X$1</f>
        <v>12906</v>
      </c>
      <c r="R564" s="92">
        <f>F564+650</f>
        <v>12816</v>
      </c>
      <c r="S564" s="280">
        <f t="shared" ref="S564" si="1628">+R564*$X$1</f>
        <v>12816</v>
      </c>
      <c r="T564" s="92">
        <f>F564+560</f>
        <v>12726</v>
      </c>
      <c r="U564" s="280">
        <f t="shared" ref="U564" si="1629">+T564*$X$1</f>
        <v>12726</v>
      </c>
      <c r="V564" s="92">
        <f>F564+450</f>
        <v>12616</v>
      </c>
      <c r="W564" s="280">
        <f t="shared" ref="W564" si="1630">+V564*$X$1</f>
        <v>12616</v>
      </c>
      <c r="X564" s="127"/>
      <c r="Y564" s="122"/>
      <c r="Z564" s="128"/>
      <c r="AA564" s="129"/>
      <c r="AB564" s="345">
        <v>873</v>
      </c>
    </row>
    <row r="565" spans="1:28" ht="12" customHeight="1" x14ac:dyDescent="0.2">
      <c r="A565" s="4"/>
      <c r="B565" s="750" t="s">
        <v>635</v>
      </c>
      <c r="C565" s="700"/>
      <c r="D565" s="700"/>
      <c r="E565" s="700"/>
      <c r="F565" s="270">
        <f>14*X2</f>
        <v>21560</v>
      </c>
      <c r="G565" s="270">
        <f t="shared" ref="G565" si="1631">+F565*$X$1</f>
        <v>21560</v>
      </c>
      <c r="H565" s="93">
        <f>F565+5000</f>
        <v>26560</v>
      </c>
      <c r="I565" s="270">
        <f t="shared" ref="I565" si="1632">+H565*$X$1</f>
        <v>26560</v>
      </c>
      <c r="J565" s="93">
        <f>F565+1200</f>
        <v>22760</v>
      </c>
      <c r="K565" s="270">
        <f t="shared" ref="K565" si="1633">+J565*$X$1</f>
        <v>22760</v>
      </c>
      <c r="L565" s="93">
        <f>F565+1000</f>
        <v>22560</v>
      </c>
      <c r="M565" s="270">
        <f t="shared" ref="M565" si="1634">+L565*$X$1</f>
        <v>22560</v>
      </c>
      <c r="N565" s="93">
        <f>F565+850</f>
        <v>22410</v>
      </c>
      <c r="O565" s="270">
        <f t="shared" ref="O565" si="1635">+N565*$X$1</f>
        <v>22410</v>
      </c>
      <c r="P565" s="93">
        <f>F565+740</f>
        <v>22300</v>
      </c>
      <c r="Q565" s="270">
        <f t="shared" ref="Q565" si="1636">+P565*$X$1</f>
        <v>22300</v>
      </c>
      <c r="R565" s="93">
        <f>F565+650</f>
        <v>22210</v>
      </c>
      <c r="S565" s="270">
        <f t="shared" ref="S565" si="1637">+R565*$X$1</f>
        <v>22210</v>
      </c>
      <c r="T565" s="93">
        <f>F565+560</f>
        <v>22120</v>
      </c>
      <c r="U565" s="270">
        <f t="shared" ref="U565" si="1638">+T565*$X$1</f>
        <v>22120</v>
      </c>
      <c r="V565" s="93">
        <f>F565+450</f>
        <v>22010</v>
      </c>
      <c r="W565" s="270">
        <f t="shared" ref="W565" si="1639">+V565*$X$1</f>
        <v>22010</v>
      </c>
      <c r="X565" s="127"/>
      <c r="Y565" s="122"/>
      <c r="Z565" s="128"/>
      <c r="AA565" s="129"/>
      <c r="AB565" s="345">
        <v>874</v>
      </c>
    </row>
    <row r="566" spans="1:28" ht="12.6" customHeight="1" x14ac:dyDescent="0.2">
      <c r="A566" s="4"/>
      <c r="B566" s="746" t="s">
        <v>603</v>
      </c>
      <c r="C566" s="747"/>
      <c r="D566" s="747"/>
      <c r="E566" s="747"/>
      <c r="F566" s="280">
        <f>9.1*X2</f>
        <v>14014</v>
      </c>
      <c r="G566" s="280">
        <f t="shared" ref="G566:G567" si="1640">+F566*$X$1</f>
        <v>14014</v>
      </c>
      <c r="H566" s="92">
        <f>F566+6000</f>
        <v>20014</v>
      </c>
      <c r="I566" s="280">
        <f>+H566*$X$1</f>
        <v>20014</v>
      </c>
      <c r="J566" s="92">
        <f>F566+2000</f>
        <v>16014</v>
      </c>
      <c r="K566" s="280">
        <f>+J566*$X$1</f>
        <v>16014</v>
      </c>
      <c r="L566" s="92">
        <f>F566+1700</f>
        <v>15714</v>
      </c>
      <c r="M566" s="280">
        <f>+L566*$X$1</f>
        <v>15714</v>
      </c>
      <c r="N566" s="92">
        <f>F566+1550</f>
        <v>15564</v>
      </c>
      <c r="O566" s="280">
        <f>+N566*$X$1</f>
        <v>15564</v>
      </c>
      <c r="P566" s="92">
        <f>F566+1350</f>
        <v>15364</v>
      </c>
      <c r="Q566" s="280">
        <f>+P566*$X$1</f>
        <v>15364</v>
      </c>
      <c r="R566" s="92">
        <f>F566+1200</f>
        <v>15214</v>
      </c>
      <c r="S566" s="280">
        <f>+R566*$X$1</f>
        <v>15214</v>
      </c>
      <c r="T566" s="92">
        <f>F566+1050</f>
        <v>15064</v>
      </c>
      <c r="U566" s="280">
        <f>+T566*$X$1</f>
        <v>15064</v>
      </c>
      <c r="V566" s="92">
        <f>F566+900</f>
        <v>14914</v>
      </c>
      <c r="W566" s="280">
        <f>+V566*$X$1</f>
        <v>14914</v>
      </c>
      <c r="X566" s="127"/>
      <c r="Y566" s="122"/>
      <c r="Z566" s="128"/>
      <c r="AA566" s="129"/>
      <c r="AB566" s="345" t="s">
        <v>613</v>
      </c>
    </row>
    <row r="567" spans="1:28" ht="12" customHeight="1" x14ac:dyDescent="0.2">
      <c r="A567" s="4"/>
      <c r="B567" s="757" t="s">
        <v>604</v>
      </c>
      <c r="C567" s="631"/>
      <c r="D567" s="631"/>
      <c r="E567" s="631"/>
      <c r="F567" s="270">
        <f>9.1*X2</f>
        <v>14014</v>
      </c>
      <c r="G567" s="270">
        <f t="shared" si="1640"/>
        <v>14014</v>
      </c>
      <c r="H567" s="93">
        <f>F567+5000</f>
        <v>19014</v>
      </c>
      <c r="I567" s="270">
        <f t="shared" ref="I567:I569" si="1641">+H567*$X$1</f>
        <v>19014</v>
      </c>
      <c r="J567" s="93">
        <f>F567+1200</f>
        <v>15214</v>
      </c>
      <c r="K567" s="270">
        <f t="shared" ref="K567:K569" si="1642">+J567*$X$1</f>
        <v>15214</v>
      </c>
      <c r="L567" s="93">
        <f>F567+1000</f>
        <v>15014</v>
      </c>
      <c r="M567" s="270">
        <f t="shared" ref="M567:M569" si="1643">+L567*$X$1</f>
        <v>15014</v>
      </c>
      <c r="N567" s="93">
        <f>F567+850</f>
        <v>14864</v>
      </c>
      <c r="O567" s="270">
        <f t="shared" ref="O567:O569" si="1644">+N567*$X$1</f>
        <v>14864</v>
      </c>
      <c r="P567" s="93">
        <f>F567+740</f>
        <v>14754</v>
      </c>
      <c r="Q567" s="270">
        <f t="shared" ref="Q567:Q569" si="1645">+P567*$X$1</f>
        <v>14754</v>
      </c>
      <c r="R567" s="93">
        <f>F567+650</f>
        <v>14664</v>
      </c>
      <c r="S567" s="270">
        <f t="shared" ref="S567:S569" si="1646">+R567*$X$1</f>
        <v>14664</v>
      </c>
      <c r="T567" s="93">
        <f>F567+560</f>
        <v>14574</v>
      </c>
      <c r="U567" s="270">
        <f t="shared" ref="U567:U569" si="1647">+T567*$X$1</f>
        <v>14574</v>
      </c>
      <c r="V567" s="93">
        <f>F567+450</f>
        <v>14464</v>
      </c>
      <c r="W567" s="270">
        <f t="shared" ref="W567:W569" si="1648">+V567*$X$1</f>
        <v>14464</v>
      </c>
      <c r="X567" s="127"/>
      <c r="Y567" s="122"/>
      <c r="Z567" s="128"/>
      <c r="AA567" s="129"/>
      <c r="AB567" s="345">
        <v>875</v>
      </c>
    </row>
    <row r="568" spans="1:28" ht="12.6" customHeight="1" x14ac:dyDescent="0.2">
      <c r="A568" s="4"/>
      <c r="B568" s="746" t="s">
        <v>677</v>
      </c>
      <c r="C568" s="747"/>
      <c r="D568" s="747"/>
      <c r="E568" s="747"/>
      <c r="F568" s="280">
        <f>18.1*X2</f>
        <v>27874.000000000004</v>
      </c>
      <c r="G568" s="280">
        <f t="shared" ref="G568" si="1649">+F568*$X$1</f>
        <v>27874.000000000004</v>
      </c>
      <c r="H568" s="92">
        <f>F568+5000</f>
        <v>32874</v>
      </c>
      <c r="I568" s="280">
        <f t="shared" si="1641"/>
        <v>32874</v>
      </c>
      <c r="J568" s="92">
        <f>F568+1200</f>
        <v>29074.000000000004</v>
      </c>
      <c r="K568" s="280">
        <f t="shared" si="1642"/>
        <v>29074.000000000004</v>
      </c>
      <c r="L568" s="92">
        <f>F568+1000</f>
        <v>28874.000000000004</v>
      </c>
      <c r="M568" s="280">
        <f t="shared" si="1643"/>
        <v>28874.000000000004</v>
      </c>
      <c r="N568" s="92">
        <f>F568+850</f>
        <v>28724.000000000004</v>
      </c>
      <c r="O568" s="280">
        <f t="shared" si="1644"/>
        <v>28724.000000000004</v>
      </c>
      <c r="P568" s="92">
        <f>F568+740</f>
        <v>28614.000000000004</v>
      </c>
      <c r="Q568" s="280">
        <f t="shared" si="1645"/>
        <v>28614.000000000004</v>
      </c>
      <c r="R568" s="92">
        <f>F568+650</f>
        <v>28524.000000000004</v>
      </c>
      <c r="S568" s="280">
        <f t="shared" si="1646"/>
        <v>28524.000000000004</v>
      </c>
      <c r="T568" s="92">
        <f>F568+560</f>
        <v>28434.000000000004</v>
      </c>
      <c r="U568" s="280">
        <f t="shared" si="1647"/>
        <v>28434.000000000004</v>
      </c>
      <c r="V568" s="92">
        <f>F568+450</f>
        <v>28324.000000000004</v>
      </c>
      <c r="W568" s="280">
        <f t="shared" si="1648"/>
        <v>28324.000000000004</v>
      </c>
      <c r="X568" s="127"/>
      <c r="Y568" s="122"/>
      <c r="Z568" s="128"/>
      <c r="AA568" s="129"/>
      <c r="AB568" s="345">
        <v>876</v>
      </c>
    </row>
    <row r="569" spans="1:28" ht="12.6" customHeight="1" x14ac:dyDescent="0.2">
      <c r="A569" s="4"/>
      <c r="B569" s="750" t="s">
        <v>636</v>
      </c>
      <c r="C569" s="700"/>
      <c r="D569" s="700"/>
      <c r="E569" s="700"/>
      <c r="F569" s="270">
        <f>15.37*X2</f>
        <v>23669.8</v>
      </c>
      <c r="G569" s="270">
        <f t="shared" ref="G569" si="1650">+F569*$X$1</f>
        <v>23669.8</v>
      </c>
      <c r="H569" s="93">
        <f>F569+6000</f>
        <v>29669.8</v>
      </c>
      <c r="I569" s="270">
        <f t="shared" si="1641"/>
        <v>29669.8</v>
      </c>
      <c r="J569" s="93">
        <f>F569+2000</f>
        <v>25669.8</v>
      </c>
      <c r="K569" s="270">
        <f t="shared" si="1642"/>
        <v>25669.8</v>
      </c>
      <c r="L569" s="93">
        <f>F569+1700</f>
        <v>25369.8</v>
      </c>
      <c r="M569" s="270">
        <f t="shared" si="1643"/>
        <v>25369.8</v>
      </c>
      <c r="N569" s="93">
        <f>F569+1550</f>
        <v>25219.8</v>
      </c>
      <c r="O569" s="270">
        <f t="shared" si="1644"/>
        <v>25219.8</v>
      </c>
      <c r="P569" s="93">
        <f>F569+1350</f>
        <v>25019.8</v>
      </c>
      <c r="Q569" s="270">
        <f t="shared" si="1645"/>
        <v>25019.8</v>
      </c>
      <c r="R569" s="93">
        <f>F569+1200</f>
        <v>24869.8</v>
      </c>
      <c r="S569" s="270">
        <f t="shared" si="1646"/>
        <v>24869.8</v>
      </c>
      <c r="T569" s="93">
        <f>F569+1050</f>
        <v>24719.8</v>
      </c>
      <c r="U569" s="270">
        <f t="shared" si="1647"/>
        <v>24719.8</v>
      </c>
      <c r="V569" s="93">
        <f>F569+900</f>
        <v>24569.8</v>
      </c>
      <c r="W569" s="270">
        <f t="shared" si="1648"/>
        <v>24569.8</v>
      </c>
      <c r="X569" s="127"/>
      <c r="Y569" s="122"/>
      <c r="Z569" s="128"/>
      <c r="AA569" s="129"/>
      <c r="AB569" s="345" t="s">
        <v>568</v>
      </c>
    </row>
    <row r="570" spans="1:28" ht="12.6" customHeight="1" x14ac:dyDescent="0.2">
      <c r="A570" s="4"/>
      <c r="B570" s="746" t="s">
        <v>637</v>
      </c>
      <c r="C570" s="747"/>
      <c r="D570" s="747"/>
      <c r="E570" s="747"/>
      <c r="F570" s="280">
        <f>15.37*X2</f>
        <v>23669.8</v>
      </c>
      <c r="G570" s="280">
        <f t="shared" ref="G570" si="1651">+F570*$X$1</f>
        <v>23669.8</v>
      </c>
      <c r="H570" s="92">
        <f>F570+5000</f>
        <v>28669.8</v>
      </c>
      <c r="I570" s="280">
        <f t="shared" ref="I570:I571" si="1652">+H570*$X$1</f>
        <v>28669.8</v>
      </c>
      <c r="J570" s="92">
        <f>F570+1200</f>
        <v>24869.8</v>
      </c>
      <c r="K570" s="280">
        <f t="shared" ref="K570:K571" si="1653">+J570*$X$1</f>
        <v>24869.8</v>
      </c>
      <c r="L570" s="92">
        <f>F570+1000</f>
        <v>24669.8</v>
      </c>
      <c r="M570" s="280">
        <f t="shared" ref="M570:M571" si="1654">+L570*$X$1</f>
        <v>24669.8</v>
      </c>
      <c r="N570" s="92">
        <f>F570+850</f>
        <v>24519.8</v>
      </c>
      <c r="O570" s="280">
        <f t="shared" ref="O570:O571" si="1655">+N570*$X$1</f>
        <v>24519.8</v>
      </c>
      <c r="P570" s="92">
        <f>F570+740</f>
        <v>24409.8</v>
      </c>
      <c r="Q570" s="280">
        <f t="shared" ref="Q570:Q571" si="1656">+P570*$X$1</f>
        <v>24409.8</v>
      </c>
      <c r="R570" s="92">
        <f>F570+650</f>
        <v>24319.8</v>
      </c>
      <c r="S570" s="280">
        <f t="shared" ref="S570:S571" si="1657">+R570*$X$1</f>
        <v>24319.8</v>
      </c>
      <c r="T570" s="92">
        <f>F570+560</f>
        <v>24229.8</v>
      </c>
      <c r="U570" s="280">
        <f t="shared" ref="U570:U571" si="1658">+T570*$X$1</f>
        <v>24229.8</v>
      </c>
      <c r="V570" s="92">
        <f>F570+450</f>
        <v>24119.8</v>
      </c>
      <c r="W570" s="280">
        <f t="shared" ref="W570:W571" si="1659">+V570*$X$1</f>
        <v>24119.8</v>
      </c>
      <c r="X570" s="127"/>
      <c r="Y570" s="122"/>
      <c r="Z570" s="128"/>
      <c r="AA570" s="129"/>
      <c r="AB570" s="345">
        <v>878</v>
      </c>
    </row>
    <row r="571" spans="1:28" ht="12.6" customHeight="1" x14ac:dyDescent="0.2">
      <c r="A571" s="4"/>
      <c r="B571" s="972" t="s">
        <v>605</v>
      </c>
      <c r="C571" s="973"/>
      <c r="D571" s="973"/>
      <c r="E571" s="973"/>
      <c r="F571" s="459">
        <f>12*X2</f>
        <v>18480</v>
      </c>
      <c r="G571" s="459">
        <f t="shared" ref="G571" si="1660">+F571*$X$1</f>
        <v>18480</v>
      </c>
      <c r="H571" s="532">
        <f>F571+6000</f>
        <v>24480</v>
      </c>
      <c r="I571" s="459">
        <f t="shared" si="1652"/>
        <v>24480</v>
      </c>
      <c r="J571" s="532">
        <f>F571+2000</f>
        <v>20480</v>
      </c>
      <c r="K571" s="459">
        <f t="shared" si="1653"/>
        <v>20480</v>
      </c>
      <c r="L571" s="532">
        <f>F571+1700</f>
        <v>20180</v>
      </c>
      <c r="M571" s="459">
        <f t="shared" si="1654"/>
        <v>20180</v>
      </c>
      <c r="N571" s="532">
        <f>F571+1550</f>
        <v>20030</v>
      </c>
      <c r="O571" s="459">
        <f t="shared" si="1655"/>
        <v>20030</v>
      </c>
      <c r="P571" s="532">
        <f>F571+1350</f>
        <v>19830</v>
      </c>
      <c r="Q571" s="459">
        <f t="shared" si="1656"/>
        <v>19830</v>
      </c>
      <c r="R571" s="532">
        <f>F571+1200</f>
        <v>19680</v>
      </c>
      <c r="S571" s="459">
        <f t="shared" si="1657"/>
        <v>19680</v>
      </c>
      <c r="T571" s="532">
        <f>F571+1050</f>
        <v>19530</v>
      </c>
      <c r="U571" s="459">
        <f t="shared" si="1658"/>
        <v>19530</v>
      </c>
      <c r="V571" s="532">
        <f>F571+900</f>
        <v>19380</v>
      </c>
      <c r="W571" s="459">
        <f t="shared" si="1659"/>
        <v>19380</v>
      </c>
      <c r="X571" s="127"/>
      <c r="Y571" s="122"/>
      <c r="Z571" s="128"/>
      <c r="AA571" s="129"/>
      <c r="AB571" s="345" t="s">
        <v>539</v>
      </c>
    </row>
    <row r="572" spans="1:28" ht="12.6" customHeight="1" x14ac:dyDescent="0.2">
      <c r="A572" s="4"/>
      <c r="B572" s="918" t="s">
        <v>606</v>
      </c>
      <c r="C572" s="919"/>
      <c r="D572" s="919"/>
      <c r="E572" s="919"/>
      <c r="F572" s="459">
        <f>12*X2</f>
        <v>18480</v>
      </c>
      <c r="G572" s="459">
        <f t="shared" ref="G572" si="1661">+F572*$X$1</f>
        <v>18480</v>
      </c>
      <c r="H572" s="532">
        <f>F572+5000</f>
        <v>23480</v>
      </c>
      <c r="I572" s="459">
        <f t="shared" ref="I572" si="1662">+H572*$X$1</f>
        <v>23480</v>
      </c>
      <c r="J572" s="532">
        <f>F572+1200</f>
        <v>19680</v>
      </c>
      <c r="K572" s="459">
        <f t="shared" ref="K572" si="1663">+J572*$X$1</f>
        <v>19680</v>
      </c>
      <c r="L572" s="532">
        <f>F572+1000</f>
        <v>19480</v>
      </c>
      <c r="M572" s="459">
        <f t="shared" ref="M572" si="1664">+L572*$X$1</f>
        <v>19480</v>
      </c>
      <c r="N572" s="532">
        <f>F572+850</f>
        <v>19330</v>
      </c>
      <c r="O572" s="459">
        <f t="shared" ref="O572" si="1665">+N572*$X$1</f>
        <v>19330</v>
      </c>
      <c r="P572" s="532">
        <f>F572+740</f>
        <v>19220</v>
      </c>
      <c r="Q572" s="459">
        <f t="shared" ref="Q572" si="1666">+P572*$X$1</f>
        <v>19220</v>
      </c>
      <c r="R572" s="532">
        <f>F572+650</f>
        <v>19130</v>
      </c>
      <c r="S572" s="459">
        <f t="shared" ref="S572" si="1667">+R572*$X$1</f>
        <v>19130</v>
      </c>
      <c r="T572" s="532">
        <f>F572+560</f>
        <v>19040</v>
      </c>
      <c r="U572" s="459">
        <f t="shared" ref="U572" si="1668">+T572*$X$1</f>
        <v>19040</v>
      </c>
      <c r="V572" s="532">
        <f>F572+450</f>
        <v>18930</v>
      </c>
      <c r="W572" s="459">
        <f t="shared" ref="W572" si="1669">+V572*$X$1</f>
        <v>18930</v>
      </c>
      <c r="X572" s="127"/>
      <c r="Y572" s="122"/>
      <c r="Z572" s="128"/>
      <c r="AA572" s="129"/>
      <c r="AB572" s="345">
        <v>880</v>
      </c>
    </row>
    <row r="573" spans="1:28" ht="12.6" customHeight="1" x14ac:dyDescent="0.2">
      <c r="A573" s="4"/>
      <c r="B573" s="750" t="s">
        <v>607</v>
      </c>
      <c r="C573" s="700"/>
      <c r="D573" s="700"/>
      <c r="E573" s="700"/>
      <c r="F573" s="270">
        <f>31.386*X2</f>
        <v>48334.44</v>
      </c>
      <c r="G573" s="270">
        <f>+F573*$X$1</f>
        <v>48334.44</v>
      </c>
      <c r="H573" s="93">
        <f>F573+6000</f>
        <v>54334.44</v>
      </c>
      <c r="I573" s="270">
        <f>+H573*$X$1</f>
        <v>54334.44</v>
      </c>
      <c r="J573" s="93">
        <f>F573+2000</f>
        <v>50334.44</v>
      </c>
      <c r="K573" s="270">
        <f>+J573*$X$1</f>
        <v>50334.44</v>
      </c>
      <c r="L573" s="93">
        <f>F573+1700</f>
        <v>50034.44</v>
      </c>
      <c r="M573" s="270">
        <f>+L573*$X$1</f>
        <v>50034.44</v>
      </c>
      <c r="N573" s="93">
        <f>F573+1550</f>
        <v>49884.44</v>
      </c>
      <c r="O573" s="270">
        <f>+N573*$X$1</f>
        <v>49884.44</v>
      </c>
      <c r="P573" s="93">
        <f>F573+1350</f>
        <v>49684.44</v>
      </c>
      <c r="Q573" s="270">
        <f>+P573*$X$1</f>
        <v>49684.44</v>
      </c>
      <c r="R573" s="93">
        <f>F573+1200</f>
        <v>49534.44</v>
      </c>
      <c r="S573" s="270">
        <f>+R573*$X$1</f>
        <v>49534.44</v>
      </c>
      <c r="T573" s="93">
        <f>F573+1050</f>
        <v>49384.44</v>
      </c>
      <c r="U573" s="270">
        <f>+T573*$X$1</f>
        <v>49384.44</v>
      </c>
      <c r="V573" s="93">
        <f>F573+900</f>
        <v>49234.44</v>
      </c>
      <c r="W573" s="270">
        <f>+V573*$X$1</f>
        <v>49234.44</v>
      </c>
      <c r="X573" s="127"/>
      <c r="Y573" s="122"/>
      <c r="Z573" s="128"/>
      <c r="AA573" s="129"/>
      <c r="AB573" s="345" t="s">
        <v>540</v>
      </c>
    </row>
    <row r="574" spans="1:28" ht="12.6" customHeight="1" x14ac:dyDescent="0.2">
      <c r="A574" s="4"/>
      <c r="B574" s="763" t="s">
        <v>608</v>
      </c>
      <c r="C574" s="643"/>
      <c r="D574" s="643"/>
      <c r="E574" s="643"/>
      <c r="F574" s="280">
        <f>31.386*X2</f>
        <v>48334.44</v>
      </c>
      <c r="G574" s="280">
        <f t="shared" ref="G574" si="1670">+F574*$X$1</f>
        <v>48334.44</v>
      </c>
      <c r="H574" s="92">
        <f>F574+5000</f>
        <v>53334.44</v>
      </c>
      <c r="I574" s="280">
        <f t="shared" ref="I574" si="1671">+H574*$X$1</f>
        <v>53334.44</v>
      </c>
      <c r="J574" s="92">
        <f>F574+1200</f>
        <v>49534.44</v>
      </c>
      <c r="K574" s="280">
        <f t="shared" ref="K574" si="1672">+J574*$X$1</f>
        <v>49534.44</v>
      </c>
      <c r="L574" s="92">
        <f>F574+1000</f>
        <v>49334.44</v>
      </c>
      <c r="M574" s="280">
        <f t="shared" ref="M574" si="1673">+L574*$X$1</f>
        <v>49334.44</v>
      </c>
      <c r="N574" s="92">
        <f>F574+850</f>
        <v>49184.44</v>
      </c>
      <c r="O574" s="280">
        <f t="shared" ref="O574" si="1674">+N574*$X$1</f>
        <v>49184.44</v>
      </c>
      <c r="P574" s="92">
        <f>F574+740</f>
        <v>49074.44</v>
      </c>
      <c r="Q574" s="280">
        <f t="shared" ref="Q574" si="1675">+P574*$X$1</f>
        <v>49074.44</v>
      </c>
      <c r="R574" s="92">
        <f>F574+650</f>
        <v>48984.44</v>
      </c>
      <c r="S574" s="280">
        <f t="shared" ref="S574" si="1676">+R574*$X$1</f>
        <v>48984.44</v>
      </c>
      <c r="T574" s="92">
        <f>F574+560</f>
        <v>48894.44</v>
      </c>
      <c r="U574" s="280">
        <f t="shared" ref="U574" si="1677">+T574*$X$1</f>
        <v>48894.44</v>
      </c>
      <c r="V574" s="92">
        <f>F574+450</f>
        <v>48784.44</v>
      </c>
      <c r="W574" s="280">
        <f t="shared" ref="W574" si="1678">+V574*$X$1</f>
        <v>48784.44</v>
      </c>
      <c r="X574" s="127"/>
      <c r="Y574" s="122"/>
      <c r="Z574" s="128"/>
      <c r="AA574" s="129"/>
      <c r="AB574" s="345">
        <v>881</v>
      </c>
    </row>
    <row r="575" spans="1:28" ht="12.6" customHeight="1" x14ac:dyDescent="0.2">
      <c r="A575" s="4"/>
      <c r="B575" s="750" t="s">
        <v>609</v>
      </c>
      <c r="C575" s="700"/>
      <c r="D575" s="700"/>
      <c r="E575" s="700"/>
      <c r="F575" s="270">
        <f>13.2*X2</f>
        <v>20328</v>
      </c>
      <c r="G575" s="270">
        <f>+F575*$X$1</f>
        <v>20328</v>
      </c>
      <c r="H575" s="93">
        <f>F575+5000</f>
        <v>25328</v>
      </c>
      <c r="I575" s="270">
        <f>+H575*$X$1</f>
        <v>25328</v>
      </c>
      <c r="J575" s="93">
        <f>F575+1200</f>
        <v>21528</v>
      </c>
      <c r="K575" s="270">
        <f>+J575*$X$1</f>
        <v>21528</v>
      </c>
      <c r="L575" s="93">
        <f>F575+1000</f>
        <v>21328</v>
      </c>
      <c r="M575" s="270">
        <f>+L575*$X$1</f>
        <v>21328</v>
      </c>
      <c r="N575" s="93">
        <f>F575+850</f>
        <v>21178</v>
      </c>
      <c r="O575" s="270">
        <f>+N575*$X$1</f>
        <v>21178</v>
      </c>
      <c r="P575" s="93">
        <f>F575+740</f>
        <v>21068</v>
      </c>
      <c r="Q575" s="270">
        <f>+P575*$X$1</f>
        <v>21068</v>
      </c>
      <c r="R575" s="93">
        <f>F575+650</f>
        <v>20978</v>
      </c>
      <c r="S575" s="270">
        <f>+R575*$X$1</f>
        <v>20978</v>
      </c>
      <c r="T575" s="93">
        <f>F575+560</f>
        <v>20888</v>
      </c>
      <c r="U575" s="270">
        <f>+T575*$X$1</f>
        <v>20888</v>
      </c>
      <c r="V575" s="93">
        <f>F575+450</f>
        <v>20778</v>
      </c>
      <c r="W575" s="270">
        <f>+V575*$X$1</f>
        <v>20778</v>
      </c>
      <c r="X575" s="127"/>
      <c r="Y575" s="122"/>
      <c r="Z575" s="128"/>
      <c r="AA575" s="129"/>
      <c r="AB575" s="345">
        <v>882</v>
      </c>
    </row>
    <row r="576" spans="1:28" ht="12.6" customHeight="1" x14ac:dyDescent="0.2">
      <c r="A576" s="4"/>
      <c r="B576" s="746" t="s">
        <v>413</v>
      </c>
      <c r="C576" s="747"/>
      <c r="D576" s="747"/>
      <c r="E576" s="747"/>
      <c r="F576" s="280">
        <f>24*X2</f>
        <v>36960</v>
      </c>
      <c r="G576" s="280">
        <f t="shared" ref="G576" si="1679">+F576*$X$1</f>
        <v>36960</v>
      </c>
      <c r="H576" s="92">
        <f>F576+5000</f>
        <v>41960</v>
      </c>
      <c r="I576" s="280">
        <f>+H576*$X$1</f>
        <v>41960</v>
      </c>
      <c r="J576" s="92">
        <f>F576+1200</f>
        <v>38160</v>
      </c>
      <c r="K576" s="280">
        <f>+J576*$X$1</f>
        <v>38160</v>
      </c>
      <c r="L576" s="92">
        <f>F576+1000</f>
        <v>37960</v>
      </c>
      <c r="M576" s="280">
        <f>+L576*$X$1</f>
        <v>37960</v>
      </c>
      <c r="N576" s="92">
        <f>F576+850</f>
        <v>37810</v>
      </c>
      <c r="O576" s="280">
        <f>+N576*$X$1</f>
        <v>37810</v>
      </c>
      <c r="P576" s="92">
        <f>F576+740</f>
        <v>37700</v>
      </c>
      <c r="Q576" s="280">
        <f>+P576*$X$1</f>
        <v>37700</v>
      </c>
      <c r="R576" s="92">
        <f>F576+650</f>
        <v>37610</v>
      </c>
      <c r="S576" s="280">
        <f>+R576*$X$1</f>
        <v>37610</v>
      </c>
      <c r="T576" s="92">
        <f>F576+560</f>
        <v>37520</v>
      </c>
      <c r="U576" s="280">
        <f>+T576*$X$1</f>
        <v>37520</v>
      </c>
      <c r="V576" s="92">
        <f>F576+450</f>
        <v>37410</v>
      </c>
      <c r="W576" s="280">
        <f>+V576*$X$1</f>
        <v>37410</v>
      </c>
      <c r="X576" s="127"/>
      <c r="Y576" s="122"/>
      <c r="Z576" s="128"/>
      <c r="AA576" s="129"/>
      <c r="AB576" s="345">
        <v>883</v>
      </c>
    </row>
    <row r="577" spans="1:28" ht="12.6" customHeight="1" x14ac:dyDescent="0.2">
      <c r="A577" s="4"/>
      <c r="B577" s="757" t="s">
        <v>896</v>
      </c>
      <c r="C577" s="762"/>
      <c r="D577" s="762"/>
      <c r="E577" s="762"/>
      <c r="F577" s="255">
        <f>36.4*X2</f>
        <v>56056</v>
      </c>
      <c r="G577" s="255">
        <f>+F577*$X$1</f>
        <v>56056</v>
      </c>
      <c r="H577" s="93">
        <f>F577+5000</f>
        <v>61056</v>
      </c>
      <c r="I577" s="270">
        <f>+H577*$X$1</f>
        <v>61056</v>
      </c>
      <c r="J577" s="93">
        <f>F577+1200</f>
        <v>57256</v>
      </c>
      <c r="K577" s="270">
        <f>+J577*$X$1</f>
        <v>57256</v>
      </c>
      <c r="L577" s="93">
        <f>F577+1000</f>
        <v>57056</v>
      </c>
      <c r="M577" s="270">
        <f>+L577*$X$1</f>
        <v>57056</v>
      </c>
      <c r="N577" s="93">
        <f>F577+850</f>
        <v>56906</v>
      </c>
      <c r="O577" s="270">
        <f>+N577*$X$1</f>
        <v>56906</v>
      </c>
      <c r="P577" s="93">
        <f>F577+740</f>
        <v>56796</v>
      </c>
      <c r="Q577" s="270">
        <f>+P577*$X$1</f>
        <v>56796</v>
      </c>
      <c r="R577" s="93">
        <f>F577+650</f>
        <v>56706</v>
      </c>
      <c r="S577" s="270">
        <f>+R577*$X$1</f>
        <v>56706</v>
      </c>
      <c r="T577" s="93">
        <f>F577+560</f>
        <v>56616</v>
      </c>
      <c r="U577" s="270">
        <f>+T577*$X$1</f>
        <v>56616</v>
      </c>
      <c r="V577" s="93">
        <f>F577+450</f>
        <v>56506</v>
      </c>
      <c r="W577" s="270">
        <f>+V577*$X$1</f>
        <v>56506</v>
      </c>
      <c r="X577" s="127"/>
      <c r="Y577" s="122"/>
      <c r="Z577" s="128"/>
      <c r="AA577" s="129"/>
      <c r="AB577" s="345">
        <v>884</v>
      </c>
    </row>
    <row r="578" spans="1:28" ht="12.6" customHeight="1" x14ac:dyDescent="0.2">
      <c r="A578" s="4"/>
      <c r="B578" s="743" t="s">
        <v>687</v>
      </c>
      <c r="C578" s="649"/>
      <c r="D578" s="649"/>
      <c r="E578" s="650"/>
      <c r="F578" s="280">
        <f>12*X2</f>
        <v>18480</v>
      </c>
      <c r="G578" s="280">
        <f>+F578*$X$1</f>
        <v>18480</v>
      </c>
      <c r="H578" s="92">
        <f>F578+6000</f>
        <v>24480</v>
      </c>
      <c r="I578" s="280">
        <f>+H578*$X$1</f>
        <v>24480</v>
      </c>
      <c r="J578" s="92">
        <f>F578+2000</f>
        <v>20480</v>
      </c>
      <c r="K578" s="280">
        <f>+J578*$X$1</f>
        <v>20480</v>
      </c>
      <c r="L578" s="92">
        <f>F578+1700</f>
        <v>20180</v>
      </c>
      <c r="M578" s="280">
        <f>+L578*$X$1</f>
        <v>20180</v>
      </c>
      <c r="N578" s="92">
        <f>F578+1550</f>
        <v>20030</v>
      </c>
      <c r="O578" s="280">
        <f>+N578*$X$1</f>
        <v>20030</v>
      </c>
      <c r="P578" s="92">
        <f>F578+1350</f>
        <v>19830</v>
      </c>
      <c r="Q578" s="280">
        <f>+P578*$X$1</f>
        <v>19830</v>
      </c>
      <c r="R578" s="92">
        <f>F578+1200</f>
        <v>19680</v>
      </c>
      <c r="S578" s="280">
        <f>+R578*$X$1</f>
        <v>19680</v>
      </c>
      <c r="T578" s="92">
        <f>F578+1050</f>
        <v>19530</v>
      </c>
      <c r="U578" s="280">
        <f>+T578*$X$1</f>
        <v>19530</v>
      </c>
      <c r="V578" s="92">
        <f>F578+900</f>
        <v>19380</v>
      </c>
      <c r="W578" s="280">
        <f>+V578*$X$1</f>
        <v>19380</v>
      </c>
      <c r="X578" s="127"/>
      <c r="Y578" s="122"/>
      <c r="Z578" s="128"/>
      <c r="AA578" s="129"/>
      <c r="AB578" s="345" t="s">
        <v>686</v>
      </c>
    </row>
    <row r="579" spans="1:28" ht="12.6" customHeight="1" x14ac:dyDescent="0.2">
      <c r="A579" s="4"/>
      <c r="B579" s="901" t="s">
        <v>688</v>
      </c>
      <c r="C579" s="902"/>
      <c r="D579" s="902"/>
      <c r="E579" s="903"/>
      <c r="F579" s="270">
        <f>12*X2</f>
        <v>18480</v>
      </c>
      <c r="G579" s="270">
        <f>+F579*$X$1</f>
        <v>18480</v>
      </c>
      <c r="H579" s="93">
        <f>F579+5000</f>
        <v>23480</v>
      </c>
      <c r="I579" s="270">
        <f t="shared" ref="I579:I580" si="1680">+H579*$X$1</f>
        <v>23480</v>
      </c>
      <c r="J579" s="93">
        <f>F579+1200</f>
        <v>19680</v>
      </c>
      <c r="K579" s="270">
        <f t="shared" ref="K579:K580" si="1681">+J579*$X$1</f>
        <v>19680</v>
      </c>
      <c r="L579" s="93">
        <f>F579+1000</f>
        <v>19480</v>
      </c>
      <c r="M579" s="270">
        <f t="shared" ref="M579:M580" si="1682">+L579*$X$1</f>
        <v>19480</v>
      </c>
      <c r="N579" s="93">
        <f>F579+850</f>
        <v>19330</v>
      </c>
      <c r="O579" s="270">
        <f t="shared" ref="O579:O580" si="1683">+N579*$X$1</f>
        <v>19330</v>
      </c>
      <c r="P579" s="93">
        <f>F579+740</f>
        <v>19220</v>
      </c>
      <c r="Q579" s="270">
        <f t="shared" ref="Q579:Q580" si="1684">+P579*$X$1</f>
        <v>19220</v>
      </c>
      <c r="R579" s="93">
        <f>F579+650</f>
        <v>19130</v>
      </c>
      <c r="S579" s="270">
        <f t="shared" ref="S579:S580" si="1685">+R579*$X$1</f>
        <v>19130</v>
      </c>
      <c r="T579" s="93">
        <f>F579+560</f>
        <v>19040</v>
      </c>
      <c r="U579" s="270">
        <f t="shared" ref="U579:U580" si="1686">+T579*$X$1</f>
        <v>19040</v>
      </c>
      <c r="V579" s="93">
        <f>F579+450</f>
        <v>18930</v>
      </c>
      <c r="W579" s="270">
        <f t="shared" ref="W579:W580" si="1687">+V579*$X$1</f>
        <v>18930</v>
      </c>
      <c r="X579" s="127"/>
      <c r="Y579" s="122"/>
      <c r="Z579" s="128"/>
      <c r="AA579" s="129"/>
      <c r="AB579" s="345">
        <v>886</v>
      </c>
    </row>
    <row r="580" spans="1:28" ht="12.6" customHeight="1" x14ac:dyDescent="0.2">
      <c r="A580" s="4"/>
      <c r="B580" s="746" t="s">
        <v>639</v>
      </c>
      <c r="C580" s="747"/>
      <c r="D580" s="747"/>
      <c r="E580" s="747"/>
      <c r="F580" s="256">
        <f>16.1*X2</f>
        <v>24794.000000000004</v>
      </c>
      <c r="G580" s="256">
        <f t="shared" ref="G580" si="1688">+F580*$X$1</f>
        <v>24794.000000000004</v>
      </c>
      <c r="H580" s="92">
        <f>F580+6000</f>
        <v>30794.000000000004</v>
      </c>
      <c r="I580" s="280">
        <f t="shared" si="1680"/>
        <v>30794.000000000004</v>
      </c>
      <c r="J580" s="92">
        <f>F580+2000</f>
        <v>26794.000000000004</v>
      </c>
      <c r="K580" s="280">
        <f t="shared" si="1681"/>
        <v>26794.000000000004</v>
      </c>
      <c r="L580" s="92">
        <f>F580+1700</f>
        <v>26494.000000000004</v>
      </c>
      <c r="M580" s="280">
        <f t="shared" si="1682"/>
        <v>26494.000000000004</v>
      </c>
      <c r="N580" s="92">
        <f>F580+1550</f>
        <v>26344.000000000004</v>
      </c>
      <c r="O580" s="280">
        <f t="shared" si="1683"/>
        <v>26344.000000000004</v>
      </c>
      <c r="P580" s="92">
        <f>F580+1350</f>
        <v>26144.000000000004</v>
      </c>
      <c r="Q580" s="280">
        <f t="shared" si="1684"/>
        <v>26144.000000000004</v>
      </c>
      <c r="R580" s="92">
        <f>F580+1200</f>
        <v>25994.000000000004</v>
      </c>
      <c r="S580" s="280">
        <f t="shared" si="1685"/>
        <v>25994.000000000004</v>
      </c>
      <c r="T580" s="92">
        <f>F580+1050</f>
        <v>25844.000000000004</v>
      </c>
      <c r="U580" s="280">
        <f t="shared" si="1686"/>
        <v>25844.000000000004</v>
      </c>
      <c r="V580" s="92">
        <f>F580+900</f>
        <v>25694.000000000004</v>
      </c>
      <c r="W580" s="280">
        <f t="shared" si="1687"/>
        <v>25694.000000000004</v>
      </c>
      <c r="X580" s="127"/>
      <c r="Y580" s="122"/>
      <c r="Z580" s="128"/>
      <c r="AA580" s="129"/>
      <c r="AB580" s="345" t="s">
        <v>623</v>
      </c>
    </row>
    <row r="581" spans="1:28" ht="12.6" customHeight="1" x14ac:dyDescent="0.2">
      <c r="A581" s="4"/>
      <c r="B581" s="750" t="s">
        <v>638</v>
      </c>
      <c r="C581" s="700"/>
      <c r="D581" s="700"/>
      <c r="E581" s="700"/>
      <c r="F581" s="255">
        <f>16.1*X2</f>
        <v>24794.000000000004</v>
      </c>
      <c r="G581" s="255">
        <f t="shared" ref="G581" si="1689">+F581*$X$1</f>
        <v>24794.000000000004</v>
      </c>
      <c r="H581" s="93">
        <f>F581+5000</f>
        <v>29794.000000000004</v>
      </c>
      <c r="I581" s="270">
        <f t="shared" ref="I581" si="1690">+H581*$X$1</f>
        <v>29794.000000000004</v>
      </c>
      <c r="J581" s="93">
        <f>F581+1200</f>
        <v>25994.000000000004</v>
      </c>
      <c r="K581" s="270">
        <f t="shared" ref="K581" si="1691">+J581*$X$1</f>
        <v>25994.000000000004</v>
      </c>
      <c r="L581" s="93">
        <f>F581+1000</f>
        <v>25794.000000000004</v>
      </c>
      <c r="M581" s="270">
        <f t="shared" ref="M581" si="1692">+L581*$X$1</f>
        <v>25794.000000000004</v>
      </c>
      <c r="N581" s="93">
        <f>F581+850</f>
        <v>25644.000000000004</v>
      </c>
      <c r="O581" s="270">
        <f t="shared" ref="O581" si="1693">+N581*$X$1</f>
        <v>25644.000000000004</v>
      </c>
      <c r="P581" s="93">
        <f>F581+740</f>
        <v>25534.000000000004</v>
      </c>
      <c r="Q581" s="270">
        <f t="shared" ref="Q581" si="1694">+P581*$X$1</f>
        <v>25534.000000000004</v>
      </c>
      <c r="R581" s="93">
        <f>F581+650</f>
        <v>25444.000000000004</v>
      </c>
      <c r="S581" s="270">
        <f t="shared" ref="S581" si="1695">+R581*$X$1</f>
        <v>25444.000000000004</v>
      </c>
      <c r="T581" s="93">
        <f>F581+560</f>
        <v>25354.000000000004</v>
      </c>
      <c r="U581" s="270">
        <f t="shared" ref="U581" si="1696">+T581*$X$1</f>
        <v>25354.000000000004</v>
      </c>
      <c r="V581" s="93">
        <f>F581+450</f>
        <v>25244.000000000004</v>
      </c>
      <c r="W581" s="270">
        <f t="shared" ref="W581" si="1697">+V581*$X$1</f>
        <v>25244.000000000004</v>
      </c>
      <c r="X581" s="127"/>
      <c r="Y581" s="122"/>
      <c r="Z581" s="128"/>
      <c r="AA581" s="129"/>
      <c r="AB581" s="345">
        <v>887</v>
      </c>
    </row>
    <row r="582" spans="1:28" ht="12.6" customHeight="1" x14ac:dyDescent="0.2">
      <c r="A582" s="4"/>
      <c r="B582" s="763" t="s">
        <v>567</v>
      </c>
      <c r="C582" s="643"/>
      <c r="D582" s="643"/>
      <c r="E582" s="643"/>
      <c r="F582" s="256">
        <f>14.7*X2</f>
        <v>22638</v>
      </c>
      <c r="G582" s="256">
        <f t="shared" ref="G582" si="1698">+F582*$X$1</f>
        <v>22638</v>
      </c>
      <c r="H582" s="92">
        <f>F582+5000</f>
        <v>27638</v>
      </c>
      <c r="I582" s="280">
        <f>+H582*$X$1</f>
        <v>27638</v>
      </c>
      <c r="J582" s="92">
        <f>F582+1200</f>
        <v>23838</v>
      </c>
      <c r="K582" s="280">
        <f>+J582*$X$1</f>
        <v>23838</v>
      </c>
      <c r="L582" s="92">
        <f>F582+1000</f>
        <v>23638</v>
      </c>
      <c r="M582" s="280">
        <f>+L582*$X$1</f>
        <v>23638</v>
      </c>
      <c r="N582" s="92">
        <f>F582+850</f>
        <v>23488</v>
      </c>
      <c r="O582" s="280">
        <f>+N582*$X$1</f>
        <v>23488</v>
      </c>
      <c r="P582" s="92">
        <f>F582+740</f>
        <v>23378</v>
      </c>
      <c r="Q582" s="280">
        <f>+P582*$X$1</f>
        <v>23378</v>
      </c>
      <c r="R582" s="92">
        <f>F582+650</f>
        <v>23288</v>
      </c>
      <c r="S582" s="280">
        <f>+R582*$X$1</f>
        <v>23288</v>
      </c>
      <c r="T582" s="92">
        <f>F582+560</f>
        <v>23198</v>
      </c>
      <c r="U582" s="280">
        <f>+T582*$X$1</f>
        <v>23198</v>
      </c>
      <c r="V582" s="92">
        <f>F582+450</f>
        <v>23088</v>
      </c>
      <c r="W582" s="280">
        <f>+V582*$X$1</f>
        <v>23088</v>
      </c>
      <c r="X582" s="127"/>
      <c r="Y582" s="122"/>
      <c r="Z582" s="128"/>
      <c r="AA582" s="129"/>
      <c r="AB582" s="345">
        <v>888</v>
      </c>
    </row>
    <row r="583" spans="1:28" ht="12.6" customHeight="1" x14ac:dyDescent="0.2">
      <c r="A583" s="4"/>
      <c r="B583" s="757" t="s">
        <v>601</v>
      </c>
      <c r="C583" s="631"/>
      <c r="D583" s="631"/>
      <c r="E583" s="631"/>
      <c r="F583" s="255">
        <f>15.8*X2</f>
        <v>24332</v>
      </c>
      <c r="G583" s="255">
        <f t="shared" ref="G583:G586" si="1699">+F583*$X$1</f>
        <v>24332</v>
      </c>
      <c r="H583" s="93">
        <f>F583+6000</f>
        <v>30332</v>
      </c>
      <c r="I583" s="270">
        <f>+H583*$X$1</f>
        <v>30332</v>
      </c>
      <c r="J583" s="93">
        <f>F583+2000</f>
        <v>26332</v>
      </c>
      <c r="K583" s="270">
        <f>+J583*$X$1</f>
        <v>26332</v>
      </c>
      <c r="L583" s="93">
        <f>F583+1700</f>
        <v>26032</v>
      </c>
      <c r="M583" s="270">
        <f>+L583*$X$1</f>
        <v>26032</v>
      </c>
      <c r="N583" s="93">
        <f>F583+1550</f>
        <v>25882</v>
      </c>
      <c r="O583" s="270">
        <f>+N583*$X$1</f>
        <v>25882</v>
      </c>
      <c r="P583" s="93">
        <f>F583+1350</f>
        <v>25682</v>
      </c>
      <c r="Q583" s="270">
        <f>+P583*$X$1</f>
        <v>25682</v>
      </c>
      <c r="R583" s="93">
        <f>F583+1200</f>
        <v>25532</v>
      </c>
      <c r="S583" s="270">
        <f>+R583*$X$1</f>
        <v>25532</v>
      </c>
      <c r="T583" s="93">
        <f>F583+1050</f>
        <v>25382</v>
      </c>
      <c r="U583" s="270">
        <f>+T583*$X$1</f>
        <v>25382</v>
      </c>
      <c r="V583" s="93">
        <f>F583+900</f>
        <v>25232</v>
      </c>
      <c r="W583" s="270">
        <f>+V583*$X$1</f>
        <v>25232</v>
      </c>
      <c r="X583" s="127"/>
      <c r="Y583" s="122"/>
      <c r="Z583" s="128"/>
      <c r="AA583" s="129"/>
      <c r="AB583" s="345">
        <v>896</v>
      </c>
    </row>
    <row r="584" spans="1:28" ht="12.6" customHeight="1" x14ac:dyDescent="0.2">
      <c r="A584" s="4"/>
      <c r="B584" s="763" t="s">
        <v>901</v>
      </c>
      <c r="C584" s="643"/>
      <c r="D584" s="643"/>
      <c r="E584" s="643"/>
      <c r="F584" s="256">
        <f>15.8*X2</f>
        <v>24332</v>
      </c>
      <c r="G584" s="256">
        <f t="shared" si="1699"/>
        <v>24332</v>
      </c>
      <c r="H584" s="92">
        <f>F584+5000</f>
        <v>29332</v>
      </c>
      <c r="I584" s="280">
        <f t="shared" ref="I584:I586" si="1700">+H584*$X$1</f>
        <v>29332</v>
      </c>
      <c r="J584" s="92">
        <f>F584+1200</f>
        <v>25532</v>
      </c>
      <c r="K584" s="280">
        <f t="shared" ref="K584:K586" si="1701">+J584*$X$1</f>
        <v>25532</v>
      </c>
      <c r="L584" s="92">
        <f>F584+1000</f>
        <v>25332</v>
      </c>
      <c r="M584" s="280">
        <f t="shared" ref="M584:M586" si="1702">+L584*$X$1</f>
        <v>25332</v>
      </c>
      <c r="N584" s="92">
        <f>F584+850</f>
        <v>25182</v>
      </c>
      <c r="O584" s="280">
        <f t="shared" ref="O584:O586" si="1703">+N584*$X$1</f>
        <v>25182</v>
      </c>
      <c r="P584" s="92">
        <f>F584+740</f>
        <v>25072</v>
      </c>
      <c r="Q584" s="280">
        <f t="shared" ref="Q584:Q586" si="1704">+P584*$X$1</f>
        <v>25072</v>
      </c>
      <c r="R584" s="92">
        <f>F584+650</f>
        <v>24982</v>
      </c>
      <c r="S584" s="280">
        <f t="shared" ref="S584:S586" si="1705">+R584*$X$1</f>
        <v>24982</v>
      </c>
      <c r="T584" s="92">
        <f>F584+560</f>
        <v>24892</v>
      </c>
      <c r="U584" s="280">
        <f t="shared" ref="U584:U586" si="1706">+T584*$X$1</f>
        <v>24892</v>
      </c>
      <c r="V584" s="92">
        <f>F584+450</f>
        <v>24782</v>
      </c>
      <c r="W584" s="280">
        <f t="shared" ref="W584:W586" si="1707">+V584*$X$1</f>
        <v>24782</v>
      </c>
      <c r="X584" s="127"/>
      <c r="Y584" s="122"/>
      <c r="Z584" s="128"/>
      <c r="AA584" s="129"/>
      <c r="AB584" s="345">
        <v>896</v>
      </c>
    </row>
    <row r="585" spans="1:28" ht="12.6" customHeight="1" x14ac:dyDescent="0.2">
      <c r="A585" s="4"/>
      <c r="B585" s="757" t="s">
        <v>809</v>
      </c>
      <c r="C585" s="762"/>
      <c r="D585" s="762"/>
      <c r="E585" s="762"/>
      <c r="F585" s="255">
        <v>20475</v>
      </c>
      <c r="G585" s="255">
        <f t="shared" ref="G585" si="1708">+F585*$X$1</f>
        <v>20475</v>
      </c>
      <c r="H585" s="93">
        <f>F585+6000</f>
        <v>26475</v>
      </c>
      <c r="I585" s="270">
        <f t="shared" si="1700"/>
        <v>26475</v>
      </c>
      <c r="J585" s="93">
        <f>F585+2000</f>
        <v>22475</v>
      </c>
      <c r="K585" s="270">
        <f t="shared" si="1701"/>
        <v>22475</v>
      </c>
      <c r="L585" s="93">
        <f>F585+1700</f>
        <v>22175</v>
      </c>
      <c r="M585" s="270">
        <f t="shared" si="1702"/>
        <v>22175</v>
      </c>
      <c r="N585" s="93">
        <f>F585+1550</f>
        <v>22025</v>
      </c>
      <c r="O585" s="270">
        <f t="shared" si="1703"/>
        <v>22025</v>
      </c>
      <c r="P585" s="93">
        <f>F585+1350</f>
        <v>21825</v>
      </c>
      <c r="Q585" s="270">
        <f t="shared" si="1704"/>
        <v>21825</v>
      </c>
      <c r="R585" s="93">
        <f>F585+1200</f>
        <v>21675</v>
      </c>
      <c r="S585" s="270">
        <f t="shared" si="1705"/>
        <v>21675</v>
      </c>
      <c r="T585" s="93">
        <f>F585+1050</f>
        <v>21525</v>
      </c>
      <c r="U585" s="270">
        <f t="shared" si="1706"/>
        <v>21525</v>
      </c>
      <c r="V585" s="93">
        <f>F585+900</f>
        <v>21375</v>
      </c>
      <c r="W585" s="270">
        <f t="shared" si="1707"/>
        <v>21375</v>
      </c>
      <c r="X585" s="127"/>
      <c r="Y585" s="122"/>
      <c r="Z585" s="128"/>
      <c r="AA585" s="129"/>
      <c r="AB585" s="345"/>
    </row>
    <row r="586" spans="1:28" ht="12.6" customHeight="1" x14ac:dyDescent="0.2">
      <c r="A586" s="4"/>
      <c r="B586" s="763" t="s">
        <v>569</v>
      </c>
      <c r="C586" s="914"/>
      <c r="D586" s="914"/>
      <c r="E586" s="914"/>
      <c r="F586" s="256">
        <f>18.9*X2</f>
        <v>29105.999999999996</v>
      </c>
      <c r="G586" s="256">
        <f t="shared" si="1699"/>
        <v>29105.999999999996</v>
      </c>
      <c r="H586" s="92">
        <f>F586+6000</f>
        <v>35106</v>
      </c>
      <c r="I586" s="280">
        <f t="shared" si="1700"/>
        <v>35106</v>
      </c>
      <c r="J586" s="92">
        <f>F586+2000</f>
        <v>31105.999999999996</v>
      </c>
      <c r="K586" s="280">
        <f t="shared" si="1701"/>
        <v>31105.999999999996</v>
      </c>
      <c r="L586" s="92">
        <f>F586+1700</f>
        <v>30805.999999999996</v>
      </c>
      <c r="M586" s="280">
        <f t="shared" si="1702"/>
        <v>30805.999999999996</v>
      </c>
      <c r="N586" s="92">
        <f>F586+1550</f>
        <v>30655.999999999996</v>
      </c>
      <c r="O586" s="280">
        <f t="shared" si="1703"/>
        <v>30655.999999999996</v>
      </c>
      <c r="P586" s="92">
        <f>F586+1350</f>
        <v>30455.999999999996</v>
      </c>
      <c r="Q586" s="280">
        <f t="shared" si="1704"/>
        <v>30455.999999999996</v>
      </c>
      <c r="R586" s="92">
        <f>F586+1200</f>
        <v>30305.999999999996</v>
      </c>
      <c r="S586" s="280">
        <f t="shared" si="1705"/>
        <v>30305.999999999996</v>
      </c>
      <c r="T586" s="92">
        <f>F586+1050</f>
        <v>30155.999999999996</v>
      </c>
      <c r="U586" s="280">
        <f t="shared" si="1706"/>
        <v>30155.999999999996</v>
      </c>
      <c r="V586" s="92">
        <f>F586+900</f>
        <v>30005.999999999996</v>
      </c>
      <c r="W586" s="280">
        <f t="shared" si="1707"/>
        <v>30005.999999999996</v>
      </c>
      <c r="X586" s="127"/>
      <c r="Y586" s="122"/>
      <c r="Z586" s="128"/>
      <c r="AA586" s="129"/>
      <c r="AB586" s="345">
        <v>899</v>
      </c>
    </row>
    <row r="587" spans="1:28" ht="12.6" customHeight="1" x14ac:dyDescent="0.2">
      <c r="A587" s="4"/>
      <c r="B587" s="757" t="s">
        <v>577</v>
      </c>
      <c r="C587" s="762"/>
      <c r="D587" s="762"/>
      <c r="E587" s="762"/>
      <c r="F587" s="255">
        <f>18.9*X2</f>
        <v>29105.999999999996</v>
      </c>
      <c r="G587" s="255">
        <f>+F587*$X$1</f>
        <v>29105.999999999996</v>
      </c>
      <c r="H587" s="93">
        <f>F587+5000</f>
        <v>34106</v>
      </c>
      <c r="I587" s="270">
        <f t="shared" ref="I587:I588" si="1709">+H587*$X$1</f>
        <v>34106</v>
      </c>
      <c r="J587" s="93">
        <f>F587+1200</f>
        <v>30305.999999999996</v>
      </c>
      <c r="K587" s="270">
        <f t="shared" ref="K587:K591" si="1710">+J587*$X$1</f>
        <v>30305.999999999996</v>
      </c>
      <c r="L587" s="93">
        <f>F587+1000</f>
        <v>30105.999999999996</v>
      </c>
      <c r="M587" s="270">
        <f t="shared" ref="M587:M591" si="1711">+L587*$X$1</f>
        <v>30105.999999999996</v>
      </c>
      <c r="N587" s="93">
        <f>F587+850</f>
        <v>29955.999999999996</v>
      </c>
      <c r="O587" s="270">
        <f t="shared" ref="O587:O591" si="1712">+N587*$X$1</f>
        <v>29955.999999999996</v>
      </c>
      <c r="P587" s="93">
        <f>F587+740</f>
        <v>29845.999999999996</v>
      </c>
      <c r="Q587" s="270">
        <f t="shared" ref="Q587:Q588" si="1713">+P587*$X$1</f>
        <v>29845.999999999996</v>
      </c>
      <c r="R587" s="93">
        <f>F587+650</f>
        <v>29755.999999999996</v>
      </c>
      <c r="S587" s="270">
        <f t="shared" ref="S587:S588" si="1714">+R587*$X$1</f>
        <v>29755.999999999996</v>
      </c>
      <c r="T587" s="93">
        <f>F587+560</f>
        <v>29665.999999999996</v>
      </c>
      <c r="U587" s="270">
        <f t="shared" ref="U587:U588" si="1715">+T587*$X$1</f>
        <v>29665.999999999996</v>
      </c>
      <c r="V587" s="93">
        <f>F587+450</f>
        <v>29555.999999999996</v>
      </c>
      <c r="W587" s="270">
        <f t="shared" ref="W587:W588" si="1716">+V587*$X$1</f>
        <v>29555.999999999996</v>
      </c>
      <c r="X587" s="127"/>
      <c r="Y587" s="122"/>
      <c r="Z587" s="128"/>
      <c r="AA587" s="129"/>
      <c r="AB587" s="345" t="s">
        <v>578</v>
      </c>
    </row>
    <row r="588" spans="1:28" ht="12.6" customHeight="1" x14ac:dyDescent="0.2">
      <c r="A588" s="4"/>
      <c r="B588" s="763" t="s">
        <v>444</v>
      </c>
      <c r="C588" s="682"/>
      <c r="D588" s="682"/>
      <c r="E588" s="682"/>
      <c r="F588" s="256">
        <f>19.4*X2</f>
        <v>29875.999999999996</v>
      </c>
      <c r="G588" s="256">
        <f t="shared" ref="G588" si="1717">+F588*$X$1</f>
        <v>29875.999999999996</v>
      </c>
      <c r="H588" s="92">
        <f>F588+6000</f>
        <v>35876</v>
      </c>
      <c r="I588" s="280">
        <f t="shared" si="1709"/>
        <v>35876</v>
      </c>
      <c r="J588" s="92">
        <f>F588+2000</f>
        <v>31875.999999999996</v>
      </c>
      <c r="K588" s="280">
        <f t="shared" si="1710"/>
        <v>31875.999999999996</v>
      </c>
      <c r="L588" s="92">
        <f>F588+1700</f>
        <v>31575.999999999996</v>
      </c>
      <c r="M588" s="280">
        <f t="shared" si="1711"/>
        <v>31575.999999999996</v>
      </c>
      <c r="N588" s="92">
        <f>F588+1550</f>
        <v>31425.999999999996</v>
      </c>
      <c r="O588" s="280">
        <f t="shared" si="1712"/>
        <v>31425.999999999996</v>
      </c>
      <c r="P588" s="92">
        <f>F588+1350</f>
        <v>31225.999999999996</v>
      </c>
      <c r="Q588" s="280">
        <f t="shared" si="1713"/>
        <v>31225.999999999996</v>
      </c>
      <c r="R588" s="92">
        <f>F588+1200</f>
        <v>31075.999999999996</v>
      </c>
      <c r="S588" s="280">
        <f t="shared" si="1714"/>
        <v>31075.999999999996</v>
      </c>
      <c r="T588" s="92">
        <f>F588+1050</f>
        <v>30925.999999999996</v>
      </c>
      <c r="U588" s="280">
        <f t="shared" si="1715"/>
        <v>30925.999999999996</v>
      </c>
      <c r="V588" s="92">
        <f>F588+900</f>
        <v>30775.999999999996</v>
      </c>
      <c r="W588" s="280">
        <f t="shared" si="1716"/>
        <v>30775.999999999996</v>
      </c>
      <c r="X588" s="127"/>
      <c r="Y588" s="122"/>
      <c r="Z588" s="128"/>
      <c r="AA588" s="129"/>
      <c r="AB588" s="345">
        <v>900</v>
      </c>
    </row>
    <row r="589" spans="1:28" ht="12.6" customHeight="1" x14ac:dyDescent="0.2">
      <c r="A589" s="4"/>
      <c r="B589" s="757" t="s">
        <v>1019</v>
      </c>
      <c r="C589" s="703"/>
      <c r="D589" s="703"/>
      <c r="E589" s="703"/>
      <c r="F589" s="291">
        <v>20490</v>
      </c>
      <c r="G589" s="255">
        <f>+F589*$X$1</f>
        <v>20490</v>
      </c>
      <c r="H589" s="93">
        <f>F589+6000</f>
        <v>26490</v>
      </c>
      <c r="I589" s="270">
        <f t="shared" ref="I589" si="1718">+H589*$X$1</f>
        <v>26490</v>
      </c>
      <c r="J589" s="93">
        <f>F589+2000</f>
        <v>22490</v>
      </c>
      <c r="K589" s="270">
        <f t="shared" ref="K589" si="1719">+J589*$X$1</f>
        <v>22490</v>
      </c>
      <c r="L589" s="93">
        <f>F589+1700</f>
        <v>22190</v>
      </c>
      <c r="M589" s="270">
        <f t="shared" ref="M589" si="1720">+L589*$X$1</f>
        <v>22190</v>
      </c>
      <c r="N589" s="93">
        <f>F589+1550</f>
        <v>22040</v>
      </c>
      <c r="O589" s="270">
        <f t="shared" ref="O589" si="1721">+N589*$X$1</f>
        <v>22040</v>
      </c>
      <c r="P589" s="93">
        <f>F589+1350</f>
        <v>21840</v>
      </c>
      <c r="Q589" s="270">
        <f t="shared" ref="Q589" si="1722">+P589*$X$1</f>
        <v>21840</v>
      </c>
      <c r="R589" s="93">
        <f>F589+1200</f>
        <v>21690</v>
      </c>
      <c r="S589" s="270">
        <f t="shared" ref="S589" si="1723">+R589*$X$1</f>
        <v>21690</v>
      </c>
      <c r="T589" s="93">
        <f>F589+1050</f>
        <v>21540</v>
      </c>
      <c r="U589" s="270">
        <f t="shared" ref="U589" si="1724">+T589*$X$1</f>
        <v>21540</v>
      </c>
      <c r="V589" s="93">
        <f>F589+900</f>
        <v>21390</v>
      </c>
      <c r="W589" s="270">
        <f t="shared" ref="W589" si="1725">+V589*$X$1</f>
        <v>21390</v>
      </c>
      <c r="X589" s="127"/>
      <c r="Y589" s="122"/>
      <c r="Z589" s="128"/>
      <c r="AA589" s="129"/>
      <c r="AB589" s="345"/>
    </row>
    <row r="590" spans="1:28" ht="12.6" customHeight="1" x14ac:dyDescent="0.2">
      <c r="A590" s="4"/>
      <c r="B590" s="763" t="s">
        <v>1020</v>
      </c>
      <c r="C590" s="682"/>
      <c r="D590" s="682"/>
      <c r="E590" s="682"/>
      <c r="F590" s="290">
        <v>20490</v>
      </c>
      <c r="G590" s="256">
        <f>+F590*$X$1</f>
        <v>20490</v>
      </c>
      <c r="H590" s="92">
        <f>F590+5000</f>
        <v>25490</v>
      </c>
      <c r="I590" s="280">
        <f t="shared" ref="I590:I591" si="1726">+H590*$X$1</f>
        <v>25490</v>
      </c>
      <c r="J590" s="92">
        <f>F590+1200</f>
        <v>21690</v>
      </c>
      <c r="K590" s="280">
        <f t="shared" si="1710"/>
        <v>21690</v>
      </c>
      <c r="L590" s="92">
        <f>F590+1000</f>
        <v>21490</v>
      </c>
      <c r="M590" s="280">
        <f t="shared" si="1711"/>
        <v>21490</v>
      </c>
      <c r="N590" s="92">
        <f>F590+850</f>
        <v>21340</v>
      </c>
      <c r="O590" s="280">
        <f t="shared" si="1712"/>
        <v>21340</v>
      </c>
      <c r="P590" s="92">
        <f>F590+740</f>
        <v>21230</v>
      </c>
      <c r="Q590" s="280">
        <f t="shared" ref="Q590:Q591" si="1727">+P590*$X$1</f>
        <v>21230</v>
      </c>
      <c r="R590" s="92">
        <f>F590+650</f>
        <v>21140</v>
      </c>
      <c r="S590" s="280">
        <f t="shared" ref="S590:S591" si="1728">+R590*$X$1</f>
        <v>21140</v>
      </c>
      <c r="T590" s="92">
        <f>F590+560</f>
        <v>21050</v>
      </c>
      <c r="U590" s="280">
        <f t="shared" ref="U590:U591" si="1729">+T590*$X$1</f>
        <v>21050</v>
      </c>
      <c r="V590" s="92">
        <f>F590+450</f>
        <v>20940</v>
      </c>
      <c r="W590" s="280">
        <f t="shared" ref="W590:W591" si="1730">+V590*$X$1</f>
        <v>20940</v>
      </c>
      <c r="X590" s="127"/>
      <c r="Y590" s="122"/>
      <c r="Z590" s="128"/>
      <c r="AA590" s="129"/>
      <c r="AB590" s="345">
        <v>905</v>
      </c>
    </row>
    <row r="591" spans="1:28" ht="12.6" customHeight="1" x14ac:dyDescent="0.2">
      <c r="A591" s="4"/>
      <c r="B591" s="757" t="s">
        <v>611</v>
      </c>
      <c r="C591" s="703"/>
      <c r="D591" s="703"/>
      <c r="E591" s="703"/>
      <c r="F591" s="255">
        <f>13.5*X2</f>
        <v>20790</v>
      </c>
      <c r="G591" s="255">
        <f>+F591*$X$1</f>
        <v>20790</v>
      </c>
      <c r="H591" s="93">
        <f>F591+6000</f>
        <v>26790</v>
      </c>
      <c r="I591" s="270">
        <f t="shared" si="1726"/>
        <v>26790</v>
      </c>
      <c r="J591" s="93">
        <f>F591+2000</f>
        <v>22790</v>
      </c>
      <c r="K591" s="270">
        <f t="shared" si="1710"/>
        <v>22790</v>
      </c>
      <c r="L591" s="93">
        <f>F591+1700</f>
        <v>22490</v>
      </c>
      <c r="M591" s="270">
        <f t="shared" si="1711"/>
        <v>22490</v>
      </c>
      <c r="N591" s="93">
        <f>F591+1550</f>
        <v>22340</v>
      </c>
      <c r="O591" s="270">
        <f t="shared" si="1712"/>
        <v>22340</v>
      </c>
      <c r="P591" s="93">
        <f>F591+1350</f>
        <v>22140</v>
      </c>
      <c r="Q591" s="270">
        <f t="shared" si="1727"/>
        <v>22140</v>
      </c>
      <c r="R591" s="93">
        <f>F591+1200</f>
        <v>21990</v>
      </c>
      <c r="S591" s="270">
        <f t="shared" si="1728"/>
        <v>21990</v>
      </c>
      <c r="T591" s="93">
        <f>F591+1050</f>
        <v>21840</v>
      </c>
      <c r="U591" s="270">
        <f t="shared" si="1729"/>
        <v>21840</v>
      </c>
      <c r="V591" s="93">
        <f>F591+900</f>
        <v>21690</v>
      </c>
      <c r="W591" s="270">
        <f t="shared" si="1730"/>
        <v>21690</v>
      </c>
      <c r="X591" s="127"/>
      <c r="Y591" s="122"/>
      <c r="Z591" s="128"/>
      <c r="AA591" s="129"/>
      <c r="AB591" s="345">
        <v>906</v>
      </c>
    </row>
    <row r="592" spans="1:28" ht="12.6" customHeight="1" x14ac:dyDescent="0.2">
      <c r="A592" s="4"/>
      <c r="B592" s="763" t="s">
        <v>612</v>
      </c>
      <c r="C592" s="682"/>
      <c r="D592" s="682"/>
      <c r="E592" s="682"/>
      <c r="F592" s="256">
        <f>13.5*X2</f>
        <v>20790</v>
      </c>
      <c r="G592" s="256">
        <f>+F592*$X$1</f>
        <v>20790</v>
      </c>
      <c r="H592" s="92">
        <f>F592+5000</f>
        <v>25790</v>
      </c>
      <c r="I592" s="280">
        <f t="shared" ref="I592:I593" si="1731">+H592*$X$1</f>
        <v>25790</v>
      </c>
      <c r="J592" s="92">
        <f>F592+1200</f>
        <v>21990</v>
      </c>
      <c r="K592" s="280">
        <f t="shared" ref="K592:K593" si="1732">+J592*$X$1</f>
        <v>21990</v>
      </c>
      <c r="L592" s="92">
        <f>F592+1000</f>
        <v>21790</v>
      </c>
      <c r="M592" s="280">
        <f t="shared" ref="M592:M593" si="1733">+L592*$X$1</f>
        <v>21790</v>
      </c>
      <c r="N592" s="92">
        <f>F592+850</f>
        <v>21640</v>
      </c>
      <c r="O592" s="280">
        <f t="shared" ref="O592:O593" si="1734">+N592*$X$1</f>
        <v>21640</v>
      </c>
      <c r="P592" s="92">
        <f>F592+740</f>
        <v>21530</v>
      </c>
      <c r="Q592" s="280">
        <f t="shared" ref="Q592:Q593" si="1735">+P592*$X$1</f>
        <v>21530</v>
      </c>
      <c r="R592" s="92">
        <f>F592+650</f>
        <v>21440</v>
      </c>
      <c r="S592" s="280">
        <f t="shared" ref="S592:S593" si="1736">+R592*$X$1</f>
        <v>21440</v>
      </c>
      <c r="T592" s="92">
        <f>F592+560</f>
        <v>21350</v>
      </c>
      <c r="U592" s="280">
        <f t="shared" ref="U592:U593" si="1737">+T592*$X$1</f>
        <v>21350</v>
      </c>
      <c r="V592" s="92">
        <f>F592+450</f>
        <v>21240</v>
      </c>
      <c r="W592" s="280">
        <f t="shared" ref="W592:W593" si="1738">+V592*$X$1</f>
        <v>21240</v>
      </c>
      <c r="X592" s="127"/>
      <c r="Y592" s="122"/>
      <c r="Z592" s="128"/>
      <c r="AA592" s="129"/>
      <c r="AB592" s="345">
        <v>906</v>
      </c>
    </row>
    <row r="593" spans="1:34" ht="12.6" customHeight="1" x14ac:dyDescent="0.2">
      <c r="A593" s="4"/>
      <c r="B593" s="757" t="s">
        <v>566</v>
      </c>
      <c r="C593" s="631"/>
      <c r="D593" s="631"/>
      <c r="E593" s="631"/>
      <c r="F593" s="283">
        <f>21.1*X2</f>
        <v>32494.000000000004</v>
      </c>
      <c r="G593" s="255">
        <f t="shared" ref="G593" si="1739">+F593*$X$1</f>
        <v>32494.000000000004</v>
      </c>
      <c r="H593" s="93">
        <f>F593+6000</f>
        <v>38494</v>
      </c>
      <c r="I593" s="270">
        <f t="shared" si="1731"/>
        <v>38494</v>
      </c>
      <c r="J593" s="93">
        <f>F593+2000</f>
        <v>34494</v>
      </c>
      <c r="K593" s="270">
        <f t="shared" si="1732"/>
        <v>34494</v>
      </c>
      <c r="L593" s="93">
        <f>F593+1700</f>
        <v>34194</v>
      </c>
      <c r="M593" s="270">
        <f t="shared" si="1733"/>
        <v>34194</v>
      </c>
      <c r="N593" s="93">
        <f>F593+1550</f>
        <v>34044</v>
      </c>
      <c r="O593" s="270">
        <f t="shared" si="1734"/>
        <v>34044</v>
      </c>
      <c r="P593" s="93">
        <f>F593+1350</f>
        <v>33844</v>
      </c>
      <c r="Q593" s="270">
        <f t="shared" si="1735"/>
        <v>33844</v>
      </c>
      <c r="R593" s="93">
        <f>F593+1200</f>
        <v>33694</v>
      </c>
      <c r="S593" s="270">
        <f t="shared" si="1736"/>
        <v>33694</v>
      </c>
      <c r="T593" s="93">
        <f>F593+1050</f>
        <v>33544</v>
      </c>
      <c r="U593" s="270">
        <f t="shared" si="1737"/>
        <v>33544</v>
      </c>
      <c r="V593" s="93">
        <f>F593+900</f>
        <v>33394</v>
      </c>
      <c r="W593" s="270">
        <f t="shared" si="1738"/>
        <v>33394</v>
      </c>
      <c r="X593" s="127"/>
      <c r="Y593" s="122"/>
      <c r="Z593" s="128"/>
      <c r="AA593" s="129"/>
      <c r="AB593" s="345" t="s">
        <v>579</v>
      </c>
    </row>
    <row r="594" spans="1:34" ht="12.6" customHeight="1" x14ac:dyDescent="0.2">
      <c r="A594" s="4"/>
      <c r="B594" s="763" t="s">
        <v>610</v>
      </c>
      <c r="C594" s="643"/>
      <c r="D594" s="643"/>
      <c r="E594" s="643"/>
      <c r="F594" s="585">
        <f>21.1*X2</f>
        <v>32494.000000000004</v>
      </c>
      <c r="G594" s="256">
        <f t="shared" ref="G594" si="1740">+F594*$X$1</f>
        <v>32494.000000000004</v>
      </c>
      <c r="H594" s="92">
        <f>F594+5000</f>
        <v>37494</v>
      </c>
      <c r="I594" s="280">
        <f t="shared" ref="I594" si="1741">+H594*$X$1</f>
        <v>37494</v>
      </c>
      <c r="J594" s="92">
        <f>F594+1200</f>
        <v>33694</v>
      </c>
      <c r="K594" s="280">
        <f t="shared" ref="K594" si="1742">+J594*$X$1</f>
        <v>33694</v>
      </c>
      <c r="L594" s="92">
        <f>F594+1000</f>
        <v>33494</v>
      </c>
      <c r="M594" s="280">
        <f t="shared" ref="M594" si="1743">+L594*$X$1</f>
        <v>33494</v>
      </c>
      <c r="N594" s="92">
        <f>F594+850</f>
        <v>33344</v>
      </c>
      <c r="O594" s="280">
        <f t="shared" ref="O594" si="1744">+N594*$X$1</f>
        <v>33344</v>
      </c>
      <c r="P594" s="92"/>
      <c r="Q594" s="280"/>
      <c r="R594" s="92"/>
      <c r="S594" s="280"/>
      <c r="T594" s="92"/>
      <c r="U594" s="280"/>
      <c r="V594" s="92"/>
      <c r="W594" s="280"/>
      <c r="X594" s="127"/>
      <c r="Y594" s="122"/>
      <c r="Z594" s="128"/>
      <c r="AA594" s="129"/>
      <c r="AB594" s="345">
        <v>907</v>
      </c>
    </row>
    <row r="595" spans="1:34" ht="12.6" customHeight="1" x14ac:dyDescent="0.2">
      <c r="A595" s="4"/>
      <c r="B595" s="1172" t="s">
        <v>543</v>
      </c>
      <c r="C595" s="1173"/>
      <c r="D595" s="1173"/>
      <c r="E595" s="1173"/>
      <c r="F595" s="1174"/>
      <c r="G595" s="1175"/>
      <c r="H595" s="537">
        <v>2300</v>
      </c>
      <c r="I595" s="255">
        <f t="shared" ref="I595" si="1745">+H595*$X$1</f>
        <v>2300</v>
      </c>
      <c r="J595" s="537">
        <v>1200</v>
      </c>
      <c r="K595" s="255">
        <f t="shared" ref="K595" si="1746">+J595*$X$1</f>
        <v>1200</v>
      </c>
      <c r="L595" s="537">
        <v>900</v>
      </c>
      <c r="M595" s="255">
        <f t="shared" ref="M595" si="1747">+L595*$X$1</f>
        <v>900</v>
      </c>
      <c r="N595" s="537">
        <v>840</v>
      </c>
      <c r="O595" s="255">
        <f t="shared" ref="O595" si="1748">+N595*$X$1</f>
        <v>840</v>
      </c>
      <c r="P595" s="537">
        <v>770</v>
      </c>
      <c r="Q595" s="255">
        <f t="shared" ref="Q595" si="1749">+P595*$X$1</f>
        <v>770</v>
      </c>
      <c r="R595" s="537">
        <v>720</v>
      </c>
      <c r="S595" s="255">
        <f t="shared" ref="S595" si="1750">+R595*$X$1</f>
        <v>720</v>
      </c>
      <c r="T595" s="537">
        <v>650</v>
      </c>
      <c r="U595" s="255">
        <f t="shared" ref="U595" si="1751">+T595*$X$1</f>
        <v>650</v>
      </c>
      <c r="V595" s="537">
        <v>600</v>
      </c>
      <c r="W595" s="255">
        <f t="shared" ref="W595" si="1752">+V595*$X$1</f>
        <v>600</v>
      </c>
      <c r="X595" s="127"/>
      <c r="Y595" s="122"/>
      <c r="Z595" s="128"/>
      <c r="AA595" s="129"/>
      <c r="AB595" s="30"/>
    </row>
    <row r="596" spans="1:34" ht="12.6" customHeight="1" x14ac:dyDescent="0.2">
      <c r="A596" s="4"/>
      <c r="B596" s="1176" t="s">
        <v>544</v>
      </c>
      <c r="C596" s="1177"/>
      <c r="D596" s="1177"/>
      <c r="E596" s="1177"/>
      <c r="F596" s="1174"/>
      <c r="G596" s="1175"/>
      <c r="H596" s="546">
        <v>1080</v>
      </c>
      <c r="I596" s="256">
        <f t="shared" ref="I596" si="1753">+H596*$X$1</f>
        <v>1080</v>
      </c>
      <c r="J596" s="546">
        <v>900</v>
      </c>
      <c r="K596" s="256">
        <f t="shared" ref="K596" si="1754">+J596*$X$1</f>
        <v>900</v>
      </c>
      <c r="L596" s="546">
        <v>720</v>
      </c>
      <c r="M596" s="256">
        <f t="shared" ref="M596" si="1755">+L596*$X$1</f>
        <v>720</v>
      </c>
      <c r="N596" s="546">
        <v>660</v>
      </c>
      <c r="O596" s="256">
        <f t="shared" ref="O596" si="1756">+N596*$X$1</f>
        <v>660</v>
      </c>
      <c r="P596" s="546">
        <v>600</v>
      </c>
      <c r="Q596" s="256">
        <f t="shared" ref="Q596" si="1757">+P596*$X$1</f>
        <v>600</v>
      </c>
      <c r="R596" s="546">
        <v>540</v>
      </c>
      <c r="S596" s="256">
        <f t="shared" ref="S596" si="1758">+R596*$X$1</f>
        <v>540</v>
      </c>
      <c r="T596" s="546">
        <v>480</v>
      </c>
      <c r="U596" s="256">
        <f t="shared" ref="U596" si="1759">+T596*$X$1</f>
        <v>480</v>
      </c>
      <c r="V596" s="546">
        <v>450</v>
      </c>
      <c r="W596" s="256">
        <f t="shared" ref="W596" si="1760">+V596*$X$1</f>
        <v>450</v>
      </c>
      <c r="X596" s="127"/>
      <c r="Y596" s="122"/>
      <c r="Z596" s="128"/>
      <c r="AA596" s="129"/>
      <c r="AB596" s="30"/>
    </row>
    <row r="597" spans="1:34" ht="12.6" customHeight="1" x14ac:dyDescent="0.2">
      <c r="A597" s="88"/>
      <c r="B597" s="73"/>
      <c r="C597" s="74"/>
      <c r="D597" s="74"/>
      <c r="E597" s="74"/>
      <c r="F597" s="74"/>
      <c r="G597" s="74"/>
      <c r="H597" s="74"/>
      <c r="I597" s="295"/>
      <c r="J597" s="106"/>
      <c r="K597" s="295"/>
      <c r="L597" s="106"/>
      <c r="M597" s="295"/>
      <c r="N597" s="106"/>
      <c r="O597" s="295"/>
      <c r="P597" s="106"/>
      <c r="Q597" s="295"/>
      <c r="R597" s="106"/>
      <c r="S597" s="295"/>
      <c r="T597" s="106"/>
      <c r="U597" s="295"/>
      <c r="V597" s="106"/>
      <c r="W597" s="295"/>
      <c r="AB597" s="75"/>
    </row>
    <row r="598" spans="1:34" ht="15" customHeight="1" x14ac:dyDescent="0.2">
      <c r="B598" s="741" t="s">
        <v>523</v>
      </c>
      <c r="C598" s="742"/>
      <c r="D598" s="742"/>
      <c r="E598" s="742"/>
      <c r="F598" s="742"/>
      <c r="G598" s="742"/>
      <c r="H598" s="742"/>
      <c r="I598" s="742"/>
      <c r="J598" s="742"/>
      <c r="K598" s="742"/>
      <c r="L598" s="742"/>
      <c r="M598" s="742"/>
      <c r="N598" s="742"/>
      <c r="O598" s="742"/>
      <c r="P598" s="742"/>
      <c r="Q598" s="742"/>
      <c r="R598" s="742"/>
      <c r="S598" s="742"/>
      <c r="T598" s="742"/>
      <c r="U598" s="742"/>
      <c r="V598" s="742"/>
      <c r="W598" s="742"/>
      <c r="AB598" s="4"/>
      <c r="AF598" s="748"/>
      <c r="AG598" s="749"/>
      <c r="AH598" s="749"/>
    </row>
    <row r="599" spans="1:34" ht="14.25" customHeight="1" x14ac:dyDescent="0.2">
      <c r="B599" s="848" t="s">
        <v>11</v>
      </c>
      <c r="C599" s="850" t="s">
        <v>12</v>
      </c>
      <c r="D599" s="851"/>
      <c r="E599" s="851"/>
      <c r="F599" s="904" t="s">
        <v>259</v>
      </c>
      <c r="G599" s="904" t="s">
        <v>13</v>
      </c>
      <c r="H599" s="911" t="s">
        <v>734</v>
      </c>
      <c r="I599" s="911"/>
      <c r="J599" s="912"/>
      <c r="K599" s="912"/>
      <c r="L599" s="912"/>
      <c r="M599" s="912"/>
      <c r="N599" s="912"/>
      <c r="O599" s="912"/>
      <c r="P599" s="912"/>
      <c r="Q599" s="912"/>
      <c r="R599" s="912"/>
      <c r="S599" s="912"/>
      <c r="T599" s="912"/>
      <c r="U599" s="912"/>
      <c r="V599" s="912"/>
      <c r="W599" s="913"/>
      <c r="X599" s="658" t="s">
        <v>14</v>
      </c>
      <c r="Y599" s="659"/>
      <c r="Z599" s="659"/>
      <c r="AA599" s="660"/>
      <c r="AB599" s="760" t="s">
        <v>15</v>
      </c>
      <c r="AF599" s="748" t="s">
        <v>3</v>
      </c>
      <c r="AG599" s="749"/>
      <c r="AH599" s="749"/>
    </row>
    <row r="600" spans="1:34" ht="12" customHeight="1" x14ac:dyDescent="0.2">
      <c r="B600" s="849"/>
      <c r="C600" s="852"/>
      <c r="D600" s="852"/>
      <c r="E600" s="852"/>
      <c r="F600" s="905"/>
      <c r="G600" s="905"/>
      <c r="H600" s="415"/>
      <c r="I600" s="416" t="s">
        <v>510</v>
      </c>
      <c r="J600" s="415"/>
      <c r="K600" s="416" t="s">
        <v>260</v>
      </c>
      <c r="L600" s="415"/>
      <c r="M600" s="416" t="s">
        <v>261</v>
      </c>
      <c r="N600" s="415"/>
      <c r="O600" s="416" t="s">
        <v>512</v>
      </c>
      <c r="P600" s="415"/>
      <c r="Q600" s="416" t="s">
        <v>17</v>
      </c>
      <c r="R600" s="415"/>
      <c r="S600" s="416" t="s">
        <v>18</v>
      </c>
      <c r="T600" s="415"/>
      <c r="U600" s="416" t="s">
        <v>19</v>
      </c>
      <c r="V600" s="415"/>
      <c r="W600" s="417" t="s">
        <v>513</v>
      </c>
      <c r="X600" s="661"/>
      <c r="Y600" s="662"/>
      <c r="Z600" s="662"/>
      <c r="AA600" s="663"/>
      <c r="AB600" s="761"/>
    </row>
    <row r="601" spans="1:34" ht="12" customHeight="1" x14ac:dyDescent="0.2">
      <c r="A601" s="4"/>
      <c r="B601" s="642" t="s">
        <v>780</v>
      </c>
      <c r="C601" s="682"/>
      <c r="D601" s="682"/>
      <c r="E601" s="682"/>
      <c r="F601" s="280">
        <f>10.44*X2</f>
        <v>16077.599999999999</v>
      </c>
      <c r="G601" s="280">
        <f t="shared" ref="G601:G602" si="1761">+F601*$X$1</f>
        <v>16077.599999999999</v>
      </c>
      <c r="H601" s="92"/>
      <c r="I601" s="280"/>
      <c r="J601" s="92">
        <f>F601+1200</f>
        <v>17277.599999999999</v>
      </c>
      <c r="K601" s="280">
        <f t="shared" ref="K601" si="1762">+J601*$X$1</f>
        <v>17277.599999999999</v>
      </c>
      <c r="L601" s="92">
        <f t="shared" ref="L601:L606" si="1763">F601+800</f>
        <v>16877.599999999999</v>
      </c>
      <c r="M601" s="280">
        <f t="shared" ref="M601" si="1764">+L601*$X$1</f>
        <v>16877.599999999999</v>
      </c>
      <c r="N601" s="92">
        <f t="shared" ref="N601:N606" si="1765">F601+700</f>
        <v>16777.599999999999</v>
      </c>
      <c r="O601" s="280">
        <f t="shared" ref="O601" si="1766">+N601*$X$1</f>
        <v>16777.599999999999</v>
      </c>
      <c r="P601" s="92">
        <f t="shared" ref="P601:P606" si="1767">F601+600</f>
        <v>16677.599999999999</v>
      </c>
      <c r="Q601" s="280">
        <f t="shared" ref="Q601" si="1768">+P601*$X$1</f>
        <v>16677.599999999999</v>
      </c>
      <c r="R601" s="92">
        <f t="shared" ref="R601:R623" si="1769">F601+500</f>
        <v>16577.599999999999</v>
      </c>
      <c r="S601" s="280">
        <f t="shared" ref="S601" si="1770">+R601*$X$1</f>
        <v>16577.599999999999</v>
      </c>
      <c r="T601" s="92">
        <f t="shared" ref="T601:T623" si="1771">F601+450</f>
        <v>16527.599999999999</v>
      </c>
      <c r="U601" s="280">
        <f t="shared" ref="U601" si="1772">+T601*$X$1</f>
        <v>16527.599999999999</v>
      </c>
      <c r="V601" s="92">
        <f t="shared" ref="V601:V623" si="1773">F601+360</f>
        <v>16437.599999999999</v>
      </c>
      <c r="W601" s="280">
        <f t="shared" ref="W601" si="1774">+V601*$X$1</f>
        <v>16437.599999999999</v>
      </c>
      <c r="X601" s="127"/>
      <c r="Y601" s="122"/>
      <c r="Z601" s="128"/>
      <c r="AA601" s="129"/>
      <c r="AB601" s="345">
        <v>533</v>
      </c>
    </row>
    <row r="602" spans="1:34" ht="12" customHeight="1" x14ac:dyDescent="0.2">
      <c r="A602" s="4"/>
      <c r="B602" s="699" t="s">
        <v>854</v>
      </c>
      <c r="C602" s="702"/>
      <c r="D602" s="702"/>
      <c r="E602" s="702"/>
      <c r="F602" s="270">
        <f>6.6*X2</f>
        <v>10164</v>
      </c>
      <c r="G602" s="270">
        <f t="shared" si="1761"/>
        <v>10164</v>
      </c>
      <c r="H602" s="93"/>
      <c r="I602" s="270"/>
      <c r="J602" s="93"/>
      <c r="K602" s="270"/>
      <c r="L602" s="93">
        <f t="shared" si="1763"/>
        <v>10964</v>
      </c>
      <c r="M602" s="270">
        <f t="shared" ref="M602:M606" si="1775">+L602*$X$1</f>
        <v>10964</v>
      </c>
      <c r="N602" s="93">
        <f t="shared" si="1765"/>
        <v>10864</v>
      </c>
      <c r="O602" s="270">
        <f t="shared" ref="O602:O606" si="1776">+N602*$X$1</f>
        <v>10864</v>
      </c>
      <c r="P602" s="93">
        <f t="shared" si="1767"/>
        <v>10764</v>
      </c>
      <c r="Q602" s="270">
        <f t="shared" ref="Q602:Q606" si="1777">+P602*$X$1</f>
        <v>10764</v>
      </c>
      <c r="R602" s="93">
        <f t="shared" si="1769"/>
        <v>10664</v>
      </c>
      <c r="S602" s="270">
        <f t="shared" ref="S602:S608" si="1778">+R602*$X$1</f>
        <v>10664</v>
      </c>
      <c r="T602" s="93">
        <f t="shared" si="1771"/>
        <v>10614</v>
      </c>
      <c r="U602" s="270">
        <f t="shared" ref="U602:U608" si="1779">+T602*$X$1</f>
        <v>10614</v>
      </c>
      <c r="V602" s="93">
        <f t="shared" si="1773"/>
        <v>10524</v>
      </c>
      <c r="W602" s="270">
        <f t="shared" ref="W602:W608" si="1780">+V602*$X$1</f>
        <v>10524</v>
      </c>
      <c r="X602" s="127"/>
      <c r="Y602" s="122"/>
      <c r="Z602" s="128"/>
      <c r="AA602" s="129"/>
      <c r="AB602" s="359">
        <v>556</v>
      </c>
    </row>
    <row r="603" spans="1:34" ht="12" customHeight="1" x14ac:dyDescent="0.2">
      <c r="A603" s="4"/>
      <c r="B603" s="656" t="s">
        <v>783</v>
      </c>
      <c r="C603" s="657"/>
      <c r="D603" s="657"/>
      <c r="E603" s="657"/>
      <c r="F603" s="280">
        <f>7.85*X2</f>
        <v>12089</v>
      </c>
      <c r="G603" s="280">
        <f t="shared" ref="G603" si="1781">+F603*$X$1</f>
        <v>12089</v>
      </c>
      <c r="H603" s="92"/>
      <c r="I603" s="280"/>
      <c r="J603" s="92"/>
      <c r="K603" s="280"/>
      <c r="L603" s="92"/>
      <c r="M603" s="280"/>
      <c r="N603" s="92">
        <f t="shared" si="1765"/>
        <v>12789</v>
      </c>
      <c r="O603" s="280">
        <f t="shared" si="1776"/>
        <v>12789</v>
      </c>
      <c r="P603" s="92">
        <f t="shared" si="1767"/>
        <v>12689</v>
      </c>
      <c r="Q603" s="280">
        <f t="shared" si="1777"/>
        <v>12689</v>
      </c>
      <c r="R603" s="92">
        <f t="shared" si="1769"/>
        <v>12589</v>
      </c>
      <c r="S603" s="280">
        <f t="shared" si="1778"/>
        <v>12589</v>
      </c>
      <c r="T603" s="92">
        <f t="shared" si="1771"/>
        <v>12539</v>
      </c>
      <c r="U603" s="280">
        <f t="shared" si="1779"/>
        <v>12539</v>
      </c>
      <c r="V603" s="92"/>
      <c r="W603" s="280"/>
      <c r="X603" s="127"/>
      <c r="Y603" s="122"/>
      <c r="Z603" s="128"/>
      <c r="AA603" s="129"/>
      <c r="AB603" s="359">
        <v>566</v>
      </c>
    </row>
    <row r="604" spans="1:34" ht="12" customHeight="1" x14ac:dyDescent="0.2">
      <c r="A604" s="4"/>
      <c r="B604" s="699" t="s">
        <v>784</v>
      </c>
      <c r="C604" s="702"/>
      <c r="D604" s="702"/>
      <c r="E604" s="702"/>
      <c r="F604" s="270">
        <f>9.65*X2</f>
        <v>14861</v>
      </c>
      <c r="G604" s="270">
        <f t="shared" ref="G604" si="1782">+F604*$X$1</f>
        <v>14861</v>
      </c>
      <c r="H604" s="93"/>
      <c r="I604" s="270"/>
      <c r="J604" s="93"/>
      <c r="K604" s="270"/>
      <c r="L604" s="93"/>
      <c r="M604" s="270"/>
      <c r="N604" s="93">
        <f t="shared" si="1765"/>
        <v>15561</v>
      </c>
      <c r="O604" s="270">
        <f t="shared" si="1776"/>
        <v>15561</v>
      </c>
      <c r="P604" s="93">
        <f t="shared" si="1767"/>
        <v>15461</v>
      </c>
      <c r="Q604" s="270">
        <f t="shared" si="1777"/>
        <v>15461</v>
      </c>
      <c r="R604" s="93"/>
      <c r="S604" s="270"/>
      <c r="T604" s="93"/>
      <c r="U604" s="270"/>
      <c r="V604" s="93"/>
      <c r="W604" s="270"/>
      <c r="X604" s="127"/>
      <c r="Y604" s="122"/>
      <c r="Z604" s="128"/>
      <c r="AA604" s="129"/>
      <c r="AB604" s="359">
        <v>567</v>
      </c>
    </row>
    <row r="605" spans="1:34" ht="12" customHeight="1" x14ac:dyDescent="0.2">
      <c r="A605" s="4"/>
      <c r="B605" s="656" t="s">
        <v>785</v>
      </c>
      <c r="C605" s="657"/>
      <c r="D605" s="657"/>
      <c r="E605" s="657"/>
      <c r="F605" s="280">
        <f>9.42*X2</f>
        <v>14506.8</v>
      </c>
      <c r="G605" s="280">
        <f t="shared" ref="G605" si="1783">+F605*$X$1</f>
        <v>14506.8</v>
      </c>
      <c r="H605" s="92"/>
      <c r="I605" s="280"/>
      <c r="J605" s="92"/>
      <c r="K605" s="280"/>
      <c r="L605" s="92"/>
      <c r="M605" s="280"/>
      <c r="N605" s="92">
        <f t="shared" si="1765"/>
        <v>15206.8</v>
      </c>
      <c r="O605" s="280">
        <f t="shared" si="1776"/>
        <v>15206.8</v>
      </c>
      <c r="P605" s="92">
        <f t="shared" si="1767"/>
        <v>15106.8</v>
      </c>
      <c r="Q605" s="280">
        <f t="shared" si="1777"/>
        <v>15106.8</v>
      </c>
      <c r="R605" s="92">
        <f t="shared" si="1769"/>
        <v>15006.8</v>
      </c>
      <c r="S605" s="280">
        <f t="shared" si="1778"/>
        <v>15006.8</v>
      </c>
      <c r="T605" s="92">
        <f t="shared" si="1771"/>
        <v>14956.8</v>
      </c>
      <c r="U605" s="280">
        <f t="shared" si="1779"/>
        <v>14956.8</v>
      </c>
      <c r="V605" s="92">
        <f t="shared" si="1773"/>
        <v>14866.8</v>
      </c>
      <c r="W605" s="280">
        <f t="shared" si="1780"/>
        <v>14866.8</v>
      </c>
      <c r="X605" s="127"/>
      <c r="Y605" s="122"/>
      <c r="Z605" s="128"/>
      <c r="AA605" s="129"/>
      <c r="AB605" s="359">
        <v>569</v>
      </c>
    </row>
    <row r="606" spans="1:34" ht="12" customHeight="1" x14ac:dyDescent="0.2">
      <c r="A606" s="4"/>
      <c r="B606" s="699" t="s">
        <v>672</v>
      </c>
      <c r="C606" s="702"/>
      <c r="D606" s="702"/>
      <c r="E606" s="702"/>
      <c r="F606" s="270">
        <f>18.04*X2</f>
        <v>27781.599999999999</v>
      </c>
      <c r="G606" s="270">
        <f t="shared" ref="G606:I606" si="1784">+F606*$X$1</f>
        <v>27781.599999999999</v>
      </c>
      <c r="H606" s="93">
        <f>F606+5000</f>
        <v>32781.599999999999</v>
      </c>
      <c r="I606" s="270">
        <f t="shared" si="1784"/>
        <v>32781.599999999999</v>
      </c>
      <c r="J606" s="93">
        <f>F606+1200</f>
        <v>28981.599999999999</v>
      </c>
      <c r="K606" s="270">
        <f t="shared" ref="K606" si="1785">+J606*$X$1</f>
        <v>28981.599999999999</v>
      </c>
      <c r="L606" s="93">
        <f t="shared" si="1763"/>
        <v>28581.599999999999</v>
      </c>
      <c r="M606" s="270">
        <f t="shared" si="1775"/>
        <v>28581.599999999999</v>
      </c>
      <c r="N606" s="93">
        <f t="shared" si="1765"/>
        <v>28481.599999999999</v>
      </c>
      <c r="O606" s="270">
        <f t="shared" si="1776"/>
        <v>28481.599999999999</v>
      </c>
      <c r="P606" s="93">
        <f t="shared" si="1767"/>
        <v>28381.599999999999</v>
      </c>
      <c r="Q606" s="270">
        <f t="shared" si="1777"/>
        <v>28381.599999999999</v>
      </c>
      <c r="R606" s="93">
        <f t="shared" si="1769"/>
        <v>28281.599999999999</v>
      </c>
      <c r="S606" s="270">
        <f t="shared" si="1778"/>
        <v>28281.599999999999</v>
      </c>
      <c r="T606" s="93">
        <f t="shared" si="1771"/>
        <v>28231.599999999999</v>
      </c>
      <c r="U606" s="270">
        <f t="shared" si="1779"/>
        <v>28231.599999999999</v>
      </c>
      <c r="V606" s="93">
        <f t="shared" si="1773"/>
        <v>28141.599999999999</v>
      </c>
      <c r="W606" s="270">
        <f t="shared" si="1780"/>
        <v>28141.599999999999</v>
      </c>
      <c r="X606" s="127"/>
      <c r="Y606" s="122"/>
      <c r="Z606" s="128"/>
      <c r="AA606" s="129"/>
      <c r="AB606" s="359">
        <v>570</v>
      </c>
    </row>
    <row r="607" spans="1:34" ht="12" customHeight="1" x14ac:dyDescent="0.2">
      <c r="A607" s="4"/>
      <c r="B607" s="920" t="s">
        <v>986</v>
      </c>
      <c r="C607" s="921"/>
      <c r="D607" s="921"/>
      <c r="E607" s="921"/>
      <c r="F607" s="1182">
        <v>18300</v>
      </c>
      <c r="G607" s="460">
        <f>+F607*$X$1</f>
        <v>18300</v>
      </c>
      <c r="H607" s="532"/>
      <c r="I607" s="459"/>
      <c r="J607" s="532"/>
      <c r="K607" s="459"/>
      <c r="L607" s="532"/>
      <c r="M607" s="459"/>
      <c r="N607" s="532">
        <f t="shared" ref="N607" si="1786">F607+700</f>
        <v>19000</v>
      </c>
      <c r="O607" s="459">
        <f t="shared" ref="O607" si="1787">+N607*$X$1</f>
        <v>19000</v>
      </c>
      <c r="P607" s="532">
        <f t="shared" ref="P607" si="1788">F607+600</f>
        <v>18900</v>
      </c>
      <c r="Q607" s="459">
        <f t="shared" ref="Q607" si="1789">+P607*$X$1</f>
        <v>18900</v>
      </c>
      <c r="R607" s="532">
        <f t="shared" ref="R607" si="1790">F607+500</f>
        <v>18800</v>
      </c>
      <c r="S607" s="459">
        <f t="shared" ref="S607" si="1791">+R607*$X$1</f>
        <v>18800</v>
      </c>
      <c r="T607" s="532">
        <f t="shared" ref="T607" si="1792">F607+450</f>
        <v>18750</v>
      </c>
      <c r="U607" s="459">
        <f t="shared" ref="U607" si="1793">+T607*$X$1</f>
        <v>18750</v>
      </c>
      <c r="V607" s="532">
        <f t="shared" ref="V607" si="1794">F607+360</f>
        <v>18660</v>
      </c>
      <c r="W607" s="459">
        <f t="shared" ref="W607" si="1795">+V607*$X$1</f>
        <v>18660</v>
      </c>
      <c r="X607" s="127"/>
      <c r="Y607" s="122"/>
      <c r="Z607" s="128"/>
      <c r="AA607" s="129"/>
      <c r="AB607" s="359" t="s">
        <v>985</v>
      </c>
    </row>
    <row r="608" spans="1:34" ht="12" customHeight="1" x14ac:dyDescent="0.2">
      <c r="A608" s="4"/>
      <c r="B608" s="699" t="s">
        <v>851</v>
      </c>
      <c r="C608" s="702"/>
      <c r="D608" s="702"/>
      <c r="E608" s="702"/>
      <c r="F608" s="444">
        <v>3980</v>
      </c>
      <c r="G608" s="270">
        <f>+F608*$X$1</f>
        <v>3980</v>
      </c>
      <c r="H608" s="93"/>
      <c r="I608" s="270"/>
      <c r="J608" s="93"/>
      <c r="K608" s="270"/>
      <c r="L608" s="93"/>
      <c r="M608" s="270"/>
      <c r="N608" s="93"/>
      <c r="O608" s="270"/>
      <c r="P608" s="93"/>
      <c r="Q608" s="270"/>
      <c r="R608" s="93">
        <f t="shared" si="1769"/>
        <v>4480</v>
      </c>
      <c r="S608" s="270">
        <f t="shared" si="1778"/>
        <v>4480</v>
      </c>
      <c r="T608" s="93">
        <f t="shared" si="1771"/>
        <v>4430</v>
      </c>
      <c r="U608" s="270">
        <f t="shared" si="1779"/>
        <v>4430</v>
      </c>
      <c r="V608" s="93">
        <f t="shared" si="1773"/>
        <v>4340</v>
      </c>
      <c r="W608" s="270">
        <f t="shared" si="1780"/>
        <v>4340</v>
      </c>
      <c r="X608" s="127"/>
      <c r="Y608" s="122"/>
      <c r="Z608" s="128"/>
      <c r="AA608" s="129"/>
      <c r="AB608" s="345">
        <v>572</v>
      </c>
    </row>
    <row r="609" spans="1:28" ht="12" customHeight="1" x14ac:dyDescent="0.2">
      <c r="A609" s="4"/>
      <c r="B609" s="656" t="s">
        <v>850</v>
      </c>
      <c r="C609" s="657"/>
      <c r="D609" s="657"/>
      <c r="E609" s="657"/>
      <c r="F609" s="280">
        <f>5.08*X2</f>
        <v>7823.2</v>
      </c>
      <c r="G609" s="280">
        <f t="shared" ref="G609" si="1796">+F609*$X$1</f>
        <v>7823.2</v>
      </c>
      <c r="H609" s="92"/>
      <c r="I609" s="280"/>
      <c r="J609" s="92"/>
      <c r="K609" s="280"/>
      <c r="L609" s="92"/>
      <c r="M609" s="280"/>
      <c r="N609" s="92">
        <f t="shared" ref="N609:N623" si="1797">F609+700</f>
        <v>8523.2000000000007</v>
      </c>
      <c r="O609" s="280">
        <f t="shared" ref="O609:O610" si="1798">+N609*$X$1</f>
        <v>8523.2000000000007</v>
      </c>
      <c r="P609" s="92">
        <f t="shared" ref="P609:P623" si="1799">F609+600</f>
        <v>8423.2000000000007</v>
      </c>
      <c r="Q609" s="280">
        <f t="shared" ref="Q609:Q610" si="1800">+P609*$X$1</f>
        <v>8423.2000000000007</v>
      </c>
      <c r="R609" s="92">
        <f t="shared" si="1769"/>
        <v>8323.2000000000007</v>
      </c>
      <c r="S609" s="280">
        <f t="shared" ref="S609:S610" si="1801">+R609*$X$1</f>
        <v>8323.2000000000007</v>
      </c>
      <c r="T609" s="92">
        <f t="shared" si="1771"/>
        <v>8273.2000000000007</v>
      </c>
      <c r="U609" s="280">
        <f t="shared" ref="U609:U610" si="1802">+T609*$X$1</f>
        <v>8273.2000000000007</v>
      </c>
      <c r="V609" s="92">
        <f t="shared" si="1773"/>
        <v>8183.2</v>
      </c>
      <c r="W609" s="280">
        <f t="shared" ref="W609:W610" si="1803">+V609*$X$1</f>
        <v>8183.2</v>
      </c>
      <c r="X609" s="127"/>
      <c r="Y609" s="122"/>
      <c r="Z609" s="128"/>
      <c r="AA609" s="129"/>
      <c r="AB609" s="345" t="s">
        <v>707</v>
      </c>
    </row>
    <row r="610" spans="1:28" ht="12" customHeight="1" x14ac:dyDescent="0.2">
      <c r="A610" s="4"/>
      <c r="B610" s="699" t="s">
        <v>804</v>
      </c>
      <c r="C610" s="702"/>
      <c r="D610" s="702"/>
      <c r="E610" s="702"/>
      <c r="F610" s="270">
        <f>1.2*X2</f>
        <v>1848</v>
      </c>
      <c r="G610" s="270">
        <f t="shared" ref="G610" si="1804">+F610*$X$1</f>
        <v>1848</v>
      </c>
      <c r="H610" s="93"/>
      <c r="I610" s="270"/>
      <c r="J610" s="93"/>
      <c r="K610" s="270"/>
      <c r="L610" s="93"/>
      <c r="M610" s="270"/>
      <c r="N610" s="93">
        <f t="shared" si="1797"/>
        <v>2548</v>
      </c>
      <c r="O610" s="270">
        <f t="shared" si="1798"/>
        <v>2548</v>
      </c>
      <c r="P610" s="93">
        <f t="shared" si="1799"/>
        <v>2448</v>
      </c>
      <c r="Q610" s="270">
        <f t="shared" si="1800"/>
        <v>2448</v>
      </c>
      <c r="R610" s="93">
        <f t="shared" si="1769"/>
        <v>2348</v>
      </c>
      <c r="S610" s="270">
        <f t="shared" si="1801"/>
        <v>2348</v>
      </c>
      <c r="T610" s="93">
        <f t="shared" si="1771"/>
        <v>2298</v>
      </c>
      <c r="U610" s="270">
        <f t="shared" si="1802"/>
        <v>2298</v>
      </c>
      <c r="V610" s="93">
        <f t="shared" si="1773"/>
        <v>2208</v>
      </c>
      <c r="W610" s="270">
        <f t="shared" si="1803"/>
        <v>2208</v>
      </c>
      <c r="X610" s="127"/>
      <c r="Y610" s="122"/>
      <c r="Z610" s="128"/>
      <c r="AA610" s="129"/>
      <c r="AB610" s="345">
        <v>575</v>
      </c>
    </row>
    <row r="611" spans="1:28" ht="12" customHeight="1" x14ac:dyDescent="0.2">
      <c r="A611" s="4"/>
      <c r="B611" s="656" t="s">
        <v>663</v>
      </c>
      <c r="C611" s="657"/>
      <c r="D611" s="657"/>
      <c r="E611" s="657"/>
      <c r="F611" s="584">
        <v>15600</v>
      </c>
      <c r="G611" s="280">
        <f t="shared" ref="G611:G612" si="1805">+F611*$X$1</f>
        <v>15600</v>
      </c>
      <c r="H611" s="92"/>
      <c r="I611" s="280"/>
      <c r="J611" s="92"/>
      <c r="K611" s="280"/>
      <c r="L611" s="92">
        <f t="shared" ref="L611:L623" si="1806">F611+800</f>
        <v>16400</v>
      </c>
      <c r="M611" s="280">
        <f t="shared" ref="M611:M616" si="1807">+L611*$X$1</f>
        <v>16400</v>
      </c>
      <c r="N611" s="92">
        <f t="shared" si="1797"/>
        <v>16300</v>
      </c>
      <c r="O611" s="280">
        <f t="shared" ref="O611:O616" si="1808">+N611*$X$1</f>
        <v>16300</v>
      </c>
      <c r="P611" s="92">
        <f t="shared" si="1799"/>
        <v>16200</v>
      </c>
      <c r="Q611" s="280">
        <f t="shared" ref="Q611:Q616" si="1809">+P611*$X$1</f>
        <v>16200</v>
      </c>
      <c r="R611" s="92">
        <f t="shared" si="1769"/>
        <v>16100</v>
      </c>
      <c r="S611" s="280">
        <f t="shared" ref="S611:S616" si="1810">+R611*$X$1</f>
        <v>16100</v>
      </c>
      <c r="T611" s="92">
        <f t="shared" si="1771"/>
        <v>16050</v>
      </c>
      <c r="U611" s="280">
        <f t="shared" ref="U611:U616" si="1811">+T611*$X$1</f>
        <v>16050</v>
      </c>
      <c r="V611" s="92">
        <f t="shared" si="1773"/>
        <v>15960</v>
      </c>
      <c r="W611" s="280">
        <f t="shared" ref="W611:W616" si="1812">+V611*$X$1</f>
        <v>15960</v>
      </c>
      <c r="X611" s="127"/>
      <c r="Y611" s="122"/>
      <c r="Z611" s="128"/>
      <c r="AA611" s="129"/>
      <c r="AB611" s="345">
        <v>577</v>
      </c>
    </row>
    <row r="612" spans="1:28" ht="12" customHeight="1" x14ac:dyDescent="0.2">
      <c r="A612" s="4"/>
      <c r="B612" s="625" t="s">
        <v>947</v>
      </c>
      <c r="C612" s="626"/>
      <c r="D612" s="626"/>
      <c r="E612" s="626"/>
      <c r="F612" s="270">
        <f>8.35*X2</f>
        <v>12859</v>
      </c>
      <c r="G612" s="270">
        <f t="shared" si="1805"/>
        <v>12859</v>
      </c>
      <c r="H612" s="93"/>
      <c r="I612" s="270"/>
      <c r="J612" s="93"/>
      <c r="K612" s="270"/>
      <c r="L612" s="93">
        <f t="shared" si="1806"/>
        <v>13659</v>
      </c>
      <c r="M612" s="270">
        <f t="shared" si="1807"/>
        <v>13659</v>
      </c>
      <c r="N612" s="93">
        <f t="shared" si="1797"/>
        <v>13559</v>
      </c>
      <c r="O612" s="270">
        <f t="shared" si="1808"/>
        <v>13559</v>
      </c>
      <c r="P612" s="93">
        <f t="shared" si="1799"/>
        <v>13459</v>
      </c>
      <c r="Q612" s="270">
        <f t="shared" si="1809"/>
        <v>13459</v>
      </c>
      <c r="R612" s="93">
        <f t="shared" ref="R612" si="1813">F612+500</f>
        <v>13359</v>
      </c>
      <c r="S612" s="270">
        <f t="shared" si="1810"/>
        <v>13359</v>
      </c>
      <c r="T612" s="93">
        <f t="shared" ref="T612" si="1814">F612+450</f>
        <v>13309</v>
      </c>
      <c r="U612" s="270">
        <f t="shared" si="1811"/>
        <v>13309</v>
      </c>
      <c r="V612" s="93">
        <f t="shared" ref="V612" si="1815">F612+360</f>
        <v>13219</v>
      </c>
      <c r="W612" s="270">
        <f t="shared" si="1812"/>
        <v>13219</v>
      </c>
      <c r="X612" s="127"/>
      <c r="Y612" s="122"/>
      <c r="Z612" s="128"/>
      <c r="AA612" s="129"/>
      <c r="AB612" s="359">
        <v>579</v>
      </c>
    </row>
    <row r="613" spans="1:28" ht="12" customHeight="1" x14ac:dyDescent="0.2">
      <c r="A613" s="4"/>
      <c r="B613" s="642" t="s">
        <v>662</v>
      </c>
      <c r="C613" s="682"/>
      <c r="D613" s="682"/>
      <c r="E613" s="682"/>
      <c r="F613" s="280">
        <f>25.1*X2</f>
        <v>38654</v>
      </c>
      <c r="G613" s="280">
        <f t="shared" ref="G613:G620" si="1816">+F613*$X$1</f>
        <v>38654</v>
      </c>
      <c r="H613" s="92">
        <f>F613+5000</f>
        <v>43654</v>
      </c>
      <c r="I613" s="280">
        <f t="shared" ref="I613:I616" si="1817">+H613*$X$1</f>
        <v>43654</v>
      </c>
      <c r="J613" s="92">
        <f t="shared" ref="J613:J619" si="1818">F613+1200</f>
        <v>39854</v>
      </c>
      <c r="K613" s="280">
        <f t="shared" ref="K613:K616" si="1819">+J613*$X$1</f>
        <v>39854</v>
      </c>
      <c r="L613" s="92">
        <f t="shared" si="1806"/>
        <v>39454</v>
      </c>
      <c r="M613" s="280">
        <f t="shared" si="1807"/>
        <v>39454</v>
      </c>
      <c r="N613" s="92">
        <f t="shared" si="1797"/>
        <v>39354</v>
      </c>
      <c r="O613" s="280">
        <f t="shared" si="1808"/>
        <v>39354</v>
      </c>
      <c r="P613" s="92">
        <f t="shared" si="1799"/>
        <v>39254</v>
      </c>
      <c r="Q613" s="280">
        <f t="shared" si="1809"/>
        <v>39254</v>
      </c>
      <c r="R613" s="92">
        <f t="shared" si="1769"/>
        <v>39154</v>
      </c>
      <c r="S613" s="280">
        <f t="shared" si="1810"/>
        <v>39154</v>
      </c>
      <c r="T613" s="92">
        <f t="shared" si="1771"/>
        <v>39104</v>
      </c>
      <c r="U613" s="280">
        <f t="shared" si="1811"/>
        <v>39104</v>
      </c>
      <c r="V613" s="92">
        <f t="shared" si="1773"/>
        <v>39014</v>
      </c>
      <c r="W613" s="280">
        <f t="shared" si="1812"/>
        <v>39014</v>
      </c>
      <c r="X613" s="127"/>
      <c r="Y613" s="122"/>
      <c r="Z613" s="128"/>
      <c r="AA613" s="129"/>
      <c r="AB613" s="345">
        <v>580</v>
      </c>
    </row>
    <row r="614" spans="1:28" ht="12" customHeight="1" x14ac:dyDescent="0.2">
      <c r="A614" s="4"/>
      <c r="B614" s="630" t="s">
        <v>661</v>
      </c>
      <c r="C614" s="703"/>
      <c r="D614" s="703"/>
      <c r="E614" s="703"/>
      <c r="F614" s="283">
        <f>21.83*X2</f>
        <v>33618.199999999997</v>
      </c>
      <c r="G614" s="255">
        <f t="shared" si="1816"/>
        <v>33618.199999999997</v>
      </c>
      <c r="H614" s="93">
        <f>F614+5000</f>
        <v>38618.199999999997</v>
      </c>
      <c r="I614" s="270">
        <f t="shared" si="1817"/>
        <v>38618.199999999997</v>
      </c>
      <c r="J614" s="93">
        <f t="shared" si="1818"/>
        <v>34818.199999999997</v>
      </c>
      <c r="K614" s="270">
        <f t="shared" si="1819"/>
        <v>34818.199999999997</v>
      </c>
      <c r="L614" s="93">
        <f t="shared" si="1806"/>
        <v>34418.199999999997</v>
      </c>
      <c r="M614" s="270">
        <f t="shared" si="1807"/>
        <v>34418.199999999997</v>
      </c>
      <c r="N614" s="93">
        <f t="shared" si="1797"/>
        <v>34318.199999999997</v>
      </c>
      <c r="O614" s="270">
        <f t="shared" si="1808"/>
        <v>34318.199999999997</v>
      </c>
      <c r="P614" s="93">
        <f t="shared" si="1799"/>
        <v>34218.199999999997</v>
      </c>
      <c r="Q614" s="270">
        <f t="shared" si="1809"/>
        <v>34218.199999999997</v>
      </c>
      <c r="R614" s="93">
        <f t="shared" si="1769"/>
        <v>34118.199999999997</v>
      </c>
      <c r="S614" s="270">
        <f t="shared" si="1810"/>
        <v>34118.199999999997</v>
      </c>
      <c r="T614" s="93">
        <f t="shared" si="1771"/>
        <v>34068.199999999997</v>
      </c>
      <c r="U614" s="270">
        <f t="shared" si="1811"/>
        <v>34068.199999999997</v>
      </c>
      <c r="V614" s="93">
        <f t="shared" si="1773"/>
        <v>33978.199999999997</v>
      </c>
      <c r="W614" s="270">
        <f t="shared" si="1812"/>
        <v>33978.199999999997</v>
      </c>
      <c r="X614" s="127"/>
      <c r="Y614" s="122"/>
      <c r="Z614" s="128"/>
      <c r="AA614" s="129"/>
      <c r="AB614" s="345">
        <v>582</v>
      </c>
    </row>
    <row r="615" spans="1:28" ht="12" customHeight="1" x14ac:dyDescent="0.2">
      <c r="A615" s="4"/>
      <c r="B615" s="642" t="s">
        <v>660</v>
      </c>
      <c r="C615" s="682"/>
      <c r="D615" s="682"/>
      <c r="E615" s="682"/>
      <c r="F615" s="584">
        <v>30500</v>
      </c>
      <c r="G615" s="280">
        <f t="shared" si="1816"/>
        <v>30500</v>
      </c>
      <c r="H615" s="92">
        <f>F615+5000</f>
        <v>35500</v>
      </c>
      <c r="I615" s="280">
        <f t="shared" si="1817"/>
        <v>35500</v>
      </c>
      <c r="J615" s="92">
        <f t="shared" si="1818"/>
        <v>31700</v>
      </c>
      <c r="K615" s="280">
        <f t="shared" si="1819"/>
        <v>31700</v>
      </c>
      <c r="L615" s="92">
        <f t="shared" si="1806"/>
        <v>31300</v>
      </c>
      <c r="M615" s="280">
        <f t="shared" si="1807"/>
        <v>31300</v>
      </c>
      <c r="N615" s="92">
        <f t="shared" si="1797"/>
        <v>31200</v>
      </c>
      <c r="O615" s="280">
        <f t="shared" si="1808"/>
        <v>31200</v>
      </c>
      <c r="P615" s="92">
        <f t="shared" si="1799"/>
        <v>31100</v>
      </c>
      <c r="Q615" s="280">
        <f t="shared" si="1809"/>
        <v>31100</v>
      </c>
      <c r="R615" s="92">
        <f t="shared" si="1769"/>
        <v>31000</v>
      </c>
      <c r="S615" s="280">
        <f t="shared" si="1810"/>
        <v>31000</v>
      </c>
      <c r="T615" s="92">
        <f t="shared" si="1771"/>
        <v>30950</v>
      </c>
      <c r="U615" s="280">
        <f t="shared" si="1811"/>
        <v>30950</v>
      </c>
      <c r="V615" s="92">
        <f t="shared" si="1773"/>
        <v>30860</v>
      </c>
      <c r="W615" s="280">
        <f t="shared" si="1812"/>
        <v>30860</v>
      </c>
      <c r="X615" s="127"/>
      <c r="Y615" s="122"/>
      <c r="Z615" s="128"/>
      <c r="AA615" s="129"/>
      <c r="AB615" s="345">
        <v>584</v>
      </c>
    </row>
    <row r="616" spans="1:28" ht="12" customHeight="1" x14ac:dyDescent="0.2">
      <c r="A616" s="4"/>
      <c r="B616" s="751" t="s">
        <v>708</v>
      </c>
      <c r="C616" s="752"/>
      <c r="D616" s="752"/>
      <c r="E616" s="753"/>
      <c r="F616" s="283">
        <f>21.33*X2</f>
        <v>32848.199999999997</v>
      </c>
      <c r="G616" s="255">
        <f t="shared" si="1816"/>
        <v>32848.199999999997</v>
      </c>
      <c r="H616" s="93">
        <f>F616+5000</f>
        <v>37848.199999999997</v>
      </c>
      <c r="I616" s="270">
        <f t="shared" si="1817"/>
        <v>37848.199999999997</v>
      </c>
      <c r="J616" s="93">
        <f t="shared" si="1818"/>
        <v>34048.199999999997</v>
      </c>
      <c r="K616" s="270">
        <f t="shared" si="1819"/>
        <v>34048.199999999997</v>
      </c>
      <c r="L616" s="93">
        <f t="shared" si="1806"/>
        <v>33648.199999999997</v>
      </c>
      <c r="M616" s="270">
        <f t="shared" si="1807"/>
        <v>33648.199999999997</v>
      </c>
      <c r="N616" s="93">
        <f t="shared" si="1797"/>
        <v>33548.199999999997</v>
      </c>
      <c r="O616" s="270">
        <f t="shared" si="1808"/>
        <v>33548.199999999997</v>
      </c>
      <c r="P616" s="93">
        <f t="shared" si="1799"/>
        <v>33448.199999999997</v>
      </c>
      <c r="Q616" s="270">
        <f t="shared" si="1809"/>
        <v>33448.199999999997</v>
      </c>
      <c r="R616" s="93">
        <f t="shared" si="1769"/>
        <v>33348.199999999997</v>
      </c>
      <c r="S616" s="270">
        <f t="shared" si="1810"/>
        <v>33348.199999999997</v>
      </c>
      <c r="T616" s="93">
        <f t="shared" si="1771"/>
        <v>33298.199999999997</v>
      </c>
      <c r="U616" s="270">
        <f t="shared" si="1811"/>
        <v>33298.199999999997</v>
      </c>
      <c r="V616" s="93">
        <f t="shared" si="1773"/>
        <v>33208.199999999997</v>
      </c>
      <c r="W616" s="270">
        <f t="shared" si="1812"/>
        <v>33208.199999999997</v>
      </c>
      <c r="X616" s="127"/>
      <c r="Y616" s="122"/>
      <c r="Z616" s="128"/>
      <c r="AA616" s="129"/>
      <c r="AB616" s="345">
        <v>586</v>
      </c>
    </row>
    <row r="617" spans="1:28" ht="12" customHeight="1" x14ac:dyDescent="0.2">
      <c r="A617" s="4"/>
      <c r="B617" s="743" t="s">
        <v>792</v>
      </c>
      <c r="C617" s="744"/>
      <c r="D617" s="744"/>
      <c r="E617" s="745"/>
      <c r="F617" s="282">
        <f>3.78*X2</f>
        <v>5821.2</v>
      </c>
      <c r="G617" s="256">
        <f t="shared" si="1816"/>
        <v>5821.2</v>
      </c>
      <c r="H617" s="92">
        <f>F617+5000</f>
        <v>10821.2</v>
      </c>
      <c r="I617" s="280">
        <f t="shared" ref="I617:I618" si="1820">+H617*$X$1</f>
        <v>10821.2</v>
      </c>
      <c r="J617" s="92">
        <f t="shared" si="1818"/>
        <v>7021.2</v>
      </c>
      <c r="K617" s="280">
        <f t="shared" ref="K617:K618" si="1821">+J617*$X$1</f>
        <v>7021.2</v>
      </c>
      <c r="L617" s="92">
        <f t="shared" si="1806"/>
        <v>6621.2</v>
      </c>
      <c r="M617" s="280">
        <f t="shared" ref="M617:M619" si="1822">+L617*$X$1</f>
        <v>6621.2</v>
      </c>
      <c r="N617" s="92">
        <f t="shared" si="1797"/>
        <v>6521.2</v>
      </c>
      <c r="O617" s="280">
        <f t="shared" ref="O617:O619" si="1823">+N617*$X$1</f>
        <v>6521.2</v>
      </c>
      <c r="P617" s="92">
        <f t="shared" si="1799"/>
        <v>6421.2</v>
      </c>
      <c r="Q617" s="280">
        <f t="shared" ref="Q617:Q619" si="1824">+P617*$X$1</f>
        <v>6421.2</v>
      </c>
      <c r="R617" s="92">
        <f t="shared" si="1769"/>
        <v>6321.2</v>
      </c>
      <c r="S617" s="280">
        <f t="shared" ref="S617:S619" si="1825">+R617*$X$1</f>
        <v>6321.2</v>
      </c>
      <c r="T617" s="92">
        <f t="shared" si="1771"/>
        <v>6271.2</v>
      </c>
      <c r="U617" s="280">
        <f t="shared" ref="U617:U619" si="1826">+T617*$X$1</f>
        <v>6271.2</v>
      </c>
      <c r="V617" s="92">
        <f t="shared" si="1773"/>
        <v>6181.2</v>
      </c>
      <c r="W617" s="280">
        <f t="shared" ref="W617:W619" si="1827">+V617*$X$1</f>
        <v>6181.2</v>
      </c>
      <c r="X617" s="127"/>
      <c r="Y617" s="122"/>
      <c r="Z617" s="128"/>
      <c r="AA617" s="129"/>
      <c r="AB617" s="178">
        <v>593</v>
      </c>
    </row>
    <row r="618" spans="1:28" ht="12" customHeight="1" x14ac:dyDescent="0.2">
      <c r="A618" s="4"/>
      <c r="B618" s="651" t="s">
        <v>895</v>
      </c>
      <c r="C618" s="758"/>
      <c r="D618" s="758"/>
      <c r="E618" s="759"/>
      <c r="F618" s="255">
        <f>14.43*X2</f>
        <v>22222.2</v>
      </c>
      <c r="G618" s="255">
        <f t="shared" si="1816"/>
        <v>22222.2</v>
      </c>
      <c r="H618" s="93">
        <f t="shared" ref="H618" si="1828">F618+5000</f>
        <v>27222.2</v>
      </c>
      <c r="I618" s="270">
        <f t="shared" si="1820"/>
        <v>27222.2</v>
      </c>
      <c r="J618" s="93">
        <f t="shared" si="1818"/>
        <v>23422.2</v>
      </c>
      <c r="K618" s="270">
        <f t="shared" si="1821"/>
        <v>23422.2</v>
      </c>
      <c r="L618" s="93">
        <f t="shared" si="1806"/>
        <v>23022.2</v>
      </c>
      <c r="M618" s="270">
        <f t="shared" si="1822"/>
        <v>23022.2</v>
      </c>
      <c r="N618" s="93">
        <f t="shared" si="1797"/>
        <v>22922.2</v>
      </c>
      <c r="O618" s="270">
        <f t="shared" si="1823"/>
        <v>22922.2</v>
      </c>
      <c r="P618" s="93">
        <f t="shared" si="1799"/>
        <v>22822.2</v>
      </c>
      <c r="Q618" s="270">
        <f t="shared" si="1824"/>
        <v>22822.2</v>
      </c>
      <c r="R618" s="93">
        <f t="shared" si="1769"/>
        <v>22722.2</v>
      </c>
      <c r="S618" s="270">
        <f t="shared" si="1825"/>
        <v>22722.2</v>
      </c>
      <c r="T618" s="93">
        <f t="shared" si="1771"/>
        <v>22672.2</v>
      </c>
      <c r="U618" s="270">
        <f t="shared" si="1826"/>
        <v>22672.2</v>
      </c>
      <c r="V618" s="93">
        <f t="shared" si="1773"/>
        <v>22582.2</v>
      </c>
      <c r="W618" s="270">
        <f t="shared" si="1827"/>
        <v>22582.2</v>
      </c>
      <c r="X618" s="127"/>
      <c r="Y618" s="122"/>
      <c r="Z618" s="128"/>
      <c r="AA618" s="129"/>
      <c r="AB618" s="345">
        <v>598</v>
      </c>
    </row>
    <row r="619" spans="1:28" ht="12" customHeight="1" x14ac:dyDescent="0.2">
      <c r="A619" s="4"/>
      <c r="B619" s="743" t="s">
        <v>671</v>
      </c>
      <c r="C619" s="744"/>
      <c r="D619" s="744"/>
      <c r="E619" s="745"/>
      <c r="F619" s="1183">
        <v>28200</v>
      </c>
      <c r="G619" s="256">
        <f t="shared" si="1816"/>
        <v>28200</v>
      </c>
      <c r="H619" s="92"/>
      <c r="I619" s="280"/>
      <c r="J619" s="92">
        <f t="shared" si="1818"/>
        <v>29400</v>
      </c>
      <c r="K619" s="280">
        <f t="shared" ref="K619" si="1829">+J619*$X$1</f>
        <v>29400</v>
      </c>
      <c r="L619" s="92">
        <f t="shared" si="1806"/>
        <v>29000</v>
      </c>
      <c r="M619" s="280">
        <f t="shared" si="1822"/>
        <v>29000</v>
      </c>
      <c r="N619" s="92">
        <f t="shared" si="1797"/>
        <v>28900</v>
      </c>
      <c r="O619" s="280">
        <f t="shared" si="1823"/>
        <v>28900</v>
      </c>
      <c r="P619" s="92">
        <f t="shared" si="1799"/>
        <v>28800</v>
      </c>
      <c r="Q619" s="280">
        <f t="shared" si="1824"/>
        <v>28800</v>
      </c>
      <c r="R619" s="92">
        <f t="shared" si="1769"/>
        <v>28700</v>
      </c>
      <c r="S619" s="280">
        <f t="shared" si="1825"/>
        <v>28700</v>
      </c>
      <c r="T619" s="92">
        <f t="shared" si="1771"/>
        <v>28650</v>
      </c>
      <c r="U619" s="280">
        <f t="shared" si="1826"/>
        <v>28650</v>
      </c>
      <c r="V619" s="92">
        <f t="shared" si="1773"/>
        <v>28560</v>
      </c>
      <c r="W619" s="280">
        <f t="shared" si="1827"/>
        <v>28560</v>
      </c>
      <c r="X619" s="127"/>
      <c r="Y619" s="122"/>
      <c r="Z619" s="128"/>
      <c r="AA619" s="129"/>
      <c r="AB619" s="345">
        <v>599</v>
      </c>
    </row>
    <row r="620" spans="1:28" ht="12" customHeight="1" x14ac:dyDescent="0.2">
      <c r="A620" s="4"/>
      <c r="B620" s="751" t="s">
        <v>659</v>
      </c>
      <c r="C620" s="752"/>
      <c r="D620" s="752"/>
      <c r="E620" s="753"/>
      <c r="F620" s="255">
        <f>17.65*X2</f>
        <v>27180.999999999996</v>
      </c>
      <c r="G620" s="255">
        <f t="shared" si="1816"/>
        <v>27180.999999999996</v>
      </c>
      <c r="H620" s="93">
        <f>F620+5000</f>
        <v>32180.999999999996</v>
      </c>
      <c r="I620" s="270">
        <f t="shared" ref="I620:I623" si="1830">+H620*$X$1</f>
        <v>32180.999999999996</v>
      </c>
      <c r="J620" s="93">
        <f t="shared" ref="J620:J636" si="1831">F620+1200</f>
        <v>28380.999999999996</v>
      </c>
      <c r="K620" s="270">
        <f t="shared" ref="K620:K623" si="1832">+J620*$X$1</f>
        <v>28380.999999999996</v>
      </c>
      <c r="L620" s="93">
        <f t="shared" si="1806"/>
        <v>27980.999999999996</v>
      </c>
      <c r="M620" s="270">
        <f t="shared" ref="M620:M623" si="1833">+L620*$X$1</f>
        <v>27980.999999999996</v>
      </c>
      <c r="N620" s="93">
        <f t="shared" si="1797"/>
        <v>27880.999999999996</v>
      </c>
      <c r="O620" s="270">
        <f t="shared" ref="O620:O623" si="1834">+N620*$X$1</f>
        <v>27880.999999999996</v>
      </c>
      <c r="P620" s="93">
        <f t="shared" si="1799"/>
        <v>27780.999999999996</v>
      </c>
      <c r="Q620" s="270">
        <f t="shared" ref="Q620:Q623" si="1835">+P620*$X$1</f>
        <v>27780.999999999996</v>
      </c>
      <c r="R620" s="93">
        <f t="shared" si="1769"/>
        <v>27680.999999999996</v>
      </c>
      <c r="S620" s="270">
        <f t="shared" ref="S620:S623" si="1836">+R620*$X$1</f>
        <v>27680.999999999996</v>
      </c>
      <c r="T620" s="93">
        <f t="shared" si="1771"/>
        <v>27630.999999999996</v>
      </c>
      <c r="U620" s="270">
        <f t="shared" ref="U620:U623" si="1837">+T620*$X$1</f>
        <v>27630.999999999996</v>
      </c>
      <c r="V620" s="93">
        <f t="shared" si="1773"/>
        <v>27540.999999999996</v>
      </c>
      <c r="W620" s="270">
        <f t="shared" ref="W620:W623" si="1838">+V620*$X$1</f>
        <v>27540.999999999996</v>
      </c>
      <c r="X620" s="127"/>
      <c r="Y620" s="122"/>
      <c r="Z620" s="128"/>
      <c r="AA620" s="129"/>
      <c r="AB620" s="345">
        <v>600</v>
      </c>
    </row>
    <row r="621" spans="1:28" ht="12" customHeight="1" x14ac:dyDescent="0.2">
      <c r="A621" s="4"/>
      <c r="B621" s="743" t="s">
        <v>791</v>
      </c>
      <c r="C621" s="744"/>
      <c r="D621" s="744"/>
      <c r="E621" s="745"/>
      <c r="F621" s="282">
        <f>51.2*X2</f>
        <v>78848</v>
      </c>
      <c r="G621" s="256">
        <f t="shared" ref="G621" si="1839">+F621*$X$1</f>
        <v>78848</v>
      </c>
      <c r="H621" s="92">
        <f>F621+5000</f>
        <v>83848</v>
      </c>
      <c r="I621" s="280">
        <f t="shared" si="1830"/>
        <v>83848</v>
      </c>
      <c r="J621" s="92">
        <f t="shared" si="1831"/>
        <v>80048</v>
      </c>
      <c r="K621" s="280">
        <f t="shared" si="1832"/>
        <v>80048</v>
      </c>
      <c r="L621" s="92">
        <f t="shared" si="1806"/>
        <v>79648</v>
      </c>
      <c r="M621" s="280">
        <f t="shared" si="1833"/>
        <v>79648</v>
      </c>
      <c r="N621" s="92">
        <f t="shared" si="1797"/>
        <v>79548</v>
      </c>
      <c r="O621" s="280">
        <f t="shared" si="1834"/>
        <v>79548</v>
      </c>
      <c r="P621" s="92">
        <f t="shared" si="1799"/>
        <v>79448</v>
      </c>
      <c r="Q621" s="280">
        <f t="shared" si="1835"/>
        <v>79448</v>
      </c>
      <c r="R621" s="92">
        <f t="shared" si="1769"/>
        <v>79348</v>
      </c>
      <c r="S621" s="280">
        <f t="shared" si="1836"/>
        <v>79348</v>
      </c>
      <c r="T621" s="92">
        <f t="shared" si="1771"/>
        <v>79298</v>
      </c>
      <c r="U621" s="280">
        <f t="shared" si="1837"/>
        <v>79298</v>
      </c>
      <c r="V621" s="92">
        <f t="shared" si="1773"/>
        <v>79208</v>
      </c>
      <c r="W621" s="280">
        <f t="shared" si="1838"/>
        <v>79208</v>
      </c>
      <c r="X621" s="127"/>
      <c r="Y621" s="122"/>
      <c r="Z621" s="128"/>
      <c r="AA621" s="129"/>
      <c r="AB621" s="345">
        <v>605</v>
      </c>
    </row>
    <row r="622" spans="1:28" ht="12" customHeight="1" x14ac:dyDescent="0.2">
      <c r="A622" s="4"/>
      <c r="B622" s="751" t="s">
        <v>782</v>
      </c>
      <c r="C622" s="752"/>
      <c r="D622" s="752"/>
      <c r="E622" s="753"/>
      <c r="F622" s="283">
        <f>46.18*X2</f>
        <v>71117.2</v>
      </c>
      <c r="G622" s="255">
        <f>+F622*$X$1</f>
        <v>71117.2</v>
      </c>
      <c r="H622" s="93">
        <f>F622+5000</f>
        <v>76117.2</v>
      </c>
      <c r="I622" s="270">
        <f t="shared" si="1830"/>
        <v>76117.2</v>
      </c>
      <c r="J622" s="93">
        <f t="shared" si="1831"/>
        <v>72317.2</v>
      </c>
      <c r="K622" s="270">
        <f t="shared" si="1832"/>
        <v>72317.2</v>
      </c>
      <c r="L622" s="93">
        <f t="shared" si="1806"/>
        <v>71917.2</v>
      </c>
      <c r="M622" s="270">
        <f t="shared" si="1833"/>
        <v>71917.2</v>
      </c>
      <c r="N622" s="93">
        <f t="shared" si="1797"/>
        <v>71817.2</v>
      </c>
      <c r="O622" s="270">
        <f t="shared" si="1834"/>
        <v>71817.2</v>
      </c>
      <c r="P622" s="93">
        <f t="shared" si="1799"/>
        <v>71717.2</v>
      </c>
      <c r="Q622" s="270">
        <f t="shared" si="1835"/>
        <v>71717.2</v>
      </c>
      <c r="R622" s="93">
        <f t="shared" si="1769"/>
        <v>71617.2</v>
      </c>
      <c r="S622" s="270">
        <f t="shared" si="1836"/>
        <v>71617.2</v>
      </c>
      <c r="T622" s="93">
        <f t="shared" si="1771"/>
        <v>71567.199999999997</v>
      </c>
      <c r="U622" s="270">
        <f t="shared" si="1837"/>
        <v>71567.199999999997</v>
      </c>
      <c r="V622" s="93">
        <f t="shared" si="1773"/>
        <v>71477.2</v>
      </c>
      <c r="W622" s="270">
        <f t="shared" si="1838"/>
        <v>71477.2</v>
      </c>
      <c r="X622" s="127"/>
      <c r="Y622" s="122"/>
      <c r="Z622" s="128"/>
      <c r="AA622" s="129"/>
      <c r="AB622" s="345">
        <v>608</v>
      </c>
    </row>
    <row r="623" spans="1:28" ht="12" customHeight="1" x14ac:dyDescent="0.2">
      <c r="A623" s="4"/>
      <c r="B623" s="743" t="s">
        <v>664</v>
      </c>
      <c r="C623" s="744"/>
      <c r="D623" s="744"/>
      <c r="E623" s="745"/>
      <c r="F623" s="282">
        <f>31.2*X2</f>
        <v>48048</v>
      </c>
      <c r="G623" s="256">
        <f t="shared" ref="G623:G624" si="1840">+F623*$X$1</f>
        <v>48048</v>
      </c>
      <c r="H623" s="92">
        <f>F623+5000</f>
        <v>53048</v>
      </c>
      <c r="I623" s="280">
        <f t="shared" si="1830"/>
        <v>53048</v>
      </c>
      <c r="J623" s="92">
        <f t="shared" si="1831"/>
        <v>49248</v>
      </c>
      <c r="K623" s="280">
        <f t="shared" si="1832"/>
        <v>49248</v>
      </c>
      <c r="L623" s="92">
        <f t="shared" si="1806"/>
        <v>48848</v>
      </c>
      <c r="M623" s="280">
        <f t="shared" si="1833"/>
        <v>48848</v>
      </c>
      <c r="N623" s="92">
        <f t="shared" si="1797"/>
        <v>48748</v>
      </c>
      <c r="O623" s="280">
        <f t="shared" si="1834"/>
        <v>48748</v>
      </c>
      <c r="P623" s="92">
        <f t="shared" si="1799"/>
        <v>48648</v>
      </c>
      <c r="Q623" s="280">
        <f t="shared" si="1835"/>
        <v>48648</v>
      </c>
      <c r="R623" s="92">
        <f t="shared" si="1769"/>
        <v>48548</v>
      </c>
      <c r="S623" s="280">
        <f t="shared" si="1836"/>
        <v>48548</v>
      </c>
      <c r="T623" s="92">
        <f t="shared" si="1771"/>
        <v>48498</v>
      </c>
      <c r="U623" s="280">
        <f t="shared" si="1837"/>
        <v>48498</v>
      </c>
      <c r="V623" s="92">
        <f t="shared" si="1773"/>
        <v>48408</v>
      </c>
      <c r="W623" s="280">
        <f t="shared" si="1838"/>
        <v>48408</v>
      </c>
      <c r="X623" s="127"/>
      <c r="Y623" s="122"/>
      <c r="Z623" s="128"/>
      <c r="AA623" s="129"/>
      <c r="AB623" s="345">
        <v>609</v>
      </c>
    </row>
    <row r="624" spans="1:28" ht="12" customHeight="1" x14ac:dyDescent="0.2">
      <c r="A624" s="4"/>
      <c r="B624" s="751" t="s">
        <v>665</v>
      </c>
      <c r="C624" s="752"/>
      <c r="D624" s="752"/>
      <c r="E624" s="753"/>
      <c r="F624" s="283">
        <f>36.2*X2</f>
        <v>55748.000000000007</v>
      </c>
      <c r="G624" s="255">
        <f t="shared" si="1840"/>
        <v>55748.000000000007</v>
      </c>
      <c r="H624" s="93">
        <f t="shared" ref="H624:H636" si="1841">F624+5000</f>
        <v>60748.000000000007</v>
      </c>
      <c r="I624" s="270">
        <f t="shared" ref="I624:I636" si="1842">+H624*$X$1</f>
        <v>60748.000000000007</v>
      </c>
      <c r="J624" s="93">
        <f t="shared" si="1831"/>
        <v>56948.000000000007</v>
      </c>
      <c r="K624" s="270">
        <f t="shared" ref="K624:K636" si="1843">+J624*$X$1</f>
        <v>56948.000000000007</v>
      </c>
      <c r="L624" s="93">
        <f t="shared" ref="L624:L636" si="1844">F624+800</f>
        <v>56548.000000000007</v>
      </c>
      <c r="M624" s="270">
        <f t="shared" ref="M624:M636" si="1845">+L624*$X$1</f>
        <v>56548.000000000007</v>
      </c>
      <c r="N624" s="93">
        <f t="shared" ref="N624:N636" si="1846">F624+700</f>
        <v>56448.000000000007</v>
      </c>
      <c r="O624" s="270">
        <f t="shared" ref="O624:O636" si="1847">+N624*$X$1</f>
        <v>56448.000000000007</v>
      </c>
      <c r="P624" s="93">
        <f t="shared" ref="P624:P636" si="1848">F624+600</f>
        <v>56348.000000000007</v>
      </c>
      <c r="Q624" s="270">
        <f t="shared" ref="Q624:Q636" si="1849">+P624*$X$1</f>
        <v>56348.000000000007</v>
      </c>
      <c r="R624" s="93">
        <f t="shared" ref="R624:R636" si="1850">F624+500</f>
        <v>56248.000000000007</v>
      </c>
      <c r="S624" s="270">
        <f t="shared" ref="S624:S636" si="1851">+R624*$X$1</f>
        <v>56248.000000000007</v>
      </c>
      <c r="T624" s="93">
        <f t="shared" ref="T624:T636" si="1852">F624+450</f>
        <v>56198.000000000007</v>
      </c>
      <c r="U624" s="270">
        <f t="shared" ref="U624:U636" si="1853">+T624*$X$1</f>
        <v>56198.000000000007</v>
      </c>
      <c r="V624" s="93">
        <f t="shared" ref="V624:V636" si="1854">F624+360</f>
        <v>56108.000000000007</v>
      </c>
      <c r="W624" s="270">
        <f t="shared" ref="W624:W636" si="1855">+V624*$X$1</f>
        <v>56108.000000000007</v>
      </c>
      <c r="X624" s="127"/>
      <c r="Y624" s="122"/>
      <c r="Z624" s="128"/>
      <c r="AA624" s="129"/>
      <c r="AB624" s="345">
        <v>611</v>
      </c>
    </row>
    <row r="625" spans="1:28" ht="12" customHeight="1" x14ac:dyDescent="0.2">
      <c r="A625" s="4"/>
      <c r="B625" s="656" t="s">
        <v>1031</v>
      </c>
      <c r="C625" s="657"/>
      <c r="D625" s="657"/>
      <c r="E625" s="657"/>
      <c r="F625" s="1183">
        <v>5980</v>
      </c>
      <c r="G625" s="256">
        <f>+F625*$X$1</f>
        <v>5980</v>
      </c>
      <c r="H625" s="92"/>
      <c r="I625" s="280"/>
      <c r="J625" s="92"/>
      <c r="K625" s="280"/>
      <c r="L625" s="92"/>
      <c r="M625" s="280"/>
      <c r="N625" s="92">
        <f t="shared" si="1846"/>
        <v>6680</v>
      </c>
      <c r="O625" s="280">
        <f t="shared" si="1847"/>
        <v>6680</v>
      </c>
      <c r="P625" s="92">
        <f t="shared" si="1848"/>
        <v>6580</v>
      </c>
      <c r="Q625" s="280">
        <f t="shared" si="1849"/>
        <v>6580</v>
      </c>
      <c r="R625" s="92">
        <f t="shared" si="1850"/>
        <v>6480</v>
      </c>
      <c r="S625" s="280">
        <f t="shared" si="1851"/>
        <v>6480</v>
      </c>
      <c r="T625" s="92">
        <f t="shared" si="1852"/>
        <v>6430</v>
      </c>
      <c r="U625" s="280">
        <f t="shared" si="1853"/>
        <v>6430</v>
      </c>
      <c r="V625" s="92">
        <f t="shared" si="1854"/>
        <v>6340</v>
      </c>
      <c r="W625" s="280">
        <f t="shared" si="1855"/>
        <v>6340</v>
      </c>
      <c r="X625" s="127"/>
      <c r="Y625" s="122"/>
      <c r="Z625" s="128"/>
      <c r="AA625" s="129"/>
      <c r="AB625" s="359">
        <v>641</v>
      </c>
    </row>
    <row r="626" spans="1:28" ht="12" customHeight="1" x14ac:dyDescent="0.2">
      <c r="A626" s="4"/>
      <c r="B626" s="751" t="s">
        <v>1030</v>
      </c>
      <c r="C626" s="752"/>
      <c r="D626" s="752"/>
      <c r="E626" s="753"/>
      <c r="F626" s="283">
        <f>4.15*X2</f>
        <v>6391.0000000000009</v>
      </c>
      <c r="G626" s="255">
        <f t="shared" ref="G626" si="1856">+F626*$X$1</f>
        <v>6391.0000000000009</v>
      </c>
      <c r="H626" s="93">
        <f t="shared" si="1841"/>
        <v>11391</v>
      </c>
      <c r="I626" s="270">
        <f t="shared" si="1842"/>
        <v>11391</v>
      </c>
      <c r="J626" s="93">
        <f t="shared" si="1831"/>
        <v>7591.0000000000009</v>
      </c>
      <c r="K626" s="270">
        <f t="shared" si="1843"/>
        <v>7591.0000000000009</v>
      </c>
      <c r="L626" s="93">
        <f t="shared" si="1844"/>
        <v>7191.0000000000009</v>
      </c>
      <c r="M626" s="270">
        <f t="shared" si="1845"/>
        <v>7191.0000000000009</v>
      </c>
      <c r="N626" s="93">
        <f t="shared" si="1846"/>
        <v>7091.0000000000009</v>
      </c>
      <c r="O626" s="270">
        <f t="shared" si="1847"/>
        <v>7091.0000000000009</v>
      </c>
      <c r="P626" s="93">
        <f t="shared" si="1848"/>
        <v>6991.0000000000009</v>
      </c>
      <c r="Q626" s="270">
        <f t="shared" si="1849"/>
        <v>6991.0000000000009</v>
      </c>
      <c r="R626" s="93">
        <f t="shared" si="1850"/>
        <v>6891.0000000000009</v>
      </c>
      <c r="S626" s="270">
        <f t="shared" si="1851"/>
        <v>6891.0000000000009</v>
      </c>
      <c r="T626" s="93">
        <f t="shared" si="1852"/>
        <v>6841.0000000000009</v>
      </c>
      <c r="U626" s="270">
        <f t="shared" si="1853"/>
        <v>6841.0000000000009</v>
      </c>
      <c r="V626" s="93">
        <f t="shared" si="1854"/>
        <v>6751.0000000000009</v>
      </c>
      <c r="W626" s="270">
        <f t="shared" si="1855"/>
        <v>6751.0000000000009</v>
      </c>
      <c r="X626" s="127"/>
      <c r="Y626" s="122"/>
      <c r="Z626" s="128"/>
      <c r="AA626" s="129"/>
      <c r="AB626" s="178">
        <v>642</v>
      </c>
    </row>
    <row r="627" spans="1:28" ht="12" customHeight="1" x14ac:dyDescent="0.2">
      <c r="A627" s="4"/>
      <c r="B627" s="743" t="s">
        <v>1029</v>
      </c>
      <c r="C627" s="744"/>
      <c r="D627" s="744"/>
      <c r="E627" s="745"/>
      <c r="F627" s="282">
        <f>13.7*X2</f>
        <v>21098</v>
      </c>
      <c r="G627" s="256">
        <f t="shared" ref="G627" si="1857">+F627*$X$1</f>
        <v>21098</v>
      </c>
      <c r="H627" s="92">
        <f t="shared" si="1841"/>
        <v>26098</v>
      </c>
      <c r="I627" s="280">
        <f t="shared" si="1842"/>
        <v>26098</v>
      </c>
      <c r="J627" s="92">
        <f t="shared" si="1831"/>
        <v>22298</v>
      </c>
      <c r="K627" s="280">
        <f t="shared" si="1843"/>
        <v>22298</v>
      </c>
      <c r="L627" s="92">
        <f t="shared" si="1844"/>
        <v>21898</v>
      </c>
      <c r="M627" s="280">
        <f t="shared" si="1845"/>
        <v>21898</v>
      </c>
      <c r="N627" s="92">
        <f t="shared" si="1846"/>
        <v>21798</v>
      </c>
      <c r="O627" s="280">
        <f t="shared" si="1847"/>
        <v>21798</v>
      </c>
      <c r="P627" s="92">
        <f t="shared" si="1848"/>
        <v>21698</v>
      </c>
      <c r="Q627" s="280">
        <f t="shared" si="1849"/>
        <v>21698</v>
      </c>
      <c r="R627" s="92">
        <f t="shared" si="1850"/>
        <v>21598</v>
      </c>
      <c r="S627" s="280">
        <f t="shared" si="1851"/>
        <v>21598</v>
      </c>
      <c r="T627" s="92">
        <f t="shared" si="1852"/>
        <v>21548</v>
      </c>
      <c r="U627" s="280">
        <f t="shared" si="1853"/>
        <v>21548</v>
      </c>
      <c r="V627" s="92">
        <f t="shared" si="1854"/>
        <v>21458</v>
      </c>
      <c r="W627" s="280">
        <f t="shared" si="1855"/>
        <v>21458</v>
      </c>
      <c r="X627" s="127"/>
      <c r="Y627" s="122"/>
      <c r="Z627" s="128"/>
      <c r="AA627" s="129"/>
      <c r="AB627" s="178">
        <v>643</v>
      </c>
    </row>
    <row r="628" spans="1:28" ht="12" customHeight="1" x14ac:dyDescent="0.2">
      <c r="A628" s="4"/>
      <c r="B628" s="751" t="s">
        <v>666</v>
      </c>
      <c r="C628" s="752"/>
      <c r="D628" s="752"/>
      <c r="E628" s="753"/>
      <c r="F628" s="255">
        <f>21.5*X2</f>
        <v>33110</v>
      </c>
      <c r="G628" s="255">
        <f>+F628*$X$1</f>
        <v>33110</v>
      </c>
      <c r="H628" s="93">
        <f t="shared" si="1841"/>
        <v>38110</v>
      </c>
      <c r="I628" s="270">
        <f t="shared" si="1842"/>
        <v>38110</v>
      </c>
      <c r="J628" s="93">
        <f t="shared" si="1831"/>
        <v>34310</v>
      </c>
      <c r="K628" s="270">
        <f t="shared" si="1843"/>
        <v>34310</v>
      </c>
      <c r="L628" s="93">
        <f t="shared" si="1844"/>
        <v>33910</v>
      </c>
      <c r="M628" s="270">
        <f t="shared" si="1845"/>
        <v>33910</v>
      </c>
      <c r="N628" s="93">
        <f t="shared" si="1846"/>
        <v>33810</v>
      </c>
      <c r="O628" s="270">
        <f t="shared" si="1847"/>
        <v>33810</v>
      </c>
      <c r="P628" s="93">
        <f t="shared" si="1848"/>
        <v>33710</v>
      </c>
      <c r="Q628" s="270">
        <f t="shared" si="1849"/>
        <v>33710</v>
      </c>
      <c r="R628" s="93">
        <f t="shared" si="1850"/>
        <v>33610</v>
      </c>
      <c r="S628" s="270">
        <f t="shared" si="1851"/>
        <v>33610</v>
      </c>
      <c r="T628" s="93">
        <f t="shared" si="1852"/>
        <v>33560</v>
      </c>
      <c r="U628" s="270">
        <f t="shared" si="1853"/>
        <v>33560</v>
      </c>
      <c r="V628" s="93">
        <f t="shared" si="1854"/>
        <v>33470</v>
      </c>
      <c r="W628" s="270">
        <f t="shared" si="1855"/>
        <v>33470</v>
      </c>
      <c r="X628" s="127"/>
      <c r="Y628" s="122"/>
      <c r="Z628" s="128"/>
      <c r="AA628" s="129"/>
      <c r="AB628" s="345">
        <v>657</v>
      </c>
    </row>
    <row r="629" spans="1:28" ht="12" customHeight="1" x14ac:dyDescent="0.2">
      <c r="A629" s="4"/>
      <c r="B629" s="754" t="s">
        <v>667</v>
      </c>
      <c r="C629" s="755"/>
      <c r="D629" s="755"/>
      <c r="E629" s="756"/>
      <c r="F629" s="460">
        <f>13*X2</f>
        <v>20020</v>
      </c>
      <c r="G629" s="460">
        <f t="shared" ref="G629:G630" si="1858">+F629*$X$1</f>
        <v>20020</v>
      </c>
      <c r="H629" s="532">
        <f t="shared" si="1841"/>
        <v>25020</v>
      </c>
      <c r="I629" s="459">
        <f t="shared" si="1842"/>
        <v>25020</v>
      </c>
      <c r="J629" s="532">
        <f t="shared" si="1831"/>
        <v>21220</v>
      </c>
      <c r="K629" s="459">
        <f t="shared" si="1843"/>
        <v>21220</v>
      </c>
      <c r="L629" s="532">
        <f t="shared" si="1844"/>
        <v>20820</v>
      </c>
      <c r="M629" s="459">
        <f t="shared" si="1845"/>
        <v>20820</v>
      </c>
      <c r="N629" s="532">
        <f t="shared" si="1846"/>
        <v>20720</v>
      </c>
      <c r="O629" s="459">
        <f t="shared" si="1847"/>
        <v>20720</v>
      </c>
      <c r="P629" s="532">
        <f t="shared" si="1848"/>
        <v>20620</v>
      </c>
      <c r="Q629" s="459">
        <f t="shared" si="1849"/>
        <v>20620</v>
      </c>
      <c r="R629" s="532">
        <f t="shared" si="1850"/>
        <v>20520</v>
      </c>
      <c r="S629" s="459">
        <f t="shared" si="1851"/>
        <v>20520</v>
      </c>
      <c r="T629" s="532">
        <f t="shared" si="1852"/>
        <v>20470</v>
      </c>
      <c r="U629" s="459">
        <f t="shared" si="1853"/>
        <v>20470</v>
      </c>
      <c r="V629" s="532">
        <f t="shared" si="1854"/>
        <v>20380</v>
      </c>
      <c r="W629" s="459">
        <f t="shared" si="1855"/>
        <v>20380</v>
      </c>
      <c r="X629" s="127"/>
      <c r="Y629" s="122"/>
      <c r="Z629" s="128"/>
      <c r="AA629" s="129"/>
      <c r="AB629" s="345">
        <v>658</v>
      </c>
    </row>
    <row r="630" spans="1:28" ht="12" customHeight="1" x14ac:dyDescent="0.2">
      <c r="A630" s="4"/>
      <c r="B630" s="754" t="s">
        <v>668</v>
      </c>
      <c r="C630" s="755"/>
      <c r="D630" s="755"/>
      <c r="E630" s="756"/>
      <c r="F630" s="460">
        <f>8.3*X2</f>
        <v>12782.000000000002</v>
      </c>
      <c r="G630" s="460">
        <f t="shared" si="1858"/>
        <v>12782.000000000002</v>
      </c>
      <c r="H630" s="532">
        <f t="shared" si="1841"/>
        <v>17782</v>
      </c>
      <c r="I630" s="459">
        <f t="shared" si="1842"/>
        <v>17782</v>
      </c>
      <c r="J630" s="532">
        <f t="shared" si="1831"/>
        <v>13982.000000000002</v>
      </c>
      <c r="K630" s="459">
        <f t="shared" si="1843"/>
        <v>13982.000000000002</v>
      </c>
      <c r="L630" s="532">
        <f t="shared" si="1844"/>
        <v>13582.000000000002</v>
      </c>
      <c r="M630" s="459">
        <f t="shared" si="1845"/>
        <v>13582.000000000002</v>
      </c>
      <c r="N630" s="532">
        <f t="shared" si="1846"/>
        <v>13482.000000000002</v>
      </c>
      <c r="O630" s="459">
        <f t="shared" si="1847"/>
        <v>13482.000000000002</v>
      </c>
      <c r="P630" s="532">
        <f t="shared" si="1848"/>
        <v>13382.000000000002</v>
      </c>
      <c r="Q630" s="459">
        <f t="shared" si="1849"/>
        <v>13382.000000000002</v>
      </c>
      <c r="R630" s="532">
        <f t="shared" si="1850"/>
        <v>13282.000000000002</v>
      </c>
      <c r="S630" s="459">
        <f t="shared" si="1851"/>
        <v>13282.000000000002</v>
      </c>
      <c r="T630" s="532">
        <f t="shared" si="1852"/>
        <v>13232.000000000002</v>
      </c>
      <c r="U630" s="459">
        <f t="shared" si="1853"/>
        <v>13232.000000000002</v>
      </c>
      <c r="V630" s="532">
        <f t="shared" si="1854"/>
        <v>13142.000000000002</v>
      </c>
      <c r="W630" s="459">
        <f t="shared" si="1855"/>
        <v>13142.000000000002</v>
      </c>
      <c r="X630" s="127"/>
      <c r="Y630" s="122"/>
      <c r="Z630" s="128"/>
      <c r="AA630" s="129"/>
      <c r="AB630" s="345">
        <v>660</v>
      </c>
    </row>
    <row r="631" spans="1:28" ht="12" customHeight="1" x14ac:dyDescent="0.2">
      <c r="A631" s="4"/>
      <c r="B631" s="743" t="s">
        <v>690</v>
      </c>
      <c r="C631" s="744"/>
      <c r="D631" s="744"/>
      <c r="E631" s="745"/>
      <c r="F631" s="256">
        <f>18.6*X2</f>
        <v>28644.000000000004</v>
      </c>
      <c r="G631" s="256">
        <f t="shared" ref="G631:G636" si="1859">+F631*$X$1</f>
        <v>28644.000000000004</v>
      </c>
      <c r="H631" s="92">
        <f t="shared" si="1841"/>
        <v>33644</v>
      </c>
      <c r="I631" s="280">
        <f t="shared" si="1842"/>
        <v>33644</v>
      </c>
      <c r="J631" s="92">
        <f t="shared" si="1831"/>
        <v>29844.000000000004</v>
      </c>
      <c r="K631" s="280">
        <f t="shared" si="1843"/>
        <v>29844.000000000004</v>
      </c>
      <c r="L631" s="92">
        <f t="shared" si="1844"/>
        <v>29444.000000000004</v>
      </c>
      <c r="M631" s="280">
        <f t="shared" si="1845"/>
        <v>29444.000000000004</v>
      </c>
      <c r="N631" s="92"/>
      <c r="O631" s="280"/>
      <c r="P631" s="92"/>
      <c r="Q631" s="280"/>
      <c r="R631" s="92"/>
      <c r="S631" s="280"/>
      <c r="T631" s="92"/>
      <c r="U631" s="280"/>
      <c r="V631" s="92"/>
      <c r="W631" s="280"/>
      <c r="X631" s="127"/>
      <c r="Y631" s="122"/>
      <c r="Z631" s="128"/>
      <c r="AA631" s="129"/>
      <c r="AB631" s="345">
        <v>667</v>
      </c>
    </row>
    <row r="632" spans="1:28" ht="12" customHeight="1" x14ac:dyDescent="0.2">
      <c r="A632" s="4"/>
      <c r="B632" s="751" t="s">
        <v>689</v>
      </c>
      <c r="C632" s="752"/>
      <c r="D632" s="752"/>
      <c r="E632" s="753"/>
      <c r="F632" s="255">
        <f>10.55*X2</f>
        <v>16247.000000000002</v>
      </c>
      <c r="G632" s="255">
        <f t="shared" ref="G632:G633" si="1860">+F632*$X$1</f>
        <v>16247.000000000002</v>
      </c>
      <c r="H632" s="93">
        <f t="shared" si="1841"/>
        <v>21247</v>
      </c>
      <c r="I632" s="270">
        <f t="shared" si="1842"/>
        <v>21247</v>
      </c>
      <c r="J632" s="93">
        <f t="shared" si="1831"/>
        <v>17447</v>
      </c>
      <c r="K632" s="270">
        <f t="shared" si="1843"/>
        <v>17447</v>
      </c>
      <c r="L632" s="93">
        <f t="shared" si="1844"/>
        <v>17047</v>
      </c>
      <c r="M632" s="270">
        <f t="shared" si="1845"/>
        <v>17047</v>
      </c>
      <c r="N632" s="93">
        <f t="shared" si="1846"/>
        <v>16947</v>
      </c>
      <c r="O632" s="270">
        <f t="shared" si="1847"/>
        <v>16947</v>
      </c>
      <c r="P632" s="93">
        <f t="shared" si="1848"/>
        <v>16847</v>
      </c>
      <c r="Q632" s="270">
        <f t="shared" si="1849"/>
        <v>16847</v>
      </c>
      <c r="R632" s="93">
        <f t="shared" si="1850"/>
        <v>16747</v>
      </c>
      <c r="S632" s="270">
        <f t="shared" si="1851"/>
        <v>16747</v>
      </c>
      <c r="T632" s="93">
        <f t="shared" si="1852"/>
        <v>16697</v>
      </c>
      <c r="U632" s="270">
        <f t="shared" si="1853"/>
        <v>16697</v>
      </c>
      <c r="V632" s="93">
        <f t="shared" si="1854"/>
        <v>16607</v>
      </c>
      <c r="W632" s="270">
        <f t="shared" si="1855"/>
        <v>16607</v>
      </c>
      <c r="X632" s="127"/>
      <c r="Y632" s="122"/>
      <c r="Z632" s="128"/>
      <c r="AA632" s="129"/>
      <c r="AB632" s="345">
        <v>668</v>
      </c>
    </row>
    <row r="633" spans="1:28" ht="12" customHeight="1" x14ac:dyDescent="0.2">
      <c r="A633" s="4"/>
      <c r="B633" s="754" t="s">
        <v>753</v>
      </c>
      <c r="C633" s="755"/>
      <c r="D633" s="755"/>
      <c r="E633" s="756"/>
      <c r="F633" s="460">
        <f>6*X2</f>
        <v>9240</v>
      </c>
      <c r="G633" s="460">
        <f t="shared" si="1860"/>
        <v>9240</v>
      </c>
      <c r="H633" s="532">
        <f t="shared" si="1841"/>
        <v>14240</v>
      </c>
      <c r="I633" s="459">
        <f t="shared" si="1842"/>
        <v>14240</v>
      </c>
      <c r="J633" s="532">
        <f t="shared" si="1831"/>
        <v>10440</v>
      </c>
      <c r="K633" s="459">
        <f t="shared" si="1843"/>
        <v>10440</v>
      </c>
      <c r="L633" s="532">
        <f t="shared" si="1844"/>
        <v>10040</v>
      </c>
      <c r="M633" s="459">
        <f t="shared" si="1845"/>
        <v>10040</v>
      </c>
      <c r="N633" s="532">
        <f t="shared" si="1846"/>
        <v>9940</v>
      </c>
      <c r="O633" s="459">
        <f t="shared" si="1847"/>
        <v>9940</v>
      </c>
      <c r="P633" s="532">
        <f t="shared" si="1848"/>
        <v>9840</v>
      </c>
      <c r="Q633" s="459">
        <f t="shared" si="1849"/>
        <v>9840</v>
      </c>
      <c r="R633" s="532">
        <f t="shared" si="1850"/>
        <v>9740</v>
      </c>
      <c r="S633" s="459">
        <f t="shared" si="1851"/>
        <v>9740</v>
      </c>
      <c r="T633" s="532">
        <f t="shared" si="1852"/>
        <v>9690</v>
      </c>
      <c r="U633" s="459">
        <f t="shared" si="1853"/>
        <v>9690</v>
      </c>
      <c r="V633" s="532">
        <f t="shared" si="1854"/>
        <v>9600</v>
      </c>
      <c r="W633" s="459">
        <f t="shared" si="1855"/>
        <v>9600</v>
      </c>
      <c r="X633" s="127"/>
      <c r="Y633" s="122"/>
      <c r="Z633" s="128"/>
      <c r="AA633" s="129"/>
      <c r="AB633" s="178">
        <v>675</v>
      </c>
    </row>
    <row r="634" spans="1:28" ht="12" customHeight="1" x14ac:dyDescent="0.2">
      <c r="A634" s="4"/>
      <c r="B634" s="754" t="s">
        <v>471</v>
      </c>
      <c r="C634" s="755"/>
      <c r="D634" s="755"/>
      <c r="E634" s="756"/>
      <c r="F634" s="460">
        <f>5.3*X2</f>
        <v>8162</v>
      </c>
      <c r="G634" s="460">
        <f t="shared" si="1859"/>
        <v>8162</v>
      </c>
      <c r="H634" s="532">
        <f t="shared" si="1841"/>
        <v>13162</v>
      </c>
      <c r="I634" s="459">
        <f t="shared" si="1842"/>
        <v>13162</v>
      </c>
      <c r="J634" s="532">
        <f t="shared" si="1831"/>
        <v>9362</v>
      </c>
      <c r="K634" s="459">
        <f t="shared" si="1843"/>
        <v>9362</v>
      </c>
      <c r="L634" s="532">
        <f t="shared" si="1844"/>
        <v>8962</v>
      </c>
      <c r="M634" s="459">
        <f t="shared" si="1845"/>
        <v>8962</v>
      </c>
      <c r="N634" s="532">
        <f t="shared" si="1846"/>
        <v>8862</v>
      </c>
      <c r="O634" s="459">
        <f t="shared" si="1847"/>
        <v>8862</v>
      </c>
      <c r="P634" s="532">
        <f t="shared" si="1848"/>
        <v>8762</v>
      </c>
      <c r="Q634" s="459">
        <f t="shared" si="1849"/>
        <v>8762</v>
      </c>
      <c r="R634" s="532">
        <f t="shared" si="1850"/>
        <v>8662</v>
      </c>
      <c r="S634" s="459">
        <f t="shared" si="1851"/>
        <v>8662</v>
      </c>
      <c r="T634" s="532">
        <f t="shared" si="1852"/>
        <v>8612</v>
      </c>
      <c r="U634" s="459">
        <f t="shared" si="1853"/>
        <v>8612</v>
      </c>
      <c r="V634" s="532">
        <f t="shared" si="1854"/>
        <v>8522</v>
      </c>
      <c r="W634" s="459">
        <f t="shared" si="1855"/>
        <v>8522</v>
      </c>
      <c r="X634" s="127"/>
      <c r="Y634" s="122"/>
      <c r="Z634" s="128"/>
      <c r="AA634" s="129"/>
      <c r="AB634" s="178">
        <v>686</v>
      </c>
    </row>
    <row r="635" spans="1:28" ht="12" customHeight="1" x14ac:dyDescent="0.2">
      <c r="A635" s="4"/>
      <c r="B635" s="743" t="s">
        <v>511</v>
      </c>
      <c r="C635" s="744"/>
      <c r="D635" s="744"/>
      <c r="E635" s="745"/>
      <c r="F635" s="282">
        <f>17.8*X2</f>
        <v>27412</v>
      </c>
      <c r="G635" s="256">
        <f t="shared" si="1859"/>
        <v>27412</v>
      </c>
      <c r="H635" s="92">
        <f t="shared" si="1841"/>
        <v>32412</v>
      </c>
      <c r="I635" s="280">
        <f t="shared" si="1842"/>
        <v>32412</v>
      </c>
      <c r="J635" s="92">
        <f t="shared" si="1831"/>
        <v>28612</v>
      </c>
      <c r="K635" s="280">
        <f t="shared" si="1843"/>
        <v>28612</v>
      </c>
      <c r="L635" s="92">
        <f t="shared" si="1844"/>
        <v>28212</v>
      </c>
      <c r="M635" s="280">
        <f t="shared" si="1845"/>
        <v>28212</v>
      </c>
      <c r="N635" s="92">
        <f t="shared" si="1846"/>
        <v>28112</v>
      </c>
      <c r="O635" s="280">
        <f t="shared" si="1847"/>
        <v>28112</v>
      </c>
      <c r="P635" s="92">
        <f t="shared" si="1848"/>
        <v>28012</v>
      </c>
      <c r="Q635" s="280">
        <f t="shared" si="1849"/>
        <v>28012</v>
      </c>
      <c r="R635" s="92">
        <f t="shared" si="1850"/>
        <v>27912</v>
      </c>
      <c r="S635" s="280">
        <f t="shared" si="1851"/>
        <v>27912</v>
      </c>
      <c r="T635" s="92">
        <f t="shared" si="1852"/>
        <v>27862</v>
      </c>
      <c r="U635" s="280">
        <f t="shared" si="1853"/>
        <v>27862</v>
      </c>
      <c r="V635" s="92">
        <f t="shared" si="1854"/>
        <v>27772</v>
      </c>
      <c r="W635" s="280">
        <f t="shared" si="1855"/>
        <v>27772</v>
      </c>
      <c r="X635" s="127"/>
      <c r="Y635" s="122"/>
      <c r="Z635" s="128"/>
      <c r="AA635" s="129"/>
      <c r="AB635" s="345">
        <v>687</v>
      </c>
    </row>
    <row r="636" spans="1:28" ht="12" customHeight="1" x14ac:dyDescent="0.2">
      <c r="A636" s="4"/>
      <c r="B636" s="754" t="s">
        <v>669</v>
      </c>
      <c r="C636" s="755"/>
      <c r="D636" s="755"/>
      <c r="E636" s="756"/>
      <c r="F636" s="535">
        <f>9.3*X2</f>
        <v>14322.000000000002</v>
      </c>
      <c r="G636" s="460">
        <f t="shared" si="1859"/>
        <v>14322.000000000002</v>
      </c>
      <c r="H636" s="532">
        <f t="shared" si="1841"/>
        <v>19322</v>
      </c>
      <c r="I636" s="459">
        <f t="shared" si="1842"/>
        <v>19322</v>
      </c>
      <c r="J636" s="532">
        <f t="shared" si="1831"/>
        <v>15522.000000000002</v>
      </c>
      <c r="K636" s="459">
        <f t="shared" si="1843"/>
        <v>15522.000000000002</v>
      </c>
      <c r="L636" s="532">
        <f t="shared" si="1844"/>
        <v>15122.000000000002</v>
      </c>
      <c r="M636" s="459">
        <f t="shared" si="1845"/>
        <v>15122.000000000002</v>
      </c>
      <c r="N636" s="532">
        <f t="shared" si="1846"/>
        <v>15022.000000000002</v>
      </c>
      <c r="O636" s="459">
        <f t="shared" si="1847"/>
        <v>15022.000000000002</v>
      </c>
      <c r="P636" s="532">
        <f t="shared" si="1848"/>
        <v>14922.000000000002</v>
      </c>
      <c r="Q636" s="459">
        <f t="shared" si="1849"/>
        <v>14922.000000000002</v>
      </c>
      <c r="R636" s="532">
        <f t="shared" si="1850"/>
        <v>14822.000000000002</v>
      </c>
      <c r="S636" s="459">
        <f t="shared" si="1851"/>
        <v>14822.000000000002</v>
      </c>
      <c r="T636" s="532">
        <f t="shared" si="1852"/>
        <v>14772.000000000002</v>
      </c>
      <c r="U636" s="459">
        <f t="shared" si="1853"/>
        <v>14772.000000000002</v>
      </c>
      <c r="V636" s="532">
        <f t="shared" si="1854"/>
        <v>14682.000000000002</v>
      </c>
      <c r="W636" s="459">
        <f t="shared" si="1855"/>
        <v>14682.000000000002</v>
      </c>
      <c r="X636" s="127"/>
      <c r="Y636" s="122"/>
      <c r="Z636" s="128"/>
      <c r="AA636" s="129"/>
      <c r="AB636" s="345">
        <v>694</v>
      </c>
    </row>
    <row r="637" spans="1:28" ht="12" customHeight="1" x14ac:dyDescent="0.2">
      <c r="A637" s="4"/>
      <c r="B637" s="743" t="s">
        <v>790</v>
      </c>
      <c r="C637" s="744"/>
      <c r="D637" s="744"/>
      <c r="E637" s="745"/>
      <c r="F637" s="282">
        <f>11.7*X2</f>
        <v>18018</v>
      </c>
      <c r="G637" s="256">
        <f t="shared" ref="G637" si="1861">+F637*$X$1</f>
        <v>18018</v>
      </c>
      <c r="H637" s="92">
        <f>F637+5000</f>
        <v>23018</v>
      </c>
      <c r="I637" s="280">
        <f>+H637*$X$1</f>
        <v>23018</v>
      </c>
      <c r="J637" s="92">
        <f>F637+1200</f>
        <v>19218</v>
      </c>
      <c r="K637" s="280">
        <f>+J637*$X$1</f>
        <v>19218</v>
      </c>
      <c r="L637" s="92">
        <f>F637+800</f>
        <v>18818</v>
      </c>
      <c r="M637" s="280">
        <f>+L637*$X$1</f>
        <v>18818</v>
      </c>
      <c r="N637" s="92">
        <f>F637+700</f>
        <v>18718</v>
      </c>
      <c r="O637" s="280">
        <f>+N637*$X$1</f>
        <v>18718</v>
      </c>
      <c r="P637" s="92">
        <f>F637+600</f>
        <v>18618</v>
      </c>
      <c r="Q637" s="280">
        <f>+P637*$X$1</f>
        <v>18618</v>
      </c>
      <c r="R637" s="92">
        <f>F637+500</f>
        <v>18518</v>
      </c>
      <c r="S637" s="280">
        <f>+R637*$X$1</f>
        <v>18518</v>
      </c>
      <c r="T637" s="92">
        <f>F637+450</f>
        <v>18468</v>
      </c>
      <c r="U637" s="280">
        <f>+T637*$X$1</f>
        <v>18468</v>
      </c>
      <c r="V637" s="92">
        <f>F637+360</f>
        <v>18378</v>
      </c>
      <c r="W637" s="280">
        <f>+V637*$X$1</f>
        <v>18378</v>
      </c>
      <c r="X637" s="127"/>
      <c r="Y637" s="122"/>
      <c r="Z637" s="128"/>
      <c r="AA637" s="129"/>
      <c r="AB637" s="345">
        <v>696</v>
      </c>
    </row>
    <row r="638" spans="1:28" ht="12" customHeight="1" x14ac:dyDescent="0.2">
      <c r="A638" s="71"/>
      <c r="B638" s="98"/>
      <c r="C638" s="400"/>
      <c r="D638" s="400"/>
      <c r="E638" s="400"/>
      <c r="F638" s="295"/>
      <c r="G638" s="295"/>
      <c r="H638" s="106"/>
      <c r="I638" s="295"/>
      <c r="J638" s="106"/>
      <c r="K638" s="295"/>
      <c r="L638" s="106"/>
      <c r="M638" s="295"/>
      <c r="N638" s="106"/>
      <c r="O638" s="295"/>
      <c r="P638" s="106"/>
      <c r="Q638" s="295"/>
      <c r="R638" s="106"/>
      <c r="S638" s="295"/>
      <c r="T638" s="106"/>
      <c r="U638" s="295"/>
      <c r="V638" s="106"/>
      <c r="W638" s="295"/>
      <c r="X638" s="185"/>
      <c r="Y638" s="71"/>
      <c r="Z638" s="186"/>
      <c r="AA638" s="186"/>
      <c r="AB638" s="187"/>
    </row>
    <row r="639" spans="1:28" ht="12" customHeight="1" x14ac:dyDescent="0.2">
      <c r="A639" s="71"/>
      <c r="B639" s="98"/>
      <c r="C639" s="569"/>
      <c r="D639" s="569"/>
      <c r="E639" s="569"/>
      <c r="F639" s="295"/>
      <c r="G639" s="295"/>
      <c r="H639" s="106"/>
      <c r="I639" s="295"/>
      <c r="J639" s="106"/>
      <c r="K639" s="295"/>
      <c r="L639" s="106"/>
      <c r="M639" s="295"/>
      <c r="N639" s="106"/>
      <c r="O639" s="295"/>
      <c r="P639" s="106"/>
      <c r="Q639" s="295"/>
      <c r="R639" s="106"/>
      <c r="S639" s="295"/>
      <c r="T639" s="106"/>
      <c r="U639" s="295"/>
      <c r="V639" s="106"/>
      <c r="W639" s="295"/>
      <c r="X639" s="185"/>
      <c r="Y639" s="71"/>
      <c r="Z639" s="186"/>
      <c r="AA639" s="186"/>
      <c r="AB639" s="187"/>
    </row>
    <row r="640" spans="1:28" ht="12" customHeight="1" x14ac:dyDescent="0.2">
      <c r="A640" s="71"/>
      <c r="B640" s="98"/>
      <c r="C640" s="569"/>
      <c r="D640" s="569"/>
      <c r="E640" s="569"/>
      <c r="F640" s="295"/>
      <c r="G640" s="295"/>
      <c r="H640" s="106"/>
      <c r="I640" s="295"/>
      <c r="J640" s="106"/>
      <c r="K640" s="295"/>
      <c r="L640" s="106"/>
      <c r="M640" s="295"/>
      <c r="N640" s="106"/>
      <c r="O640" s="295"/>
      <c r="P640" s="106"/>
      <c r="Q640" s="295"/>
      <c r="R640" s="106"/>
      <c r="S640" s="295"/>
      <c r="T640" s="106"/>
      <c r="U640" s="295"/>
      <c r="V640" s="106"/>
      <c r="W640" s="295"/>
      <c r="X640" s="185"/>
      <c r="Y640" s="71"/>
      <c r="Z640" s="186"/>
      <c r="AA640" s="186"/>
      <c r="AB640" s="187"/>
    </row>
    <row r="641" spans="1:34" ht="14.25" customHeight="1" x14ac:dyDescent="0.2">
      <c r="B641" s="848" t="s">
        <v>11</v>
      </c>
      <c r="C641" s="850" t="s">
        <v>12</v>
      </c>
      <c r="D641" s="851"/>
      <c r="E641" s="851"/>
      <c r="F641" s="904" t="s">
        <v>259</v>
      </c>
      <c r="G641" s="904" t="s">
        <v>13</v>
      </c>
      <c r="H641" s="911" t="s">
        <v>734</v>
      </c>
      <c r="I641" s="911"/>
      <c r="J641" s="912"/>
      <c r="K641" s="912"/>
      <c r="L641" s="912"/>
      <c r="M641" s="912"/>
      <c r="N641" s="912"/>
      <c r="O641" s="912"/>
      <c r="P641" s="912"/>
      <c r="Q641" s="912"/>
      <c r="R641" s="912"/>
      <c r="S641" s="912"/>
      <c r="T641" s="912"/>
      <c r="U641" s="912"/>
      <c r="V641" s="912"/>
      <c r="W641" s="913"/>
      <c r="X641" s="658" t="s">
        <v>14</v>
      </c>
      <c r="Y641" s="659"/>
      <c r="Z641" s="659"/>
      <c r="AA641" s="660"/>
      <c r="AB641" s="760" t="s">
        <v>15</v>
      </c>
      <c r="AF641" s="748" t="s">
        <v>3</v>
      </c>
      <c r="AG641" s="749"/>
      <c r="AH641" s="749"/>
    </row>
    <row r="642" spans="1:34" ht="12" customHeight="1" x14ac:dyDescent="0.2">
      <c r="B642" s="849"/>
      <c r="C642" s="852"/>
      <c r="D642" s="852"/>
      <c r="E642" s="852"/>
      <c r="F642" s="905"/>
      <c r="G642" s="905"/>
      <c r="H642" s="415"/>
      <c r="I642" s="416" t="s">
        <v>510</v>
      </c>
      <c r="J642" s="415"/>
      <c r="K642" s="416" t="s">
        <v>260</v>
      </c>
      <c r="L642" s="415"/>
      <c r="M642" s="416" t="s">
        <v>261</v>
      </c>
      <c r="N642" s="415"/>
      <c r="O642" s="416" t="s">
        <v>512</v>
      </c>
      <c r="P642" s="415"/>
      <c r="Q642" s="416" t="s">
        <v>17</v>
      </c>
      <c r="R642" s="415"/>
      <c r="S642" s="416" t="s">
        <v>18</v>
      </c>
      <c r="T642" s="415"/>
      <c r="U642" s="416" t="s">
        <v>19</v>
      </c>
      <c r="V642" s="415"/>
      <c r="W642" s="417" t="s">
        <v>513</v>
      </c>
      <c r="X642" s="661"/>
      <c r="Y642" s="662"/>
      <c r="Z642" s="662"/>
      <c r="AA642" s="663"/>
      <c r="AB642" s="761"/>
    </row>
    <row r="643" spans="1:34" ht="12" customHeight="1" x14ac:dyDescent="0.2">
      <c r="A643" s="4"/>
      <c r="B643" s="751" t="s">
        <v>670</v>
      </c>
      <c r="C643" s="752"/>
      <c r="D643" s="752"/>
      <c r="E643" s="753"/>
      <c r="F643" s="255">
        <f>16.8*X2</f>
        <v>25872</v>
      </c>
      <c r="G643" s="255">
        <f t="shared" ref="G643" si="1862">+F643*$X$1</f>
        <v>25872</v>
      </c>
      <c r="H643" s="93">
        <f>F643+5000</f>
        <v>30872</v>
      </c>
      <c r="I643" s="270">
        <f>+H643*$X$1</f>
        <v>30872</v>
      </c>
      <c r="J643" s="93">
        <f>F643+1200</f>
        <v>27072</v>
      </c>
      <c r="K643" s="270">
        <f>+J643*$X$1</f>
        <v>27072</v>
      </c>
      <c r="L643" s="93">
        <f>F643+800</f>
        <v>26672</v>
      </c>
      <c r="M643" s="270">
        <f>+L643*$X$1</f>
        <v>26672</v>
      </c>
      <c r="N643" s="93">
        <f>F643+700</f>
        <v>26572</v>
      </c>
      <c r="O643" s="270">
        <f>+N643*$X$1</f>
        <v>26572</v>
      </c>
      <c r="P643" s="93">
        <f>F643+600</f>
        <v>26472</v>
      </c>
      <c r="Q643" s="270">
        <f>+P643*$X$1</f>
        <v>26472</v>
      </c>
      <c r="R643" s="93">
        <f>F643+500</f>
        <v>26372</v>
      </c>
      <c r="S643" s="270">
        <f>+R643*$X$1</f>
        <v>26372</v>
      </c>
      <c r="T643" s="93">
        <f>F643+450</f>
        <v>26322</v>
      </c>
      <c r="U643" s="270">
        <f>+T643*$X$1</f>
        <v>26322</v>
      </c>
      <c r="V643" s="93">
        <f>F643+360</f>
        <v>26232</v>
      </c>
      <c r="W643" s="270">
        <f>+V643*$X$1</f>
        <v>26232</v>
      </c>
      <c r="X643" s="127"/>
      <c r="Y643" s="122"/>
      <c r="Z643" s="128"/>
      <c r="AA643" s="129"/>
      <c r="AB643" s="345">
        <v>698</v>
      </c>
    </row>
    <row r="644" spans="1:34" ht="12" customHeight="1" x14ac:dyDescent="0.2">
      <c r="A644" s="4"/>
      <c r="B644" s="651" t="s">
        <v>892</v>
      </c>
      <c r="C644" s="758"/>
      <c r="D644" s="758"/>
      <c r="E644" s="759"/>
      <c r="F644" s="256">
        <f>37.3*X2</f>
        <v>57441.999999999993</v>
      </c>
      <c r="G644" s="256">
        <f>+F644*$X$1</f>
        <v>57441.999999999993</v>
      </c>
      <c r="H644" s="92">
        <f>F644+7000</f>
        <v>64441.999999999993</v>
      </c>
      <c r="I644" s="280">
        <f t="shared" ref="I644" si="1863">+H644*$X$1</f>
        <v>64441.999999999993</v>
      </c>
      <c r="J644" s="92">
        <f>F644+3600</f>
        <v>61041.999999999993</v>
      </c>
      <c r="K644" s="280">
        <f t="shared" ref="K644" si="1864">+J644*$X$1</f>
        <v>61041.999999999993</v>
      </c>
      <c r="L644" s="92">
        <f>F644+2400</f>
        <v>59841.999999999993</v>
      </c>
      <c r="M644" s="280">
        <f t="shared" ref="M644" si="1865">+L644*$X$1</f>
        <v>59841.999999999993</v>
      </c>
      <c r="N644" s="92">
        <f>F644+2100</f>
        <v>59541.999999999993</v>
      </c>
      <c r="O644" s="280">
        <f t="shared" ref="O644" si="1866">+N644*$X$1</f>
        <v>59541.999999999993</v>
      </c>
      <c r="P644" s="92">
        <f>F644+1800</f>
        <v>59241.999999999993</v>
      </c>
      <c r="Q644" s="280">
        <f t="shared" ref="Q644" si="1867">+P644*$X$1</f>
        <v>59241.999999999993</v>
      </c>
      <c r="R644" s="92">
        <f>F644+1500</f>
        <v>58941.999999999993</v>
      </c>
      <c r="S644" s="280">
        <f t="shared" ref="S644" si="1868">+R644*$X$1</f>
        <v>58941.999999999993</v>
      </c>
      <c r="T644" s="92">
        <f>F644+1350</f>
        <v>58791.999999999993</v>
      </c>
      <c r="U644" s="280">
        <f t="shared" ref="U644" si="1869">+T644*$X$1</f>
        <v>58791.999999999993</v>
      </c>
      <c r="V644" s="92">
        <f>F644+1100</f>
        <v>58541.999999999993</v>
      </c>
      <c r="W644" s="280">
        <f t="shared" ref="W644" si="1870">+V644*$X$1</f>
        <v>58541.999999999993</v>
      </c>
      <c r="X644" s="127"/>
      <c r="Y644" s="122"/>
      <c r="Z644" s="128"/>
      <c r="AA644" s="129"/>
      <c r="AB644" s="345">
        <v>702</v>
      </c>
    </row>
    <row r="645" spans="1:34" ht="12" customHeight="1" x14ac:dyDescent="0.2">
      <c r="A645" s="4"/>
      <c r="B645" s="751" t="s">
        <v>853</v>
      </c>
      <c r="C645" s="752"/>
      <c r="D645" s="752"/>
      <c r="E645" s="753"/>
      <c r="F645" s="255">
        <f>17.6*X2</f>
        <v>27104.000000000004</v>
      </c>
      <c r="G645" s="255">
        <f>+F645*$X$1</f>
        <v>27104.000000000004</v>
      </c>
      <c r="H645" s="93">
        <f t="shared" ref="H645:H656" si="1871">F645+5000</f>
        <v>32104.000000000004</v>
      </c>
      <c r="I645" s="270">
        <f t="shared" ref="I645:I656" si="1872">+H645*$X$1</f>
        <v>32104.000000000004</v>
      </c>
      <c r="J645" s="93">
        <f>F645+1200</f>
        <v>28304.000000000004</v>
      </c>
      <c r="K645" s="270">
        <f t="shared" ref="K645:K656" si="1873">+J645*$X$1</f>
        <v>28304.000000000004</v>
      </c>
      <c r="L645" s="93">
        <f t="shared" ref="L645:L657" si="1874">F645+800</f>
        <v>27904.000000000004</v>
      </c>
      <c r="M645" s="270">
        <f t="shared" ref="M645:M657" si="1875">+L645*$X$1</f>
        <v>27904.000000000004</v>
      </c>
      <c r="N645" s="93">
        <f t="shared" ref="N645:N657" si="1876">F645+700</f>
        <v>27804.000000000004</v>
      </c>
      <c r="O645" s="270">
        <f t="shared" ref="O645:O657" si="1877">+N645*$X$1</f>
        <v>27804.000000000004</v>
      </c>
      <c r="P645" s="93">
        <f t="shared" ref="P645:P657" si="1878">F645+600</f>
        <v>27704.000000000004</v>
      </c>
      <c r="Q645" s="270">
        <f t="shared" ref="Q645:Q657" si="1879">+P645*$X$1</f>
        <v>27704.000000000004</v>
      </c>
      <c r="R645" s="93">
        <f t="shared" ref="R645:R657" si="1880">F645+500</f>
        <v>27604.000000000004</v>
      </c>
      <c r="S645" s="270">
        <f t="shared" ref="S645:S657" si="1881">+R645*$X$1</f>
        <v>27604.000000000004</v>
      </c>
      <c r="T645" s="93">
        <f t="shared" ref="T645:T657" si="1882">F645+450</f>
        <v>27554.000000000004</v>
      </c>
      <c r="U645" s="270">
        <f t="shared" ref="U645:U657" si="1883">+T645*$X$1</f>
        <v>27554.000000000004</v>
      </c>
      <c r="V645" s="93">
        <f t="shared" ref="V645:V657" si="1884">F645+360</f>
        <v>27464.000000000004</v>
      </c>
      <c r="W645" s="270">
        <f t="shared" ref="W645:W657" si="1885">+V645*$X$1</f>
        <v>27464.000000000004</v>
      </c>
      <c r="X645" s="127"/>
      <c r="Y645" s="122"/>
      <c r="Z645" s="128"/>
      <c r="AA645" s="129"/>
      <c r="AB645" s="345">
        <v>703</v>
      </c>
    </row>
    <row r="646" spans="1:34" ht="12" customHeight="1" x14ac:dyDescent="0.2">
      <c r="A646" s="4"/>
      <c r="B646" s="743" t="s">
        <v>835</v>
      </c>
      <c r="C646" s="744"/>
      <c r="D646" s="744"/>
      <c r="E646" s="745"/>
      <c r="F646" s="256">
        <f>24.3*X2</f>
        <v>37422</v>
      </c>
      <c r="G646" s="256">
        <f>+F646*$X$1</f>
        <v>37422</v>
      </c>
      <c r="H646" s="92">
        <f t="shared" si="1871"/>
        <v>42422</v>
      </c>
      <c r="I646" s="280">
        <f t="shared" si="1872"/>
        <v>42422</v>
      </c>
      <c r="J646" s="92">
        <f t="shared" ref="J646:J654" si="1886">F646+1200</f>
        <v>38622</v>
      </c>
      <c r="K646" s="280">
        <f t="shared" si="1873"/>
        <v>38622</v>
      </c>
      <c r="L646" s="92">
        <f t="shared" si="1874"/>
        <v>38222</v>
      </c>
      <c r="M646" s="280">
        <f t="shared" si="1875"/>
        <v>38222</v>
      </c>
      <c r="N646" s="92">
        <f t="shared" si="1876"/>
        <v>38122</v>
      </c>
      <c r="O646" s="280">
        <f t="shared" si="1877"/>
        <v>38122</v>
      </c>
      <c r="P646" s="92">
        <f t="shared" si="1878"/>
        <v>38022</v>
      </c>
      <c r="Q646" s="280">
        <f t="shared" si="1879"/>
        <v>38022</v>
      </c>
      <c r="R646" s="92">
        <f t="shared" si="1880"/>
        <v>37922</v>
      </c>
      <c r="S646" s="280">
        <f t="shared" si="1881"/>
        <v>37922</v>
      </c>
      <c r="T646" s="92">
        <f t="shared" si="1882"/>
        <v>37872</v>
      </c>
      <c r="U646" s="280">
        <f t="shared" si="1883"/>
        <v>37872</v>
      </c>
      <c r="V646" s="92">
        <f t="shared" si="1884"/>
        <v>37782</v>
      </c>
      <c r="W646" s="280">
        <f t="shared" si="1885"/>
        <v>37782</v>
      </c>
      <c r="X646" s="127"/>
      <c r="Y646" s="122"/>
      <c r="Z646" s="128"/>
      <c r="AA646" s="129"/>
      <c r="AB646" s="345">
        <v>704</v>
      </c>
    </row>
    <row r="647" spans="1:34" ht="12" customHeight="1" x14ac:dyDescent="0.2">
      <c r="A647" s="4"/>
      <c r="B647" s="751" t="s">
        <v>793</v>
      </c>
      <c r="C647" s="752"/>
      <c r="D647" s="752"/>
      <c r="E647" s="753"/>
      <c r="F647" s="255">
        <f>26.4*X2</f>
        <v>40656</v>
      </c>
      <c r="G647" s="255">
        <f>+F647*$X$1</f>
        <v>40656</v>
      </c>
      <c r="H647" s="93">
        <f t="shared" si="1871"/>
        <v>45656</v>
      </c>
      <c r="I647" s="270">
        <f t="shared" si="1872"/>
        <v>45656</v>
      </c>
      <c r="J647" s="93">
        <f t="shared" si="1886"/>
        <v>41856</v>
      </c>
      <c r="K647" s="270">
        <f t="shared" si="1873"/>
        <v>41856</v>
      </c>
      <c r="L647" s="93">
        <f t="shared" si="1874"/>
        <v>41456</v>
      </c>
      <c r="M647" s="270">
        <f t="shared" si="1875"/>
        <v>41456</v>
      </c>
      <c r="N647" s="93">
        <f t="shared" si="1876"/>
        <v>41356</v>
      </c>
      <c r="O647" s="270">
        <f t="shared" si="1877"/>
        <v>41356</v>
      </c>
      <c r="P647" s="93">
        <f t="shared" si="1878"/>
        <v>41256</v>
      </c>
      <c r="Q647" s="270">
        <f t="shared" si="1879"/>
        <v>41256</v>
      </c>
      <c r="R647" s="93">
        <f t="shared" si="1880"/>
        <v>41156</v>
      </c>
      <c r="S647" s="270">
        <f t="shared" si="1881"/>
        <v>41156</v>
      </c>
      <c r="T647" s="93">
        <f t="shared" si="1882"/>
        <v>41106</v>
      </c>
      <c r="U647" s="270">
        <f t="shared" si="1883"/>
        <v>41106</v>
      </c>
      <c r="V647" s="93">
        <f t="shared" si="1884"/>
        <v>41016</v>
      </c>
      <c r="W647" s="270">
        <f t="shared" si="1885"/>
        <v>41016</v>
      </c>
      <c r="X647" s="127"/>
      <c r="Y647" s="122"/>
      <c r="Z647" s="128"/>
      <c r="AA647" s="129"/>
      <c r="AB647" s="345">
        <v>708</v>
      </c>
    </row>
    <row r="648" spans="1:34" ht="12" customHeight="1" x14ac:dyDescent="0.2">
      <c r="A648" s="4"/>
      <c r="B648" s="743" t="s">
        <v>541</v>
      </c>
      <c r="C648" s="744"/>
      <c r="D648" s="744"/>
      <c r="E648" s="745"/>
      <c r="F648" s="256">
        <f>32.6*X2</f>
        <v>50204</v>
      </c>
      <c r="G648" s="256">
        <f>+F648*$X$1</f>
        <v>50204</v>
      </c>
      <c r="H648" s="92">
        <f t="shared" si="1871"/>
        <v>55204</v>
      </c>
      <c r="I648" s="280">
        <f t="shared" si="1872"/>
        <v>55204</v>
      </c>
      <c r="J648" s="92">
        <f t="shared" si="1886"/>
        <v>51404</v>
      </c>
      <c r="K648" s="280">
        <f t="shared" si="1873"/>
        <v>51404</v>
      </c>
      <c r="L648" s="92">
        <f t="shared" si="1874"/>
        <v>51004</v>
      </c>
      <c r="M648" s="280">
        <f t="shared" si="1875"/>
        <v>51004</v>
      </c>
      <c r="N648" s="92">
        <f t="shared" si="1876"/>
        <v>50904</v>
      </c>
      <c r="O648" s="280">
        <f t="shared" si="1877"/>
        <v>50904</v>
      </c>
      <c r="P648" s="92">
        <f t="shared" si="1878"/>
        <v>50804</v>
      </c>
      <c r="Q648" s="280">
        <f t="shared" si="1879"/>
        <v>50804</v>
      </c>
      <c r="R648" s="92">
        <f t="shared" si="1880"/>
        <v>50704</v>
      </c>
      <c r="S648" s="280">
        <f t="shared" si="1881"/>
        <v>50704</v>
      </c>
      <c r="T648" s="92">
        <f t="shared" si="1882"/>
        <v>50654</v>
      </c>
      <c r="U648" s="280">
        <f t="shared" si="1883"/>
        <v>50654</v>
      </c>
      <c r="V648" s="92">
        <f t="shared" si="1884"/>
        <v>50564</v>
      </c>
      <c r="W648" s="280">
        <f t="shared" si="1885"/>
        <v>50564</v>
      </c>
      <c r="X648" s="127"/>
      <c r="Y648" s="122"/>
      <c r="Z648" s="128"/>
      <c r="AA648" s="129"/>
      <c r="AB648" s="345">
        <v>710</v>
      </c>
    </row>
    <row r="649" spans="1:34" ht="12" customHeight="1" x14ac:dyDescent="0.2">
      <c r="A649" s="4"/>
      <c r="B649" s="751" t="s">
        <v>516</v>
      </c>
      <c r="C649" s="752"/>
      <c r="D649" s="752"/>
      <c r="E649" s="753"/>
      <c r="F649" s="255">
        <f>39.85*X2</f>
        <v>61369</v>
      </c>
      <c r="G649" s="255">
        <f t="shared" ref="G649" si="1887">+F649*$X$1</f>
        <v>61369</v>
      </c>
      <c r="H649" s="93">
        <f t="shared" si="1871"/>
        <v>66369</v>
      </c>
      <c r="I649" s="270">
        <f t="shared" si="1872"/>
        <v>66369</v>
      </c>
      <c r="J649" s="93">
        <f t="shared" si="1886"/>
        <v>62569</v>
      </c>
      <c r="K649" s="270">
        <f t="shared" si="1873"/>
        <v>62569</v>
      </c>
      <c r="L649" s="93">
        <f t="shared" si="1874"/>
        <v>62169</v>
      </c>
      <c r="M649" s="270">
        <f t="shared" si="1875"/>
        <v>62169</v>
      </c>
      <c r="N649" s="93">
        <f t="shared" si="1876"/>
        <v>62069</v>
      </c>
      <c r="O649" s="270">
        <f t="shared" si="1877"/>
        <v>62069</v>
      </c>
      <c r="P649" s="93">
        <f t="shared" si="1878"/>
        <v>61969</v>
      </c>
      <c r="Q649" s="270">
        <f t="shared" si="1879"/>
        <v>61969</v>
      </c>
      <c r="R649" s="93">
        <f t="shared" si="1880"/>
        <v>61869</v>
      </c>
      <c r="S649" s="270">
        <f t="shared" si="1881"/>
        <v>61869</v>
      </c>
      <c r="T649" s="93">
        <f t="shared" si="1882"/>
        <v>61819</v>
      </c>
      <c r="U649" s="270">
        <f t="shared" si="1883"/>
        <v>61819</v>
      </c>
      <c r="V649" s="93">
        <f t="shared" si="1884"/>
        <v>61729</v>
      </c>
      <c r="W649" s="270">
        <f t="shared" si="1885"/>
        <v>61729</v>
      </c>
      <c r="X649" s="127"/>
      <c r="Y649" s="122"/>
      <c r="Z649" s="128"/>
      <c r="AA649" s="129"/>
      <c r="AB649" s="345">
        <v>711</v>
      </c>
    </row>
    <row r="650" spans="1:34" ht="12" customHeight="1" x14ac:dyDescent="0.2">
      <c r="A650" s="4"/>
      <c r="B650" s="743" t="s">
        <v>542</v>
      </c>
      <c r="C650" s="744"/>
      <c r="D650" s="744"/>
      <c r="E650" s="745"/>
      <c r="F650" s="256">
        <f>39*X2</f>
        <v>60060</v>
      </c>
      <c r="G650" s="256">
        <f t="shared" ref="G650" si="1888">+F650*$X$1</f>
        <v>60060</v>
      </c>
      <c r="H650" s="92">
        <f t="shared" si="1871"/>
        <v>65060</v>
      </c>
      <c r="I650" s="280">
        <f t="shared" si="1872"/>
        <v>65060</v>
      </c>
      <c r="J650" s="92">
        <f t="shared" si="1886"/>
        <v>61260</v>
      </c>
      <c r="K650" s="280">
        <f t="shared" si="1873"/>
        <v>61260</v>
      </c>
      <c r="L650" s="92">
        <f t="shared" si="1874"/>
        <v>60860</v>
      </c>
      <c r="M650" s="280">
        <f t="shared" si="1875"/>
        <v>60860</v>
      </c>
      <c r="N650" s="92">
        <f t="shared" si="1876"/>
        <v>60760</v>
      </c>
      <c r="O650" s="280">
        <f t="shared" si="1877"/>
        <v>60760</v>
      </c>
      <c r="P650" s="92">
        <f t="shared" si="1878"/>
        <v>60660</v>
      </c>
      <c r="Q650" s="280">
        <f t="shared" si="1879"/>
        <v>60660</v>
      </c>
      <c r="R650" s="92">
        <f t="shared" si="1880"/>
        <v>60560</v>
      </c>
      <c r="S650" s="280">
        <f t="shared" si="1881"/>
        <v>60560</v>
      </c>
      <c r="T650" s="92">
        <f t="shared" si="1882"/>
        <v>60510</v>
      </c>
      <c r="U650" s="280">
        <f t="shared" si="1883"/>
        <v>60510</v>
      </c>
      <c r="V650" s="92">
        <f t="shared" si="1884"/>
        <v>60420</v>
      </c>
      <c r="W650" s="280">
        <f t="shared" si="1885"/>
        <v>60420</v>
      </c>
      <c r="X650" s="127"/>
      <c r="Y650" s="122"/>
      <c r="Z650" s="128"/>
      <c r="AA650" s="129"/>
      <c r="AB650" s="345">
        <v>714</v>
      </c>
    </row>
    <row r="651" spans="1:34" ht="12" customHeight="1" x14ac:dyDescent="0.2">
      <c r="A651" s="4"/>
      <c r="B651" s="754" t="s">
        <v>656</v>
      </c>
      <c r="C651" s="755"/>
      <c r="D651" s="755"/>
      <c r="E651" s="756"/>
      <c r="F651" s="460">
        <f>8.93*X2</f>
        <v>13752.199999999999</v>
      </c>
      <c r="G651" s="460">
        <f t="shared" ref="G651" si="1889">+F651*$X$1</f>
        <v>13752.199999999999</v>
      </c>
      <c r="H651" s="532">
        <f t="shared" si="1871"/>
        <v>18752.199999999997</v>
      </c>
      <c r="I651" s="459">
        <f t="shared" si="1872"/>
        <v>18752.199999999997</v>
      </c>
      <c r="J651" s="532">
        <f t="shared" si="1886"/>
        <v>14952.199999999999</v>
      </c>
      <c r="K651" s="459">
        <f t="shared" si="1873"/>
        <v>14952.199999999999</v>
      </c>
      <c r="L651" s="532">
        <f t="shared" si="1874"/>
        <v>14552.199999999999</v>
      </c>
      <c r="M651" s="459">
        <f t="shared" si="1875"/>
        <v>14552.199999999999</v>
      </c>
      <c r="N651" s="532">
        <f t="shared" si="1876"/>
        <v>14452.199999999999</v>
      </c>
      <c r="O651" s="459">
        <f t="shared" si="1877"/>
        <v>14452.199999999999</v>
      </c>
      <c r="P651" s="532">
        <f t="shared" si="1878"/>
        <v>14352.199999999999</v>
      </c>
      <c r="Q651" s="459">
        <f t="shared" si="1879"/>
        <v>14352.199999999999</v>
      </c>
      <c r="R651" s="532">
        <f t="shared" si="1880"/>
        <v>14252.199999999999</v>
      </c>
      <c r="S651" s="459">
        <f t="shared" si="1881"/>
        <v>14252.199999999999</v>
      </c>
      <c r="T651" s="532">
        <f t="shared" si="1882"/>
        <v>14202.199999999999</v>
      </c>
      <c r="U651" s="459">
        <f t="shared" si="1883"/>
        <v>14202.199999999999</v>
      </c>
      <c r="V651" s="532">
        <f t="shared" si="1884"/>
        <v>14112.199999999999</v>
      </c>
      <c r="W651" s="459">
        <f t="shared" si="1885"/>
        <v>14112.199999999999</v>
      </c>
      <c r="X651" s="127"/>
      <c r="Y651" s="122"/>
      <c r="Z651" s="128"/>
      <c r="AA651" s="129"/>
      <c r="AB651" s="345">
        <v>716</v>
      </c>
    </row>
    <row r="652" spans="1:34" ht="12" customHeight="1" x14ac:dyDescent="0.2">
      <c r="A652" s="4"/>
      <c r="B652" s="743" t="s">
        <v>658</v>
      </c>
      <c r="C652" s="744"/>
      <c r="D652" s="744"/>
      <c r="E652" s="745"/>
      <c r="F652" s="256">
        <f>49.96*X2</f>
        <v>76938.399999999994</v>
      </c>
      <c r="G652" s="256">
        <f t="shared" ref="G652" si="1890">+F652*$X$1</f>
        <v>76938.399999999994</v>
      </c>
      <c r="H652" s="92">
        <f t="shared" si="1871"/>
        <v>81938.399999999994</v>
      </c>
      <c r="I652" s="280">
        <f t="shared" si="1872"/>
        <v>81938.399999999994</v>
      </c>
      <c r="J652" s="92">
        <f t="shared" si="1886"/>
        <v>78138.399999999994</v>
      </c>
      <c r="K652" s="280">
        <f t="shared" si="1873"/>
        <v>78138.399999999994</v>
      </c>
      <c r="L652" s="92">
        <f t="shared" si="1874"/>
        <v>77738.399999999994</v>
      </c>
      <c r="M652" s="280">
        <f t="shared" si="1875"/>
        <v>77738.399999999994</v>
      </c>
      <c r="N652" s="92">
        <f t="shared" si="1876"/>
        <v>77638.399999999994</v>
      </c>
      <c r="O652" s="280">
        <f t="shared" si="1877"/>
        <v>77638.399999999994</v>
      </c>
      <c r="P652" s="92">
        <f t="shared" si="1878"/>
        <v>77538.399999999994</v>
      </c>
      <c r="Q652" s="280">
        <f t="shared" si="1879"/>
        <v>77538.399999999994</v>
      </c>
      <c r="R652" s="92">
        <f t="shared" si="1880"/>
        <v>77438.399999999994</v>
      </c>
      <c r="S652" s="280">
        <f t="shared" si="1881"/>
        <v>77438.399999999994</v>
      </c>
      <c r="T652" s="92">
        <f t="shared" si="1882"/>
        <v>77388.399999999994</v>
      </c>
      <c r="U652" s="280">
        <f t="shared" si="1883"/>
        <v>77388.399999999994</v>
      </c>
      <c r="V652" s="92">
        <f t="shared" si="1884"/>
        <v>77298.399999999994</v>
      </c>
      <c r="W652" s="280">
        <f t="shared" si="1885"/>
        <v>77298.399999999994</v>
      </c>
      <c r="X652" s="127"/>
      <c r="Y652" s="122"/>
      <c r="Z652" s="128"/>
      <c r="AA652" s="129"/>
      <c r="AB652" s="345">
        <v>717</v>
      </c>
    </row>
    <row r="653" spans="1:34" ht="12" customHeight="1" x14ac:dyDescent="0.2">
      <c r="A653" s="4"/>
      <c r="B653" s="651" t="s">
        <v>657</v>
      </c>
      <c r="C653" s="758"/>
      <c r="D653" s="758"/>
      <c r="E653" s="759"/>
      <c r="F653" s="255">
        <f>78.73*X2</f>
        <v>121244.20000000001</v>
      </c>
      <c r="G653" s="255">
        <f t="shared" ref="G653" si="1891">+F653*$X$1</f>
        <v>121244.20000000001</v>
      </c>
      <c r="H653" s="93">
        <f t="shared" si="1871"/>
        <v>126244.20000000001</v>
      </c>
      <c r="I653" s="270">
        <f t="shared" si="1872"/>
        <v>126244.20000000001</v>
      </c>
      <c r="J653" s="93">
        <f t="shared" si="1886"/>
        <v>122444.20000000001</v>
      </c>
      <c r="K653" s="270">
        <f t="shared" si="1873"/>
        <v>122444.20000000001</v>
      </c>
      <c r="L653" s="93">
        <f t="shared" si="1874"/>
        <v>122044.20000000001</v>
      </c>
      <c r="M653" s="270">
        <f t="shared" si="1875"/>
        <v>122044.20000000001</v>
      </c>
      <c r="N653" s="93">
        <f t="shared" si="1876"/>
        <v>121944.20000000001</v>
      </c>
      <c r="O653" s="270">
        <f t="shared" si="1877"/>
        <v>121944.20000000001</v>
      </c>
      <c r="P653" s="93">
        <f t="shared" si="1878"/>
        <v>121844.20000000001</v>
      </c>
      <c r="Q653" s="270">
        <f t="shared" si="1879"/>
        <v>121844.20000000001</v>
      </c>
      <c r="R653" s="93">
        <f t="shared" si="1880"/>
        <v>121744.20000000001</v>
      </c>
      <c r="S653" s="270">
        <f t="shared" si="1881"/>
        <v>121744.20000000001</v>
      </c>
      <c r="T653" s="93">
        <f t="shared" si="1882"/>
        <v>121694.20000000001</v>
      </c>
      <c r="U653" s="270">
        <f t="shared" si="1883"/>
        <v>121694.20000000001</v>
      </c>
      <c r="V653" s="93">
        <f t="shared" si="1884"/>
        <v>121604.20000000001</v>
      </c>
      <c r="W653" s="270">
        <f t="shared" si="1885"/>
        <v>121604.20000000001</v>
      </c>
      <c r="X653" s="127"/>
      <c r="Y653" s="122"/>
      <c r="Z653" s="128"/>
      <c r="AA653" s="129"/>
      <c r="AB653" s="345">
        <v>718</v>
      </c>
    </row>
    <row r="654" spans="1:34" ht="12" customHeight="1" x14ac:dyDescent="0.2">
      <c r="A654" s="4"/>
      <c r="B654" s="743" t="s">
        <v>755</v>
      </c>
      <c r="C654" s="744"/>
      <c r="D654" s="744"/>
      <c r="E654" s="745"/>
      <c r="F654" s="256">
        <f>22.5*X2</f>
        <v>34650</v>
      </c>
      <c r="G654" s="256">
        <f t="shared" ref="G654" si="1892">+F654*$X$1</f>
        <v>34650</v>
      </c>
      <c r="H654" s="92">
        <f t="shared" si="1871"/>
        <v>39650</v>
      </c>
      <c r="I654" s="280">
        <f t="shared" si="1872"/>
        <v>39650</v>
      </c>
      <c r="J654" s="92">
        <f t="shared" si="1886"/>
        <v>35850</v>
      </c>
      <c r="K654" s="280">
        <f t="shared" si="1873"/>
        <v>35850</v>
      </c>
      <c r="L654" s="92">
        <f t="shared" si="1874"/>
        <v>35450</v>
      </c>
      <c r="M654" s="280">
        <f t="shared" si="1875"/>
        <v>35450</v>
      </c>
      <c r="N654" s="92">
        <f t="shared" si="1876"/>
        <v>35350</v>
      </c>
      <c r="O654" s="280">
        <f t="shared" si="1877"/>
        <v>35350</v>
      </c>
      <c r="P654" s="92">
        <f t="shared" si="1878"/>
        <v>35250</v>
      </c>
      <c r="Q654" s="280">
        <f t="shared" si="1879"/>
        <v>35250</v>
      </c>
      <c r="R654" s="92">
        <f t="shared" si="1880"/>
        <v>35150</v>
      </c>
      <c r="S654" s="280">
        <f t="shared" si="1881"/>
        <v>35150</v>
      </c>
      <c r="T654" s="92">
        <f t="shared" si="1882"/>
        <v>35100</v>
      </c>
      <c r="U654" s="280">
        <f t="shared" si="1883"/>
        <v>35100</v>
      </c>
      <c r="V654" s="92">
        <f t="shared" si="1884"/>
        <v>35010</v>
      </c>
      <c r="W654" s="280">
        <f t="shared" si="1885"/>
        <v>35010</v>
      </c>
      <c r="X654" s="127"/>
      <c r="Y654" s="122"/>
      <c r="Z654" s="128"/>
      <c r="AA654" s="129"/>
      <c r="AB654" s="345">
        <v>719</v>
      </c>
    </row>
    <row r="655" spans="1:34" ht="12" customHeight="1" x14ac:dyDescent="0.2">
      <c r="A655" s="4"/>
      <c r="B655" s="751" t="s">
        <v>655</v>
      </c>
      <c r="C655" s="752"/>
      <c r="D655" s="752"/>
      <c r="E655" s="753"/>
      <c r="F655" s="255">
        <f>13.8*X2</f>
        <v>21252</v>
      </c>
      <c r="G655" s="255">
        <f t="shared" ref="G655" si="1893">+F655*$X$1</f>
        <v>21252</v>
      </c>
      <c r="H655" s="93">
        <f t="shared" si="1871"/>
        <v>26252</v>
      </c>
      <c r="I655" s="270">
        <f t="shared" si="1872"/>
        <v>26252</v>
      </c>
      <c r="J655" s="93">
        <f>F655+1200</f>
        <v>22452</v>
      </c>
      <c r="K655" s="270">
        <f t="shared" si="1873"/>
        <v>22452</v>
      </c>
      <c r="L655" s="93">
        <f t="shared" si="1874"/>
        <v>22052</v>
      </c>
      <c r="M655" s="270">
        <f t="shared" si="1875"/>
        <v>22052</v>
      </c>
      <c r="N655" s="93">
        <f t="shared" si="1876"/>
        <v>21952</v>
      </c>
      <c r="O655" s="270">
        <f t="shared" si="1877"/>
        <v>21952</v>
      </c>
      <c r="P655" s="93">
        <f t="shared" si="1878"/>
        <v>21852</v>
      </c>
      <c r="Q655" s="270">
        <f t="shared" si="1879"/>
        <v>21852</v>
      </c>
      <c r="R655" s="93">
        <f t="shared" si="1880"/>
        <v>21752</v>
      </c>
      <c r="S655" s="270">
        <f t="shared" si="1881"/>
        <v>21752</v>
      </c>
      <c r="T655" s="93">
        <f t="shared" si="1882"/>
        <v>21702</v>
      </c>
      <c r="U655" s="270">
        <f t="shared" si="1883"/>
        <v>21702</v>
      </c>
      <c r="V655" s="93">
        <f t="shared" si="1884"/>
        <v>21612</v>
      </c>
      <c r="W655" s="270">
        <f t="shared" si="1885"/>
        <v>21612</v>
      </c>
      <c r="X655" s="127"/>
      <c r="Y655" s="122"/>
      <c r="Z655" s="128"/>
      <c r="AA655" s="129"/>
      <c r="AB655" s="345">
        <v>720</v>
      </c>
    </row>
    <row r="656" spans="1:34" ht="12" customHeight="1" x14ac:dyDescent="0.2">
      <c r="A656" s="4"/>
      <c r="B656" s="743" t="s">
        <v>654</v>
      </c>
      <c r="C656" s="744"/>
      <c r="D656" s="744"/>
      <c r="E656" s="745"/>
      <c r="F656" s="256">
        <f>36.2*X2</f>
        <v>55748.000000000007</v>
      </c>
      <c r="G656" s="256">
        <f t="shared" ref="G656" si="1894">+F656*$X$1</f>
        <v>55748.000000000007</v>
      </c>
      <c r="H656" s="92">
        <f t="shared" si="1871"/>
        <v>60748.000000000007</v>
      </c>
      <c r="I656" s="280">
        <f t="shared" si="1872"/>
        <v>60748.000000000007</v>
      </c>
      <c r="J656" s="92">
        <f>F656+1200</f>
        <v>56948.000000000007</v>
      </c>
      <c r="K656" s="280">
        <f t="shared" si="1873"/>
        <v>56948.000000000007</v>
      </c>
      <c r="L656" s="92">
        <f t="shared" si="1874"/>
        <v>56548.000000000007</v>
      </c>
      <c r="M656" s="280">
        <f t="shared" si="1875"/>
        <v>56548.000000000007</v>
      </c>
      <c r="N656" s="92">
        <f t="shared" si="1876"/>
        <v>56448.000000000007</v>
      </c>
      <c r="O656" s="280">
        <f t="shared" si="1877"/>
        <v>56448.000000000007</v>
      </c>
      <c r="P656" s="92">
        <f t="shared" si="1878"/>
        <v>56348.000000000007</v>
      </c>
      <c r="Q656" s="280">
        <f t="shared" si="1879"/>
        <v>56348.000000000007</v>
      </c>
      <c r="R656" s="92">
        <f t="shared" si="1880"/>
        <v>56248.000000000007</v>
      </c>
      <c r="S656" s="280">
        <f t="shared" si="1881"/>
        <v>56248.000000000007</v>
      </c>
      <c r="T656" s="92">
        <f t="shared" si="1882"/>
        <v>56198.000000000007</v>
      </c>
      <c r="U656" s="280">
        <f t="shared" si="1883"/>
        <v>56198.000000000007</v>
      </c>
      <c r="V656" s="92">
        <f t="shared" si="1884"/>
        <v>56108.000000000007</v>
      </c>
      <c r="W656" s="280">
        <f t="shared" si="1885"/>
        <v>56108.000000000007</v>
      </c>
      <c r="X656" s="127"/>
      <c r="Y656" s="122"/>
      <c r="Z656" s="128"/>
      <c r="AA656" s="129"/>
      <c r="AB656" s="345">
        <v>721</v>
      </c>
    </row>
    <row r="657" spans="1:28" ht="12" customHeight="1" x14ac:dyDescent="0.2">
      <c r="A657" s="4"/>
      <c r="B657" s="751" t="s">
        <v>980</v>
      </c>
      <c r="C657" s="752"/>
      <c r="D657" s="752"/>
      <c r="E657" s="753"/>
      <c r="F657" s="1184">
        <v>14390</v>
      </c>
      <c r="G657" s="255">
        <f t="shared" ref="G657:G662" si="1895">+F657*$X$1</f>
        <v>14390</v>
      </c>
      <c r="H657" s="93"/>
      <c r="I657" s="270"/>
      <c r="J657" s="93"/>
      <c r="K657" s="270"/>
      <c r="L657" s="93">
        <f t="shared" si="1874"/>
        <v>15190</v>
      </c>
      <c r="M657" s="270">
        <f t="shared" si="1875"/>
        <v>15190</v>
      </c>
      <c r="N657" s="93">
        <f t="shared" si="1876"/>
        <v>15090</v>
      </c>
      <c r="O657" s="270">
        <f t="shared" si="1877"/>
        <v>15090</v>
      </c>
      <c r="P657" s="93">
        <f t="shared" si="1878"/>
        <v>14990</v>
      </c>
      <c r="Q657" s="270">
        <f t="shared" si="1879"/>
        <v>14990</v>
      </c>
      <c r="R657" s="93">
        <f t="shared" si="1880"/>
        <v>14890</v>
      </c>
      <c r="S657" s="270">
        <f t="shared" si="1881"/>
        <v>14890</v>
      </c>
      <c r="T657" s="93">
        <f t="shared" si="1882"/>
        <v>14840</v>
      </c>
      <c r="U657" s="270">
        <f t="shared" si="1883"/>
        <v>14840</v>
      </c>
      <c r="V657" s="93">
        <f t="shared" si="1884"/>
        <v>14750</v>
      </c>
      <c r="W657" s="270">
        <f t="shared" si="1885"/>
        <v>14750</v>
      </c>
      <c r="X657" s="127"/>
      <c r="Y657" s="122"/>
      <c r="Z657" s="128"/>
      <c r="AA657" s="129"/>
      <c r="AB657" s="345">
        <v>722</v>
      </c>
    </row>
    <row r="658" spans="1:28" ht="12" customHeight="1" x14ac:dyDescent="0.2">
      <c r="A658" s="4"/>
      <c r="B658" s="743" t="s">
        <v>981</v>
      </c>
      <c r="C658" s="744"/>
      <c r="D658" s="744"/>
      <c r="E658" s="745"/>
      <c r="F658" s="1183">
        <v>21900</v>
      </c>
      <c r="G658" s="256">
        <f t="shared" si="1895"/>
        <v>21900</v>
      </c>
      <c r="H658" s="92"/>
      <c r="I658" s="280"/>
      <c r="J658" s="92"/>
      <c r="K658" s="280"/>
      <c r="L658" s="92">
        <f t="shared" ref="L658" si="1896">F658+800</f>
        <v>22700</v>
      </c>
      <c r="M658" s="280">
        <f t="shared" ref="M658" si="1897">+L658*$X$1</f>
        <v>22700</v>
      </c>
      <c r="N658" s="92">
        <f t="shared" ref="N658" si="1898">F658+700</f>
        <v>22600</v>
      </c>
      <c r="O658" s="280">
        <f t="shared" ref="O658" si="1899">+N658*$X$1</f>
        <v>22600</v>
      </c>
      <c r="P658" s="92">
        <f t="shared" ref="P658" si="1900">F658+600</f>
        <v>22500</v>
      </c>
      <c r="Q658" s="280">
        <f t="shared" ref="Q658" si="1901">+P658*$X$1</f>
        <v>22500</v>
      </c>
      <c r="R658" s="92">
        <f t="shared" ref="R658" si="1902">F658+500</f>
        <v>22400</v>
      </c>
      <c r="S658" s="280">
        <f t="shared" ref="S658" si="1903">+R658*$X$1</f>
        <v>22400</v>
      </c>
      <c r="T658" s="92">
        <f t="shared" ref="T658" si="1904">F658+450</f>
        <v>22350</v>
      </c>
      <c r="U658" s="280">
        <f t="shared" ref="U658" si="1905">+T658*$X$1</f>
        <v>22350</v>
      </c>
      <c r="V658" s="92">
        <f t="shared" ref="V658" si="1906">F658+360</f>
        <v>22260</v>
      </c>
      <c r="W658" s="280">
        <f t="shared" ref="W658" si="1907">+V658*$X$1</f>
        <v>22260</v>
      </c>
      <c r="X658" s="127"/>
      <c r="Y658" s="122"/>
      <c r="Z658" s="128"/>
      <c r="AA658" s="129"/>
      <c r="AB658" s="345">
        <v>723</v>
      </c>
    </row>
    <row r="659" spans="1:28" ht="12" customHeight="1" x14ac:dyDescent="0.2">
      <c r="A659" s="4"/>
      <c r="B659" s="651" t="s">
        <v>982</v>
      </c>
      <c r="C659" s="758"/>
      <c r="D659" s="758"/>
      <c r="E659" s="759"/>
      <c r="F659" s="1184">
        <v>15600</v>
      </c>
      <c r="G659" s="255">
        <f t="shared" si="1895"/>
        <v>15600</v>
      </c>
      <c r="H659" s="93"/>
      <c r="I659" s="255"/>
      <c r="J659" s="537"/>
      <c r="K659" s="255"/>
      <c r="L659" s="537">
        <f t="shared" ref="L659" si="1908">F659+800</f>
        <v>16400</v>
      </c>
      <c r="M659" s="255">
        <f t="shared" ref="M659" si="1909">+L659*$X$1</f>
        <v>16400</v>
      </c>
      <c r="N659" s="537">
        <f t="shared" ref="N659" si="1910">F659+700</f>
        <v>16300</v>
      </c>
      <c r="O659" s="255">
        <f t="shared" ref="O659" si="1911">+N659*$X$1</f>
        <v>16300</v>
      </c>
      <c r="P659" s="537">
        <f t="shared" ref="P659" si="1912">F659+600</f>
        <v>16200</v>
      </c>
      <c r="Q659" s="255">
        <f t="shared" ref="Q659" si="1913">+P659*$X$1</f>
        <v>16200</v>
      </c>
      <c r="R659" s="537">
        <f t="shared" ref="R659" si="1914">F659+500</f>
        <v>16100</v>
      </c>
      <c r="S659" s="255">
        <f t="shared" ref="S659" si="1915">+R659*$X$1</f>
        <v>16100</v>
      </c>
      <c r="T659" s="537">
        <f t="shared" ref="T659" si="1916">F659+450</f>
        <v>16050</v>
      </c>
      <c r="U659" s="255">
        <f t="shared" ref="U659" si="1917">+T659*$X$1</f>
        <v>16050</v>
      </c>
      <c r="V659" s="537">
        <f t="shared" ref="V659" si="1918">F659+360</f>
        <v>15960</v>
      </c>
      <c r="W659" s="255">
        <f t="shared" ref="W659" si="1919">+V659*$X$1</f>
        <v>15960</v>
      </c>
      <c r="X659" s="127"/>
      <c r="Y659" s="122"/>
      <c r="Z659" s="128"/>
      <c r="AA659" s="129"/>
      <c r="AB659" s="345">
        <v>724</v>
      </c>
    </row>
    <row r="660" spans="1:28" ht="12" customHeight="1" x14ac:dyDescent="0.2">
      <c r="A660" s="4"/>
      <c r="B660" s="651" t="s">
        <v>936</v>
      </c>
      <c r="C660" s="758"/>
      <c r="D660" s="758"/>
      <c r="E660" s="759"/>
      <c r="F660" s="256">
        <f>12.3*X2</f>
        <v>18942</v>
      </c>
      <c r="G660" s="256">
        <f t="shared" si="1895"/>
        <v>18942</v>
      </c>
      <c r="H660" s="92">
        <f t="shared" ref="H660" si="1920">F660+5000</f>
        <v>23942</v>
      </c>
      <c r="I660" s="256">
        <f t="shared" ref="I660" si="1921">+H660*$X$1</f>
        <v>23942</v>
      </c>
      <c r="J660" s="546">
        <f>F660+1200</f>
        <v>20142</v>
      </c>
      <c r="K660" s="256">
        <f t="shared" ref="K660" si="1922">+J660*$X$1</f>
        <v>20142</v>
      </c>
      <c r="L660" s="546">
        <f t="shared" ref="L660:L661" si="1923">F660+800</f>
        <v>19742</v>
      </c>
      <c r="M660" s="256">
        <f t="shared" ref="M660:M661" si="1924">+L660*$X$1</f>
        <v>19742</v>
      </c>
      <c r="N660" s="546">
        <f t="shared" ref="N660:N661" si="1925">F660+700</f>
        <v>19642</v>
      </c>
      <c r="O660" s="256">
        <f t="shared" ref="O660:O661" si="1926">+N660*$X$1</f>
        <v>19642</v>
      </c>
      <c r="P660" s="546">
        <f t="shared" ref="P660:P661" si="1927">F660+600</f>
        <v>19542</v>
      </c>
      <c r="Q660" s="256">
        <f t="shared" ref="Q660:Q661" si="1928">+P660*$X$1</f>
        <v>19542</v>
      </c>
      <c r="R660" s="546">
        <f t="shared" ref="R660:R661" si="1929">F660+500</f>
        <v>19442</v>
      </c>
      <c r="S660" s="256">
        <f t="shared" ref="S660:S661" si="1930">+R660*$X$1</f>
        <v>19442</v>
      </c>
      <c r="T660" s="546">
        <f t="shared" ref="T660:T661" si="1931">F660+450</f>
        <v>19392</v>
      </c>
      <c r="U660" s="256">
        <f t="shared" ref="U660:U661" si="1932">+T660*$X$1</f>
        <v>19392</v>
      </c>
      <c r="V660" s="546">
        <f t="shared" ref="V660:V661" si="1933">F660+360</f>
        <v>19302</v>
      </c>
      <c r="W660" s="256">
        <f t="shared" ref="W660:W661" si="1934">+V660*$X$1</f>
        <v>19302</v>
      </c>
      <c r="X660" s="127"/>
      <c r="Y660" s="122"/>
      <c r="Z660" s="128"/>
      <c r="AA660" s="129"/>
      <c r="AB660" s="178">
        <v>725</v>
      </c>
    </row>
    <row r="661" spans="1:28" ht="12" customHeight="1" x14ac:dyDescent="0.2">
      <c r="A661" s="4"/>
      <c r="B661" s="651" t="s">
        <v>983</v>
      </c>
      <c r="C661" s="758"/>
      <c r="D661" s="758"/>
      <c r="E661" s="759"/>
      <c r="F661" s="1184">
        <v>47800</v>
      </c>
      <c r="G661" s="255">
        <f t="shared" si="1895"/>
        <v>47800</v>
      </c>
      <c r="H661" s="93"/>
      <c r="I661" s="255"/>
      <c r="J661" s="537"/>
      <c r="K661" s="255"/>
      <c r="L661" s="537">
        <f t="shared" si="1923"/>
        <v>48600</v>
      </c>
      <c r="M661" s="255">
        <f t="shared" si="1924"/>
        <v>48600</v>
      </c>
      <c r="N661" s="537">
        <f t="shared" si="1925"/>
        <v>48500</v>
      </c>
      <c r="O661" s="255">
        <f t="shared" si="1926"/>
        <v>48500</v>
      </c>
      <c r="P661" s="537">
        <f t="shared" si="1927"/>
        <v>48400</v>
      </c>
      <c r="Q661" s="255">
        <f t="shared" si="1928"/>
        <v>48400</v>
      </c>
      <c r="R661" s="537">
        <f t="shared" si="1929"/>
        <v>48300</v>
      </c>
      <c r="S661" s="255">
        <f t="shared" si="1930"/>
        <v>48300</v>
      </c>
      <c r="T661" s="537">
        <f t="shared" si="1931"/>
        <v>48250</v>
      </c>
      <c r="U661" s="255">
        <f t="shared" si="1932"/>
        <v>48250</v>
      </c>
      <c r="V661" s="537">
        <f t="shared" si="1933"/>
        <v>48160</v>
      </c>
      <c r="W661" s="255">
        <f t="shared" si="1934"/>
        <v>48160</v>
      </c>
      <c r="X661" s="127"/>
      <c r="Y661" s="122"/>
      <c r="Z661" s="128"/>
      <c r="AA661" s="129"/>
      <c r="AB661" s="345">
        <v>726</v>
      </c>
    </row>
    <row r="662" spans="1:28" ht="12" customHeight="1" x14ac:dyDescent="0.2">
      <c r="A662" s="4"/>
      <c r="B662" s="651" t="s">
        <v>984</v>
      </c>
      <c r="C662" s="758"/>
      <c r="D662" s="758"/>
      <c r="E662" s="759"/>
      <c r="F662" s="1183">
        <v>45300</v>
      </c>
      <c r="G662" s="256">
        <f t="shared" si="1895"/>
        <v>45300</v>
      </c>
      <c r="H662" s="92"/>
      <c r="I662" s="256"/>
      <c r="J662" s="546"/>
      <c r="K662" s="256"/>
      <c r="L662" s="546">
        <f t="shared" ref="L662" si="1935">F662+800</f>
        <v>46100</v>
      </c>
      <c r="M662" s="256">
        <f t="shared" ref="M662" si="1936">+L662*$X$1</f>
        <v>46100</v>
      </c>
      <c r="N662" s="546">
        <f t="shared" ref="N662" si="1937">F662+700</f>
        <v>46000</v>
      </c>
      <c r="O662" s="256">
        <f t="shared" ref="O662" si="1938">+N662*$X$1</f>
        <v>46000</v>
      </c>
      <c r="P662" s="546">
        <f t="shared" ref="P662" si="1939">F662+600</f>
        <v>45900</v>
      </c>
      <c r="Q662" s="256">
        <f t="shared" ref="Q662" si="1940">+P662*$X$1</f>
        <v>45900</v>
      </c>
      <c r="R662" s="546">
        <f t="shared" ref="R662" si="1941">F662+500</f>
        <v>45800</v>
      </c>
      <c r="S662" s="256">
        <f t="shared" ref="S662" si="1942">+R662*$X$1</f>
        <v>45800</v>
      </c>
      <c r="T662" s="546">
        <f t="shared" ref="T662" si="1943">F662+450</f>
        <v>45750</v>
      </c>
      <c r="U662" s="256">
        <f t="shared" ref="U662" si="1944">+T662*$X$1</f>
        <v>45750</v>
      </c>
      <c r="V662" s="546">
        <f t="shared" ref="V662" si="1945">F662+360</f>
        <v>45660</v>
      </c>
      <c r="W662" s="256">
        <f t="shared" ref="W662" si="1946">+V662*$X$1</f>
        <v>45660</v>
      </c>
      <c r="X662" s="127"/>
      <c r="Y662" s="122"/>
      <c r="Z662" s="128"/>
      <c r="AA662" s="129"/>
      <c r="AB662" s="345">
        <v>727</v>
      </c>
    </row>
    <row r="663" spans="1:28" ht="12.6" customHeight="1" x14ac:dyDescent="0.2">
      <c r="A663" s="4"/>
      <c r="B663" s="751" t="s">
        <v>769</v>
      </c>
      <c r="C663" s="752"/>
      <c r="D663" s="752"/>
      <c r="E663" s="753"/>
      <c r="F663" s="255">
        <f>5.2*X2</f>
        <v>8008</v>
      </c>
      <c r="G663" s="255">
        <f t="shared" ref="G663" si="1947">+F663*$X$1</f>
        <v>8008</v>
      </c>
      <c r="H663" s="93">
        <f t="shared" ref="H663:H670" si="1948">F663+5000</f>
        <v>13008</v>
      </c>
      <c r="I663" s="255">
        <f t="shared" ref="I663:I670" si="1949">+H663*$X$1</f>
        <v>13008</v>
      </c>
      <c r="J663" s="537">
        <f t="shared" ref="J663:J668" si="1950">F663+1200</f>
        <v>9208</v>
      </c>
      <c r="K663" s="255">
        <f t="shared" ref="K663:K670" si="1951">+J663*$X$1</f>
        <v>9208</v>
      </c>
      <c r="L663" s="537">
        <f t="shared" ref="L663:L670" si="1952">F663+800</f>
        <v>8808</v>
      </c>
      <c r="M663" s="255">
        <f t="shared" ref="M663:M670" si="1953">+L663*$X$1</f>
        <v>8808</v>
      </c>
      <c r="N663" s="537">
        <f t="shared" ref="N663:N670" si="1954">F663+700</f>
        <v>8708</v>
      </c>
      <c r="O663" s="255">
        <f t="shared" ref="O663:O670" si="1955">+N663*$X$1</f>
        <v>8708</v>
      </c>
      <c r="P663" s="537">
        <f t="shared" ref="P663:P670" si="1956">F663+600</f>
        <v>8608</v>
      </c>
      <c r="Q663" s="255">
        <f t="shared" ref="Q663:Q670" si="1957">+P663*$X$1</f>
        <v>8608</v>
      </c>
      <c r="R663" s="537">
        <f t="shared" ref="R663:R670" si="1958">F663+500</f>
        <v>8508</v>
      </c>
      <c r="S663" s="255">
        <f t="shared" ref="S663:S670" si="1959">+R663*$X$1</f>
        <v>8508</v>
      </c>
      <c r="T663" s="537">
        <f t="shared" ref="T663:T670" si="1960">F663+450</f>
        <v>8458</v>
      </c>
      <c r="U663" s="255">
        <f t="shared" ref="U663:U670" si="1961">+T663*$X$1</f>
        <v>8458</v>
      </c>
      <c r="V663" s="537">
        <f t="shared" ref="V663:V670" si="1962">F663+360</f>
        <v>8368</v>
      </c>
      <c r="W663" s="255">
        <f t="shared" ref="W663:W670" si="1963">+V663*$X$1</f>
        <v>8368</v>
      </c>
      <c r="X663" s="127"/>
      <c r="Y663" s="122"/>
      <c r="Z663" s="128"/>
      <c r="AA663" s="129"/>
      <c r="AB663" s="178">
        <v>741</v>
      </c>
    </row>
    <row r="664" spans="1:28" ht="12" customHeight="1" x14ac:dyDescent="0.2">
      <c r="A664" s="4"/>
      <c r="B664" s="743" t="s">
        <v>564</v>
      </c>
      <c r="C664" s="744"/>
      <c r="D664" s="744"/>
      <c r="E664" s="745"/>
      <c r="F664" s="256">
        <f>15.2*X2</f>
        <v>23408</v>
      </c>
      <c r="G664" s="256">
        <f>+F664*$X$1</f>
        <v>23408</v>
      </c>
      <c r="H664" s="92">
        <f t="shared" si="1948"/>
        <v>28408</v>
      </c>
      <c r="I664" s="256">
        <f t="shared" si="1949"/>
        <v>28408</v>
      </c>
      <c r="J664" s="546">
        <f t="shared" si="1950"/>
        <v>24608</v>
      </c>
      <c r="K664" s="256">
        <f t="shared" si="1951"/>
        <v>24608</v>
      </c>
      <c r="L664" s="546">
        <f t="shared" si="1952"/>
        <v>24208</v>
      </c>
      <c r="M664" s="256">
        <f t="shared" si="1953"/>
        <v>24208</v>
      </c>
      <c r="N664" s="546">
        <f t="shared" si="1954"/>
        <v>24108</v>
      </c>
      <c r="O664" s="256">
        <f t="shared" si="1955"/>
        <v>24108</v>
      </c>
      <c r="P664" s="546">
        <f t="shared" si="1956"/>
        <v>24008</v>
      </c>
      <c r="Q664" s="256">
        <f t="shared" si="1957"/>
        <v>24008</v>
      </c>
      <c r="R664" s="546">
        <f t="shared" si="1958"/>
        <v>23908</v>
      </c>
      <c r="S664" s="256">
        <f t="shared" si="1959"/>
        <v>23908</v>
      </c>
      <c r="T664" s="546">
        <f t="shared" si="1960"/>
        <v>23858</v>
      </c>
      <c r="U664" s="256">
        <f t="shared" si="1961"/>
        <v>23858</v>
      </c>
      <c r="V664" s="546">
        <f t="shared" si="1962"/>
        <v>23768</v>
      </c>
      <c r="W664" s="256">
        <f t="shared" si="1963"/>
        <v>23768</v>
      </c>
      <c r="X664" s="127"/>
      <c r="Y664" s="122"/>
      <c r="Z664" s="128"/>
      <c r="AA664" s="129"/>
      <c r="AB664" s="178">
        <v>742</v>
      </c>
    </row>
    <row r="665" spans="1:28" ht="12" customHeight="1" x14ac:dyDescent="0.2">
      <c r="A665" s="4"/>
      <c r="B665" s="751" t="s">
        <v>565</v>
      </c>
      <c r="C665" s="752"/>
      <c r="D665" s="752"/>
      <c r="E665" s="753"/>
      <c r="F665" s="255">
        <f>16.6*X2</f>
        <v>25564.000000000004</v>
      </c>
      <c r="G665" s="255">
        <f>+F665*$X$1</f>
        <v>25564.000000000004</v>
      </c>
      <c r="H665" s="93">
        <f t="shared" si="1948"/>
        <v>30564.000000000004</v>
      </c>
      <c r="I665" s="255">
        <f t="shared" si="1949"/>
        <v>30564.000000000004</v>
      </c>
      <c r="J665" s="537">
        <f t="shared" si="1950"/>
        <v>26764.000000000004</v>
      </c>
      <c r="K665" s="255">
        <f t="shared" si="1951"/>
        <v>26764.000000000004</v>
      </c>
      <c r="L665" s="537">
        <f t="shared" si="1952"/>
        <v>26364.000000000004</v>
      </c>
      <c r="M665" s="255">
        <f t="shared" si="1953"/>
        <v>26364.000000000004</v>
      </c>
      <c r="N665" s="537">
        <f t="shared" si="1954"/>
        <v>26264.000000000004</v>
      </c>
      <c r="O665" s="255">
        <f t="shared" si="1955"/>
        <v>26264.000000000004</v>
      </c>
      <c r="P665" s="537">
        <f t="shared" si="1956"/>
        <v>26164.000000000004</v>
      </c>
      <c r="Q665" s="255">
        <f t="shared" si="1957"/>
        <v>26164.000000000004</v>
      </c>
      <c r="R665" s="537">
        <f t="shared" si="1958"/>
        <v>26064.000000000004</v>
      </c>
      <c r="S665" s="255">
        <f t="shared" si="1959"/>
        <v>26064.000000000004</v>
      </c>
      <c r="T665" s="537">
        <f t="shared" si="1960"/>
        <v>26014.000000000004</v>
      </c>
      <c r="U665" s="255">
        <f t="shared" si="1961"/>
        <v>26014.000000000004</v>
      </c>
      <c r="V665" s="537">
        <f t="shared" si="1962"/>
        <v>25924.000000000004</v>
      </c>
      <c r="W665" s="255">
        <f t="shared" si="1963"/>
        <v>25924.000000000004</v>
      </c>
      <c r="X665" s="127"/>
      <c r="Y665" s="122"/>
      <c r="Z665" s="128"/>
      <c r="AA665" s="129"/>
      <c r="AB665" s="178">
        <v>743</v>
      </c>
    </row>
    <row r="666" spans="1:28" ht="12" customHeight="1" x14ac:dyDescent="0.2">
      <c r="A666" s="4"/>
      <c r="B666" s="743" t="s">
        <v>634</v>
      </c>
      <c r="C666" s="744"/>
      <c r="D666" s="744"/>
      <c r="E666" s="745"/>
      <c r="F666" s="256">
        <f>13.85*X2</f>
        <v>21329</v>
      </c>
      <c r="G666" s="256">
        <f t="shared" ref="G666" si="1964">+F666*$X$1</f>
        <v>21329</v>
      </c>
      <c r="H666" s="92">
        <f t="shared" si="1948"/>
        <v>26329</v>
      </c>
      <c r="I666" s="256">
        <f t="shared" si="1949"/>
        <v>26329</v>
      </c>
      <c r="J666" s="546">
        <f t="shared" si="1950"/>
        <v>22529</v>
      </c>
      <c r="K666" s="256">
        <f t="shared" si="1951"/>
        <v>22529</v>
      </c>
      <c r="L666" s="546">
        <f t="shared" si="1952"/>
        <v>22129</v>
      </c>
      <c r="M666" s="256">
        <f t="shared" si="1953"/>
        <v>22129</v>
      </c>
      <c r="N666" s="546">
        <f t="shared" si="1954"/>
        <v>22029</v>
      </c>
      <c r="O666" s="256">
        <f t="shared" si="1955"/>
        <v>22029</v>
      </c>
      <c r="P666" s="546">
        <f t="shared" si="1956"/>
        <v>21929</v>
      </c>
      <c r="Q666" s="256">
        <f t="shared" si="1957"/>
        <v>21929</v>
      </c>
      <c r="R666" s="546">
        <f t="shared" si="1958"/>
        <v>21829</v>
      </c>
      <c r="S666" s="256">
        <f t="shared" si="1959"/>
        <v>21829</v>
      </c>
      <c r="T666" s="546">
        <f t="shared" si="1960"/>
        <v>21779</v>
      </c>
      <c r="U666" s="256">
        <f t="shared" si="1961"/>
        <v>21779</v>
      </c>
      <c r="V666" s="546">
        <f t="shared" si="1962"/>
        <v>21689</v>
      </c>
      <c r="W666" s="256">
        <f t="shared" si="1963"/>
        <v>21689</v>
      </c>
      <c r="X666" s="127"/>
      <c r="Y666" s="122"/>
      <c r="Z666" s="128"/>
      <c r="AA666" s="129"/>
      <c r="AB666" s="178">
        <v>744</v>
      </c>
    </row>
    <row r="667" spans="1:28" ht="12" customHeight="1" x14ac:dyDescent="0.2">
      <c r="A667" s="4"/>
      <c r="B667" s="751" t="s">
        <v>816</v>
      </c>
      <c r="C667" s="752"/>
      <c r="D667" s="752"/>
      <c r="E667" s="753"/>
      <c r="F667" s="255">
        <f>4.2*X2</f>
        <v>6468</v>
      </c>
      <c r="G667" s="255">
        <f t="shared" ref="G667" si="1965">+F667*$X$1</f>
        <v>6468</v>
      </c>
      <c r="H667" s="93">
        <f t="shared" si="1948"/>
        <v>11468</v>
      </c>
      <c r="I667" s="270">
        <f t="shared" si="1949"/>
        <v>11468</v>
      </c>
      <c r="J667" s="93">
        <f t="shared" si="1950"/>
        <v>7668</v>
      </c>
      <c r="K667" s="255">
        <f t="shared" si="1951"/>
        <v>7668</v>
      </c>
      <c r="L667" s="537">
        <f t="shared" si="1952"/>
        <v>7268</v>
      </c>
      <c r="M667" s="255">
        <f t="shared" si="1953"/>
        <v>7268</v>
      </c>
      <c r="N667" s="537">
        <f t="shared" si="1954"/>
        <v>7168</v>
      </c>
      <c r="O667" s="255">
        <f t="shared" si="1955"/>
        <v>7168</v>
      </c>
      <c r="P667" s="537">
        <f t="shared" si="1956"/>
        <v>7068</v>
      </c>
      <c r="Q667" s="255">
        <f t="shared" si="1957"/>
        <v>7068</v>
      </c>
      <c r="R667" s="537">
        <f t="shared" si="1958"/>
        <v>6968</v>
      </c>
      <c r="S667" s="255">
        <f t="shared" si="1959"/>
        <v>6968</v>
      </c>
      <c r="T667" s="537">
        <f t="shared" si="1960"/>
        <v>6918</v>
      </c>
      <c r="U667" s="255">
        <f t="shared" si="1961"/>
        <v>6918</v>
      </c>
      <c r="V667" s="537">
        <f t="shared" si="1962"/>
        <v>6828</v>
      </c>
      <c r="W667" s="255">
        <f t="shared" si="1963"/>
        <v>6828</v>
      </c>
      <c r="X667" s="127"/>
      <c r="Y667" s="122"/>
      <c r="Z667" s="128"/>
      <c r="AA667" s="129"/>
      <c r="AB667" s="178">
        <v>745</v>
      </c>
    </row>
    <row r="668" spans="1:28" ht="12" customHeight="1" x14ac:dyDescent="0.2">
      <c r="A668" s="4"/>
      <c r="B668" s="743" t="s">
        <v>859</v>
      </c>
      <c r="C668" s="744"/>
      <c r="D668" s="744"/>
      <c r="E668" s="745"/>
      <c r="F668" s="256">
        <f>6.49*X2</f>
        <v>9994.6</v>
      </c>
      <c r="G668" s="256">
        <f t="shared" ref="G668:G670" si="1966">+F668*$X$1</f>
        <v>9994.6</v>
      </c>
      <c r="H668" s="92">
        <f t="shared" si="1948"/>
        <v>14994.6</v>
      </c>
      <c r="I668" s="280">
        <f t="shared" si="1949"/>
        <v>14994.6</v>
      </c>
      <c r="J668" s="92">
        <f t="shared" si="1950"/>
        <v>11194.6</v>
      </c>
      <c r="K668" s="256">
        <f t="shared" si="1951"/>
        <v>11194.6</v>
      </c>
      <c r="L668" s="546">
        <f t="shared" si="1952"/>
        <v>10794.6</v>
      </c>
      <c r="M668" s="256">
        <f t="shared" si="1953"/>
        <v>10794.6</v>
      </c>
      <c r="N668" s="546">
        <f t="shared" si="1954"/>
        <v>10694.6</v>
      </c>
      <c r="O668" s="256">
        <f t="shared" si="1955"/>
        <v>10694.6</v>
      </c>
      <c r="P668" s="546">
        <f t="shared" si="1956"/>
        <v>10594.6</v>
      </c>
      <c r="Q668" s="256">
        <f t="shared" si="1957"/>
        <v>10594.6</v>
      </c>
      <c r="R668" s="546">
        <f t="shared" si="1958"/>
        <v>10494.6</v>
      </c>
      <c r="S668" s="256">
        <f t="shared" si="1959"/>
        <v>10494.6</v>
      </c>
      <c r="T668" s="546">
        <f t="shared" si="1960"/>
        <v>10444.6</v>
      </c>
      <c r="U668" s="256">
        <f t="shared" si="1961"/>
        <v>10444.6</v>
      </c>
      <c r="V668" s="546">
        <f t="shared" si="1962"/>
        <v>10354.6</v>
      </c>
      <c r="W668" s="256">
        <f t="shared" si="1963"/>
        <v>10354.6</v>
      </c>
      <c r="X668" s="127"/>
      <c r="Y668" s="122"/>
      <c r="Z668" s="128"/>
      <c r="AA668" s="129"/>
      <c r="AB668" s="178">
        <v>746</v>
      </c>
    </row>
    <row r="669" spans="1:28" ht="12" customHeight="1" x14ac:dyDescent="0.2">
      <c r="A669" s="4"/>
      <c r="B669" s="651" t="s">
        <v>968</v>
      </c>
      <c r="C669" s="758"/>
      <c r="D669" s="758"/>
      <c r="E669" s="759"/>
      <c r="F669" s="255">
        <f>18.82*X2</f>
        <v>28982.799999999999</v>
      </c>
      <c r="G669" s="255">
        <f t="shared" si="1966"/>
        <v>28982.799999999999</v>
      </c>
      <c r="H669" s="93">
        <f t="shared" si="1948"/>
        <v>33982.800000000003</v>
      </c>
      <c r="I669" s="270">
        <f t="shared" si="1949"/>
        <v>33982.800000000003</v>
      </c>
      <c r="J669" s="93">
        <f t="shared" ref="J669" si="1967">F669+1200</f>
        <v>30182.799999999999</v>
      </c>
      <c r="K669" s="255">
        <f t="shared" si="1951"/>
        <v>30182.799999999999</v>
      </c>
      <c r="L669" s="537">
        <f t="shared" si="1952"/>
        <v>29782.799999999999</v>
      </c>
      <c r="M669" s="255">
        <f t="shared" si="1953"/>
        <v>29782.799999999999</v>
      </c>
      <c r="N669" s="537">
        <f t="shared" si="1954"/>
        <v>29682.799999999999</v>
      </c>
      <c r="O669" s="255">
        <f t="shared" si="1955"/>
        <v>29682.799999999999</v>
      </c>
      <c r="P669" s="537">
        <f t="shared" si="1956"/>
        <v>29582.799999999999</v>
      </c>
      <c r="Q669" s="255">
        <f t="shared" si="1957"/>
        <v>29582.799999999999</v>
      </c>
      <c r="R669" s="537">
        <f t="shared" si="1958"/>
        <v>29482.799999999999</v>
      </c>
      <c r="S669" s="255">
        <f t="shared" si="1959"/>
        <v>29482.799999999999</v>
      </c>
      <c r="T669" s="537">
        <f t="shared" si="1960"/>
        <v>29432.799999999999</v>
      </c>
      <c r="U669" s="255">
        <f t="shared" si="1961"/>
        <v>29432.799999999999</v>
      </c>
      <c r="V669" s="537">
        <f t="shared" si="1962"/>
        <v>29342.799999999999</v>
      </c>
      <c r="W669" s="255">
        <f t="shared" si="1963"/>
        <v>29342.799999999999</v>
      </c>
      <c r="X669" s="127"/>
      <c r="Y669" s="122"/>
      <c r="Z669" s="128"/>
      <c r="AA669" s="129"/>
      <c r="AB669" s="178">
        <v>748</v>
      </c>
    </row>
    <row r="670" spans="1:28" ht="12" customHeight="1" x14ac:dyDescent="0.2">
      <c r="A670" s="4"/>
      <c r="B670" s="743" t="s">
        <v>852</v>
      </c>
      <c r="C670" s="744"/>
      <c r="D670" s="744"/>
      <c r="E670" s="745"/>
      <c r="F670" s="256">
        <f>2.8*X2</f>
        <v>4312</v>
      </c>
      <c r="G670" s="256">
        <f t="shared" si="1966"/>
        <v>4312</v>
      </c>
      <c r="H670" s="92">
        <f t="shared" si="1948"/>
        <v>9312</v>
      </c>
      <c r="I670" s="280">
        <f t="shared" si="1949"/>
        <v>9312</v>
      </c>
      <c r="J670" s="92">
        <f>F670+1200</f>
        <v>5512</v>
      </c>
      <c r="K670" s="256">
        <f t="shared" si="1951"/>
        <v>5512</v>
      </c>
      <c r="L670" s="546">
        <f t="shared" si="1952"/>
        <v>5112</v>
      </c>
      <c r="M670" s="256">
        <f t="shared" si="1953"/>
        <v>5112</v>
      </c>
      <c r="N670" s="546">
        <f t="shared" si="1954"/>
        <v>5012</v>
      </c>
      <c r="O670" s="256">
        <f t="shared" si="1955"/>
        <v>5012</v>
      </c>
      <c r="P670" s="546">
        <f t="shared" si="1956"/>
        <v>4912</v>
      </c>
      <c r="Q670" s="256">
        <f t="shared" si="1957"/>
        <v>4912</v>
      </c>
      <c r="R670" s="546">
        <f t="shared" si="1958"/>
        <v>4812</v>
      </c>
      <c r="S670" s="256">
        <f t="shared" si="1959"/>
        <v>4812</v>
      </c>
      <c r="T670" s="546">
        <f t="shared" si="1960"/>
        <v>4762</v>
      </c>
      <c r="U670" s="256">
        <f t="shared" si="1961"/>
        <v>4762</v>
      </c>
      <c r="V670" s="546">
        <f t="shared" si="1962"/>
        <v>4672</v>
      </c>
      <c r="W670" s="256">
        <f t="shared" si="1963"/>
        <v>4672</v>
      </c>
      <c r="X670" s="127"/>
      <c r="Y670" s="122"/>
      <c r="Z670" s="128"/>
      <c r="AA670" s="129"/>
      <c r="AB670" s="178">
        <v>760</v>
      </c>
    </row>
    <row r="671" spans="1:28" ht="12" customHeight="1" x14ac:dyDescent="0.2">
      <c r="A671" s="4"/>
      <c r="B671" s="909" t="s">
        <v>545</v>
      </c>
      <c r="C671" s="910"/>
      <c r="D671" s="910"/>
      <c r="E671" s="910"/>
      <c r="F671" s="333"/>
      <c r="G671" s="333"/>
      <c r="H671" s="537">
        <v>2000</v>
      </c>
      <c r="I671" s="255">
        <f t="shared" ref="I671:K671" si="1968">+H671*$X$1</f>
        <v>2000</v>
      </c>
      <c r="J671" s="537">
        <v>1100</v>
      </c>
      <c r="K671" s="255">
        <f t="shared" si="1968"/>
        <v>1100</v>
      </c>
      <c r="L671" s="537">
        <v>840</v>
      </c>
      <c r="M671" s="255">
        <f t="shared" ref="M671" si="1969">+L671*$X$1</f>
        <v>840</v>
      </c>
      <c r="N671" s="537">
        <v>790</v>
      </c>
      <c r="O671" s="255">
        <f t="shared" ref="O671" si="1970">+N671*$X$1</f>
        <v>790</v>
      </c>
      <c r="P671" s="537">
        <v>720</v>
      </c>
      <c r="Q671" s="255">
        <f t="shared" ref="Q671" si="1971">+P671*$X$1</f>
        <v>720</v>
      </c>
      <c r="R671" s="537">
        <v>540</v>
      </c>
      <c r="S671" s="255">
        <f t="shared" ref="S671" si="1972">+R671*$X$1</f>
        <v>540</v>
      </c>
      <c r="T671" s="537">
        <v>470</v>
      </c>
      <c r="U671" s="255">
        <f t="shared" ref="U671" si="1973">+T671*$X$1</f>
        <v>470</v>
      </c>
      <c r="V671" s="537">
        <v>430</v>
      </c>
      <c r="W671" s="255">
        <f t="shared" ref="W671" si="1974">+V671*$X$1</f>
        <v>430</v>
      </c>
      <c r="X671" s="127"/>
      <c r="Y671" s="122"/>
      <c r="Z671" s="128"/>
      <c r="AA671" s="128"/>
      <c r="AB671" s="36"/>
    </row>
    <row r="672" spans="1:28" ht="13.5" customHeight="1" x14ac:dyDescent="0.2">
      <c r="A672" s="71"/>
      <c r="B672" s="98"/>
      <c r="C672" s="547"/>
      <c r="D672" s="547"/>
      <c r="E672" s="547"/>
      <c r="F672" s="295"/>
      <c r="G672" s="295"/>
      <c r="H672" s="106"/>
      <c r="I672" s="295"/>
      <c r="J672" s="106"/>
      <c r="K672" s="295"/>
      <c r="L672" s="106"/>
      <c r="M672" s="295"/>
      <c r="N672" s="106"/>
      <c r="O672" s="295"/>
      <c r="P672" s="106"/>
      <c r="Q672" s="295"/>
      <c r="R672" s="106"/>
      <c r="S672" s="295"/>
      <c r="T672" s="106"/>
      <c r="U672" s="295"/>
      <c r="V672" s="106"/>
      <c r="W672" s="295"/>
      <c r="X672" s="185"/>
      <c r="Y672" s="71"/>
      <c r="Z672" s="186"/>
      <c r="AA672" s="186"/>
      <c r="AB672" s="187"/>
    </row>
    <row r="673" spans="1:34" ht="14.25" customHeight="1" x14ac:dyDescent="0.2">
      <c r="B673" s="741" t="s">
        <v>735</v>
      </c>
      <c r="C673" s="742"/>
      <c r="D673" s="742"/>
      <c r="E673" s="742"/>
      <c r="F673" s="742"/>
      <c r="G673" s="742"/>
      <c r="H673" s="742"/>
      <c r="I673" s="742"/>
      <c r="J673" s="742"/>
      <c r="K673" s="742"/>
      <c r="L673" s="742"/>
      <c r="M673" s="742"/>
      <c r="N673" s="742"/>
      <c r="O673" s="742"/>
      <c r="P673" s="742"/>
      <c r="Q673" s="742"/>
      <c r="R673" s="742"/>
      <c r="S673" s="742"/>
      <c r="T673" s="742"/>
      <c r="U673" s="742"/>
      <c r="V673" s="742"/>
      <c r="W673" s="742"/>
      <c r="AB673" s="4"/>
      <c r="AF673" s="748"/>
      <c r="AG673" s="749"/>
      <c r="AH673" s="749"/>
    </row>
    <row r="674" spans="1:34" ht="12" customHeight="1" x14ac:dyDescent="0.2">
      <c r="B674" s="739" t="s">
        <v>11</v>
      </c>
      <c r="C674" s="739" t="s">
        <v>12</v>
      </c>
      <c r="D674" s="740"/>
      <c r="E674" s="740"/>
      <c r="F674" s="644" t="s">
        <v>259</v>
      </c>
      <c r="G674" s="644" t="s">
        <v>13</v>
      </c>
      <c r="H674" s="632" t="s">
        <v>727</v>
      </c>
      <c r="I674" s="632"/>
      <c r="J674" s="633"/>
      <c r="K674" s="633"/>
      <c r="L674" s="633"/>
      <c r="M674" s="633"/>
      <c r="N674" s="633"/>
      <c r="O674" s="633"/>
      <c r="P674" s="633"/>
      <c r="Q674" s="633"/>
      <c r="R674" s="633"/>
      <c r="S674" s="633"/>
      <c r="T674" s="633"/>
      <c r="U674" s="633"/>
      <c r="V674" s="633"/>
      <c r="W674" s="633"/>
      <c r="X674" s="658" t="s">
        <v>14</v>
      </c>
      <c r="Y674" s="659"/>
      <c r="Z674" s="659"/>
      <c r="AA674" s="659"/>
      <c r="AB674" s="760" t="s">
        <v>15</v>
      </c>
      <c r="AF674" s="748"/>
      <c r="AG674" s="749"/>
      <c r="AH674" s="749"/>
    </row>
    <row r="675" spans="1:34" ht="11.25" customHeight="1" x14ac:dyDescent="0.2">
      <c r="B675" s="740"/>
      <c r="C675" s="740"/>
      <c r="D675" s="740"/>
      <c r="E675" s="740"/>
      <c r="F675" s="645"/>
      <c r="G675" s="645"/>
      <c r="H675" s="406"/>
      <c r="I675" s="405" t="s">
        <v>260</v>
      </c>
      <c r="J675" s="406"/>
      <c r="K675" s="405" t="s">
        <v>261</v>
      </c>
      <c r="L675" s="406"/>
      <c r="M675" s="405" t="s">
        <v>512</v>
      </c>
      <c r="N675" s="406"/>
      <c r="O675" s="405" t="s">
        <v>17</v>
      </c>
      <c r="P675" s="406"/>
      <c r="Q675" s="405" t="s">
        <v>18</v>
      </c>
      <c r="R675" s="406"/>
      <c r="S675" s="405" t="s">
        <v>19</v>
      </c>
      <c r="T675" s="406"/>
      <c r="U675" s="405" t="s">
        <v>262</v>
      </c>
      <c r="V675" s="406"/>
      <c r="W675" s="405" t="s">
        <v>20</v>
      </c>
      <c r="X675" s="661"/>
      <c r="Y675" s="662"/>
      <c r="Z675" s="662"/>
      <c r="AA675" s="662"/>
      <c r="AB675" s="761"/>
    </row>
    <row r="676" spans="1:34" ht="12.6" customHeight="1" x14ac:dyDescent="0.2">
      <c r="A676" s="17"/>
      <c r="B676" s="769" t="s">
        <v>491</v>
      </c>
      <c r="C676" s="853"/>
      <c r="D676" s="853"/>
      <c r="E676" s="854"/>
      <c r="F676" s="280">
        <v>3930</v>
      </c>
      <c r="G676" s="269"/>
      <c r="H676" s="92"/>
      <c r="I676" s="280"/>
      <c r="J676" s="546">
        <f>F676+600</f>
        <v>4530</v>
      </c>
      <c r="K676" s="256">
        <f t="shared" ref="K676" si="1975">+J676*$X$1</f>
        <v>4530</v>
      </c>
      <c r="L676" s="546">
        <f>F676+550</f>
        <v>4480</v>
      </c>
      <c r="M676" s="256">
        <f t="shared" ref="M676" si="1976">+L676*$X$1</f>
        <v>4480</v>
      </c>
      <c r="N676" s="546">
        <f>F676+450</f>
        <v>4380</v>
      </c>
      <c r="O676" s="256">
        <f t="shared" ref="O676" si="1977">+N676*$X$1</f>
        <v>4380</v>
      </c>
      <c r="P676" s="546">
        <f>F676+410</f>
        <v>4340</v>
      </c>
      <c r="Q676" s="256">
        <f t="shared" ref="Q676" si="1978">+P676*$X$1</f>
        <v>4340</v>
      </c>
      <c r="R676" s="546">
        <f>F676+360</f>
        <v>4290</v>
      </c>
      <c r="S676" s="256">
        <f t="shared" ref="S676" si="1979">+R676*$X$1</f>
        <v>4290</v>
      </c>
      <c r="T676" s="546">
        <f>F676+320</f>
        <v>4250</v>
      </c>
      <c r="U676" s="256">
        <f t="shared" ref="U676" si="1980">+T676*$X$1</f>
        <v>4250</v>
      </c>
      <c r="V676" s="546">
        <f>F676+290</f>
        <v>4220</v>
      </c>
      <c r="W676" s="256">
        <f t="shared" ref="W676" si="1981">+V676*$X$1</f>
        <v>4220</v>
      </c>
      <c r="X676" s="130"/>
      <c r="Y676" s="131"/>
      <c r="Z676" s="131"/>
      <c r="AA676" s="131"/>
      <c r="AB676" s="359" t="s">
        <v>704</v>
      </c>
    </row>
    <row r="677" spans="1:34" ht="12.6" customHeight="1" x14ac:dyDescent="0.2">
      <c r="A677" s="17"/>
      <c r="B677" s="772" t="s">
        <v>898</v>
      </c>
      <c r="C677" s="773"/>
      <c r="D677" s="773"/>
      <c r="E677" s="774"/>
      <c r="F677" s="270">
        <v>4350</v>
      </c>
      <c r="G677" s="234"/>
      <c r="H677" s="93"/>
      <c r="I677" s="270"/>
      <c r="J677" s="537">
        <f>F677+600</f>
        <v>4950</v>
      </c>
      <c r="K677" s="255">
        <f t="shared" ref="K677" si="1982">+J677*$X$1</f>
        <v>4950</v>
      </c>
      <c r="L677" s="537">
        <f>F677+550</f>
        <v>4900</v>
      </c>
      <c r="M677" s="255">
        <f t="shared" ref="M677" si="1983">+L677*$X$1</f>
        <v>4900</v>
      </c>
      <c r="N677" s="537">
        <f>F677+450</f>
        <v>4800</v>
      </c>
      <c r="O677" s="255">
        <f t="shared" ref="O677" si="1984">+N677*$X$1</f>
        <v>4800</v>
      </c>
      <c r="P677" s="537">
        <f>F677+410</f>
        <v>4760</v>
      </c>
      <c r="Q677" s="255">
        <f t="shared" ref="Q677" si="1985">+P677*$X$1</f>
        <v>4760</v>
      </c>
      <c r="R677" s="537">
        <f>F677+360</f>
        <v>4710</v>
      </c>
      <c r="S677" s="255">
        <f t="shared" ref="S677" si="1986">+R677*$X$1</f>
        <v>4710</v>
      </c>
      <c r="T677" s="537">
        <f>F677+320</f>
        <v>4670</v>
      </c>
      <c r="U677" s="255">
        <f t="shared" ref="U677" si="1987">+T677*$X$1</f>
        <v>4670</v>
      </c>
      <c r="V677" s="537">
        <f>F677+290</f>
        <v>4640</v>
      </c>
      <c r="W677" s="255">
        <f t="shared" ref="W677" si="1988">+V677*$X$1</f>
        <v>4640</v>
      </c>
      <c r="X677" s="130"/>
      <c r="Y677" s="131"/>
      <c r="Z677" s="131"/>
      <c r="AA677" s="131"/>
      <c r="AB677" s="359" t="s">
        <v>915</v>
      </c>
    </row>
    <row r="678" spans="1:34" ht="12.6" customHeight="1" x14ac:dyDescent="0.2">
      <c r="A678" s="17"/>
      <c r="B678" s="772" t="s">
        <v>996</v>
      </c>
      <c r="C678" s="773"/>
      <c r="D678" s="773"/>
      <c r="E678" s="774"/>
      <c r="F678" s="256">
        <f>16.14*X2</f>
        <v>24855.600000000002</v>
      </c>
      <c r="G678" s="571"/>
      <c r="H678" s="546">
        <f>F678+1400</f>
        <v>26255.600000000002</v>
      </c>
      <c r="I678" s="256">
        <f t="shared" ref="I678" si="1989">+H678*$X$1</f>
        <v>26255.600000000002</v>
      </c>
      <c r="J678" s="546">
        <f>F678+600</f>
        <v>25455.600000000002</v>
      </c>
      <c r="K678" s="256">
        <f t="shared" ref="K678" si="1990">+J678*$X$1</f>
        <v>25455.600000000002</v>
      </c>
      <c r="L678" s="546">
        <f>F678+550</f>
        <v>25405.600000000002</v>
      </c>
      <c r="M678" s="256">
        <f t="shared" ref="M678" si="1991">+L678*$X$1</f>
        <v>25405.600000000002</v>
      </c>
      <c r="N678" s="546">
        <f>F678+450</f>
        <v>25305.600000000002</v>
      </c>
      <c r="O678" s="256">
        <f t="shared" ref="O678" si="1992">+N678*$X$1</f>
        <v>25305.600000000002</v>
      </c>
      <c r="P678" s="546">
        <f>F678+410</f>
        <v>25265.600000000002</v>
      </c>
      <c r="Q678" s="256">
        <f t="shared" ref="Q678" si="1993">+P678*$X$1</f>
        <v>25265.600000000002</v>
      </c>
      <c r="R678" s="546">
        <f>F678+360</f>
        <v>25215.600000000002</v>
      </c>
      <c r="S678" s="256">
        <f t="shared" ref="S678" si="1994">+R678*$X$1</f>
        <v>25215.600000000002</v>
      </c>
      <c r="T678" s="546">
        <f>F678+320</f>
        <v>25175.600000000002</v>
      </c>
      <c r="U678" s="256">
        <f t="shared" ref="U678" si="1995">+T678*$X$1</f>
        <v>25175.600000000002</v>
      </c>
      <c r="V678" s="546">
        <f>F678+290</f>
        <v>25145.600000000002</v>
      </c>
      <c r="W678" s="256">
        <f t="shared" ref="W678" si="1996">+V678*$X$1</f>
        <v>25145.600000000002</v>
      </c>
      <c r="X678" s="130"/>
      <c r="Y678" s="131"/>
      <c r="Z678" s="131"/>
      <c r="AA678" s="131"/>
      <c r="AB678" s="359" t="s">
        <v>995</v>
      </c>
    </row>
    <row r="679" spans="1:34" ht="12.6" customHeight="1" x14ac:dyDescent="0.2">
      <c r="A679" s="17"/>
      <c r="B679" s="666" t="s">
        <v>354</v>
      </c>
      <c r="C679" s="692"/>
      <c r="D679" s="692"/>
      <c r="E679" s="693"/>
      <c r="F679" s="255">
        <v>1460</v>
      </c>
      <c r="G679" s="234"/>
      <c r="H679" s="536"/>
      <c r="I679" s="255"/>
      <c r="J679" s="536"/>
      <c r="K679" s="255"/>
      <c r="L679" s="537">
        <f>F679+550</f>
        <v>2010</v>
      </c>
      <c r="M679" s="255">
        <f t="shared" ref="M679" si="1997">+L679*$X$1</f>
        <v>2010</v>
      </c>
      <c r="N679" s="537">
        <f>F679+450</f>
        <v>1910</v>
      </c>
      <c r="O679" s="255">
        <f t="shared" ref="O679" si="1998">+N679*$X$1</f>
        <v>1910</v>
      </c>
      <c r="P679" s="536">
        <f>F679+410</f>
        <v>1870</v>
      </c>
      <c r="Q679" s="255">
        <f t="shared" ref="Q679" si="1999">+P679*$X$1</f>
        <v>1870</v>
      </c>
      <c r="R679" s="536">
        <f>F679+360</f>
        <v>1820</v>
      </c>
      <c r="S679" s="255">
        <f t="shared" ref="S679" si="2000">+R679*$X$1</f>
        <v>1820</v>
      </c>
      <c r="T679" s="536">
        <f>F679+320</f>
        <v>1780</v>
      </c>
      <c r="U679" s="255">
        <f t="shared" ref="U679" si="2001">+T679*$X$1</f>
        <v>1780</v>
      </c>
      <c r="V679" s="536">
        <f>F679+290</f>
        <v>1750</v>
      </c>
      <c r="W679" s="255">
        <f t="shared" ref="W679" si="2002">+V679*$X$1</f>
        <v>1750</v>
      </c>
      <c r="X679" s="130"/>
      <c r="Y679" s="131"/>
      <c r="Z679" s="131"/>
      <c r="AA679" s="131"/>
      <c r="AB679" s="30"/>
    </row>
    <row r="680" spans="1:34" ht="12.6" customHeight="1" x14ac:dyDescent="0.2">
      <c r="A680" s="17"/>
      <c r="B680" s="639" t="s">
        <v>994</v>
      </c>
      <c r="C680" s="649"/>
      <c r="D680" s="649"/>
      <c r="E680" s="650"/>
      <c r="F680" s="280">
        <v>4450</v>
      </c>
      <c r="G680" s="269"/>
      <c r="H680" s="398">
        <f>F680+1400</f>
        <v>5850</v>
      </c>
      <c r="I680" s="256">
        <f t="shared" ref="I680" si="2003">+H680*$X$1</f>
        <v>5850</v>
      </c>
      <c r="J680" s="398">
        <f>F680+600</f>
        <v>5050</v>
      </c>
      <c r="K680" s="256">
        <f t="shared" ref="K680" si="2004">+J680*$X$1</f>
        <v>5050</v>
      </c>
      <c r="L680" s="546">
        <f>F680+550</f>
        <v>5000</v>
      </c>
      <c r="M680" s="256">
        <f t="shared" ref="M680" si="2005">+L680*$X$1</f>
        <v>5000</v>
      </c>
      <c r="N680" s="546">
        <f>F680+450</f>
        <v>4900</v>
      </c>
      <c r="O680" s="256">
        <f t="shared" ref="O680" si="2006">+N680*$X$1</f>
        <v>4900</v>
      </c>
      <c r="P680" s="398">
        <f>F680+410</f>
        <v>4860</v>
      </c>
      <c r="Q680" s="256">
        <f t="shared" ref="Q680" si="2007">+P680*$X$1</f>
        <v>4860</v>
      </c>
      <c r="R680" s="398">
        <f>F680+360</f>
        <v>4810</v>
      </c>
      <c r="S680" s="256">
        <f t="shared" ref="S680" si="2008">+R680*$X$1</f>
        <v>4810</v>
      </c>
      <c r="T680" s="398">
        <f>F680+320</f>
        <v>4770</v>
      </c>
      <c r="U680" s="256">
        <f t="shared" ref="U680" si="2009">+T680*$X$1</f>
        <v>4770</v>
      </c>
      <c r="V680" s="398">
        <f>F680+290</f>
        <v>4740</v>
      </c>
      <c r="W680" s="256">
        <f t="shared" ref="W680" si="2010">+V680*$X$1</f>
        <v>4740</v>
      </c>
      <c r="X680" s="130"/>
      <c r="Y680" s="131"/>
      <c r="Z680" s="131"/>
      <c r="AA680" s="131"/>
      <c r="AB680" s="345" t="s">
        <v>705</v>
      </c>
    </row>
    <row r="681" spans="1:34" ht="12.6" customHeight="1" x14ac:dyDescent="0.2">
      <c r="A681" s="17"/>
      <c r="B681" s="906" t="s">
        <v>263</v>
      </c>
      <c r="C681" s="907"/>
      <c r="D681" s="907"/>
      <c r="E681" s="908"/>
      <c r="F681" s="499">
        <v>4200</v>
      </c>
      <c r="G681" s="586"/>
      <c r="H681" s="536"/>
      <c r="I681" s="255"/>
      <c r="J681" s="536">
        <f t="shared" ref="J681:J686" si="2011">F681+600</f>
        <v>4800</v>
      </c>
      <c r="K681" s="255">
        <f t="shared" ref="K681:K686" si="2012">+J681*$X$1</f>
        <v>4800</v>
      </c>
      <c r="L681" s="537">
        <f t="shared" ref="L681:L686" si="2013">F681+550</f>
        <v>4750</v>
      </c>
      <c r="M681" s="255">
        <f t="shared" ref="M681:M686" si="2014">+L681*$X$1</f>
        <v>4750</v>
      </c>
      <c r="N681" s="537">
        <f t="shared" ref="N681:N686" si="2015">F681+450</f>
        <v>4650</v>
      </c>
      <c r="O681" s="255">
        <f t="shared" ref="O681:O686" si="2016">+N681*$X$1</f>
        <v>4650</v>
      </c>
      <c r="P681" s="536">
        <f t="shared" ref="P681:P686" si="2017">F681+410</f>
        <v>4610</v>
      </c>
      <c r="Q681" s="255">
        <f t="shared" ref="Q681:Q686" si="2018">+P681*$X$1</f>
        <v>4610</v>
      </c>
      <c r="R681" s="536">
        <f t="shared" ref="R681:R686" si="2019">F681+360</f>
        <v>4560</v>
      </c>
      <c r="S681" s="255">
        <f t="shared" ref="S681:S686" si="2020">+R681*$X$1</f>
        <v>4560</v>
      </c>
      <c r="T681" s="536">
        <f t="shared" ref="T681:T686" si="2021">F681+320</f>
        <v>4520</v>
      </c>
      <c r="U681" s="255">
        <f t="shared" ref="U681:U686" si="2022">+T681*$X$1</f>
        <v>4520</v>
      </c>
      <c r="V681" s="536">
        <f t="shared" ref="V681:V686" si="2023">F681+290</f>
        <v>4490</v>
      </c>
      <c r="W681" s="255">
        <f t="shared" ref="W681:W686" si="2024">+V681*$X$1</f>
        <v>4490</v>
      </c>
      <c r="X681" s="130"/>
      <c r="Y681" s="131"/>
      <c r="Z681" s="131"/>
      <c r="AA681" s="131"/>
      <c r="AB681" s="345" t="s">
        <v>781</v>
      </c>
    </row>
    <row r="682" spans="1:34" ht="12.6" customHeight="1" x14ac:dyDescent="0.2">
      <c r="A682" s="17"/>
      <c r="B682" s="669" t="s">
        <v>264</v>
      </c>
      <c r="C682" s="670"/>
      <c r="D682" s="670"/>
      <c r="E682" s="670"/>
      <c r="F682" s="256">
        <v>3720</v>
      </c>
      <c r="G682" s="269"/>
      <c r="H682" s="398"/>
      <c r="I682" s="256"/>
      <c r="J682" s="398">
        <f t="shared" si="2011"/>
        <v>4320</v>
      </c>
      <c r="K682" s="256">
        <f t="shared" si="2012"/>
        <v>4320</v>
      </c>
      <c r="L682" s="546">
        <f t="shared" si="2013"/>
        <v>4270</v>
      </c>
      <c r="M682" s="256">
        <f t="shared" si="2014"/>
        <v>4270</v>
      </c>
      <c r="N682" s="546">
        <f t="shared" si="2015"/>
        <v>4170</v>
      </c>
      <c r="O682" s="256">
        <f t="shared" si="2016"/>
        <v>4170</v>
      </c>
      <c r="P682" s="398">
        <f t="shared" si="2017"/>
        <v>4130</v>
      </c>
      <c r="Q682" s="256">
        <f t="shared" si="2018"/>
        <v>4130</v>
      </c>
      <c r="R682" s="398">
        <f t="shared" si="2019"/>
        <v>4080</v>
      </c>
      <c r="S682" s="256">
        <f t="shared" si="2020"/>
        <v>4080</v>
      </c>
      <c r="T682" s="398">
        <f t="shared" si="2021"/>
        <v>4040</v>
      </c>
      <c r="U682" s="256">
        <f t="shared" si="2022"/>
        <v>4040</v>
      </c>
      <c r="V682" s="398">
        <f t="shared" si="2023"/>
        <v>4010</v>
      </c>
      <c r="W682" s="256">
        <f t="shared" si="2024"/>
        <v>4010</v>
      </c>
      <c r="X682" s="130"/>
      <c r="Y682" s="131"/>
      <c r="Z682" s="131"/>
      <c r="AA682" s="131"/>
      <c r="AB682" s="345" t="s">
        <v>706</v>
      </c>
    </row>
    <row r="683" spans="1:34" ht="12.6" customHeight="1" x14ac:dyDescent="0.2">
      <c r="A683" s="17"/>
      <c r="B683" s="666" t="s">
        <v>450</v>
      </c>
      <c r="C683" s="684"/>
      <c r="D683" s="684"/>
      <c r="E683" s="685"/>
      <c r="F683" s="270">
        <v>7500</v>
      </c>
      <c r="G683" s="234"/>
      <c r="H683" s="537">
        <f>F683+1400</f>
        <v>8900</v>
      </c>
      <c r="I683" s="255">
        <f t="shared" ref="I683" si="2025">+H683*$X$1</f>
        <v>8900</v>
      </c>
      <c r="J683" s="537">
        <f t="shared" si="2011"/>
        <v>8100</v>
      </c>
      <c r="K683" s="255">
        <f t="shared" si="2012"/>
        <v>8100</v>
      </c>
      <c r="L683" s="537">
        <f t="shared" si="2013"/>
        <v>8050</v>
      </c>
      <c r="M683" s="255">
        <f t="shared" si="2014"/>
        <v>8050</v>
      </c>
      <c r="N683" s="537">
        <f t="shared" si="2015"/>
        <v>7950</v>
      </c>
      <c r="O683" s="255">
        <f t="shared" si="2016"/>
        <v>7950</v>
      </c>
      <c r="P683" s="537">
        <f t="shared" si="2017"/>
        <v>7910</v>
      </c>
      <c r="Q683" s="255">
        <f t="shared" si="2018"/>
        <v>7910</v>
      </c>
      <c r="R683" s="537">
        <f t="shared" si="2019"/>
        <v>7860</v>
      </c>
      <c r="S683" s="255">
        <f t="shared" si="2020"/>
        <v>7860</v>
      </c>
      <c r="T683" s="537">
        <f t="shared" si="2021"/>
        <v>7820</v>
      </c>
      <c r="U683" s="255">
        <f t="shared" si="2022"/>
        <v>7820</v>
      </c>
      <c r="V683" s="537">
        <f t="shared" si="2023"/>
        <v>7790</v>
      </c>
      <c r="W683" s="255">
        <f t="shared" si="2024"/>
        <v>7790</v>
      </c>
      <c r="X683" s="130"/>
      <c r="Y683" s="131"/>
      <c r="Z683" s="131"/>
      <c r="AA683" s="131"/>
      <c r="AB683" s="30"/>
    </row>
    <row r="684" spans="1:34" ht="12.6" customHeight="1" x14ac:dyDescent="0.2">
      <c r="A684" s="4"/>
      <c r="B684" s="743" t="s">
        <v>397</v>
      </c>
      <c r="C684" s="649"/>
      <c r="D684" s="649"/>
      <c r="E684" s="650"/>
      <c r="F684" s="256">
        <v>2000</v>
      </c>
      <c r="G684" s="269"/>
      <c r="H684" s="546"/>
      <c r="I684" s="256"/>
      <c r="J684" s="546">
        <f t="shared" si="2011"/>
        <v>2600</v>
      </c>
      <c r="K684" s="256">
        <f t="shared" si="2012"/>
        <v>2600</v>
      </c>
      <c r="L684" s="546">
        <f t="shared" si="2013"/>
        <v>2550</v>
      </c>
      <c r="M684" s="256">
        <f t="shared" si="2014"/>
        <v>2550</v>
      </c>
      <c r="N684" s="546">
        <f t="shared" si="2015"/>
        <v>2450</v>
      </c>
      <c r="O684" s="256">
        <f t="shared" si="2016"/>
        <v>2450</v>
      </c>
      <c r="P684" s="546">
        <f t="shared" si="2017"/>
        <v>2410</v>
      </c>
      <c r="Q684" s="256">
        <f t="shared" si="2018"/>
        <v>2410</v>
      </c>
      <c r="R684" s="546">
        <f t="shared" si="2019"/>
        <v>2360</v>
      </c>
      <c r="S684" s="256">
        <f t="shared" si="2020"/>
        <v>2360</v>
      </c>
      <c r="T684" s="546">
        <f t="shared" si="2021"/>
        <v>2320</v>
      </c>
      <c r="U684" s="256">
        <f t="shared" si="2022"/>
        <v>2320</v>
      </c>
      <c r="V684" s="546">
        <f t="shared" si="2023"/>
        <v>2290</v>
      </c>
      <c r="W684" s="256">
        <f t="shared" si="2024"/>
        <v>2290</v>
      </c>
      <c r="X684" s="130"/>
      <c r="Y684" s="119"/>
      <c r="Z684" s="132"/>
      <c r="AA684" s="132"/>
      <c r="AB684" s="345" t="s">
        <v>396</v>
      </c>
    </row>
    <row r="685" spans="1:34" ht="12.6" customHeight="1" x14ac:dyDescent="0.2">
      <c r="A685" s="4"/>
      <c r="B685" s="751" t="s">
        <v>395</v>
      </c>
      <c r="C685" s="684"/>
      <c r="D685" s="684"/>
      <c r="E685" s="685"/>
      <c r="F685" s="255">
        <v>2000</v>
      </c>
      <c r="G685" s="234"/>
      <c r="H685" s="537"/>
      <c r="I685" s="255"/>
      <c r="J685" s="537">
        <f t="shared" si="2011"/>
        <v>2600</v>
      </c>
      <c r="K685" s="255">
        <f t="shared" si="2012"/>
        <v>2600</v>
      </c>
      <c r="L685" s="537">
        <f t="shared" si="2013"/>
        <v>2550</v>
      </c>
      <c r="M685" s="255">
        <f t="shared" si="2014"/>
        <v>2550</v>
      </c>
      <c r="N685" s="537">
        <f t="shared" si="2015"/>
        <v>2450</v>
      </c>
      <c r="O685" s="255">
        <f t="shared" si="2016"/>
        <v>2450</v>
      </c>
      <c r="P685" s="537">
        <f t="shared" si="2017"/>
        <v>2410</v>
      </c>
      <c r="Q685" s="255">
        <f t="shared" si="2018"/>
        <v>2410</v>
      </c>
      <c r="R685" s="537">
        <f t="shared" si="2019"/>
        <v>2360</v>
      </c>
      <c r="S685" s="255">
        <f t="shared" si="2020"/>
        <v>2360</v>
      </c>
      <c r="T685" s="537">
        <f t="shared" si="2021"/>
        <v>2320</v>
      </c>
      <c r="U685" s="255">
        <f t="shared" si="2022"/>
        <v>2320</v>
      </c>
      <c r="V685" s="537">
        <f t="shared" si="2023"/>
        <v>2290</v>
      </c>
      <c r="W685" s="255">
        <f t="shared" si="2024"/>
        <v>2290</v>
      </c>
      <c r="X685" s="130"/>
      <c r="Y685" s="119"/>
      <c r="Z685" s="132"/>
      <c r="AA685" s="132"/>
      <c r="AB685" s="345" t="s">
        <v>392</v>
      </c>
    </row>
    <row r="686" spans="1:34" ht="12.6" customHeight="1" x14ac:dyDescent="0.2">
      <c r="A686" s="4"/>
      <c r="B686" s="743" t="s">
        <v>393</v>
      </c>
      <c r="C686" s="649"/>
      <c r="D686" s="649"/>
      <c r="E686" s="650"/>
      <c r="F686" s="256">
        <v>2900</v>
      </c>
      <c r="G686" s="269"/>
      <c r="H686" s="546"/>
      <c r="I686" s="256"/>
      <c r="J686" s="546">
        <f t="shared" si="2011"/>
        <v>3500</v>
      </c>
      <c r="K686" s="256">
        <f t="shared" si="2012"/>
        <v>3500</v>
      </c>
      <c r="L686" s="546">
        <f t="shared" si="2013"/>
        <v>3450</v>
      </c>
      <c r="M686" s="256">
        <f t="shared" si="2014"/>
        <v>3450</v>
      </c>
      <c r="N686" s="546">
        <f t="shared" si="2015"/>
        <v>3350</v>
      </c>
      <c r="O686" s="256">
        <f t="shared" si="2016"/>
        <v>3350</v>
      </c>
      <c r="P686" s="546">
        <f t="shared" si="2017"/>
        <v>3310</v>
      </c>
      <c r="Q686" s="256">
        <f t="shared" si="2018"/>
        <v>3310</v>
      </c>
      <c r="R686" s="546">
        <f t="shared" si="2019"/>
        <v>3260</v>
      </c>
      <c r="S686" s="256">
        <f t="shared" si="2020"/>
        <v>3260</v>
      </c>
      <c r="T686" s="546">
        <f t="shared" si="2021"/>
        <v>3220</v>
      </c>
      <c r="U686" s="256">
        <f t="shared" si="2022"/>
        <v>3220</v>
      </c>
      <c r="V686" s="546">
        <f t="shared" si="2023"/>
        <v>3190</v>
      </c>
      <c r="W686" s="256">
        <f t="shared" si="2024"/>
        <v>3190</v>
      </c>
      <c r="X686" s="130"/>
      <c r="Y686" s="119"/>
      <c r="Z686" s="132"/>
      <c r="AA686" s="132"/>
      <c r="AB686" s="345" t="s">
        <v>394</v>
      </c>
    </row>
    <row r="687" spans="1:34" ht="12.6" customHeight="1" x14ac:dyDescent="0.2">
      <c r="A687" s="4"/>
      <c r="B687" s="651" t="s">
        <v>937</v>
      </c>
      <c r="C687" s="652"/>
      <c r="D687" s="652"/>
      <c r="E687" s="653"/>
      <c r="F687" s="604">
        <v>3050</v>
      </c>
      <c r="G687" s="605"/>
      <c r="H687" s="606"/>
      <c r="I687" s="604"/>
      <c r="J687" s="606"/>
      <c r="K687" s="604"/>
      <c r="L687" s="606">
        <f t="shared" ref="L687" si="2026">F687+550</f>
        <v>3600</v>
      </c>
      <c r="M687" s="604">
        <f t="shared" ref="M687" si="2027">+L687*$X$1</f>
        <v>3600</v>
      </c>
      <c r="N687" s="606">
        <f t="shared" ref="N687" si="2028">F687+450</f>
        <v>3500</v>
      </c>
      <c r="O687" s="604">
        <f t="shared" ref="O687" si="2029">+N687*$X$1</f>
        <v>3500</v>
      </c>
      <c r="P687" s="606">
        <f t="shared" ref="P687" si="2030">F687+410</f>
        <v>3460</v>
      </c>
      <c r="Q687" s="604">
        <f t="shared" ref="Q687" si="2031">+P687*$X$1</f>
        <v>3460</v>
      </c>
      <c r="R687" s="606">
        <f t="shared" ref="R687" si="2032">F687+360</f>
        <v>3410</v>
      </c>
      <c r="S687" s="604">
        <f t="shared" ref="S687" si="2033">+R687*$X$1</f>
        <v>3410</v>
      </c>
      <c r="T687" s="606">
        <f t="shared" ref="T687" si="2034">F687+320</f>
        <v>3370</v>
      </c>
      <c r="U687" s="604">
        <f t="shared" ref="U687" si="2035">+T687*$X$1</f>
        <v>3370</v>
      </c>
      <c r="V687" s="606">
        <f t="shared" ref="V687" si="2036">F687+290</f>
        <v>3340</v>
      </c>
      <c r="W687" s="604">
        <f t="shared" ref="W687" si="2037">+V687*$X$1</f>
        <v>3340</v>
      </c>
      <c r="X687" s="130"/>
      <c r="Y687" s="119"/>
      <c r="Z687" s="132"/>
      <c r="AA687" s="132"/>
      <c r="AB687" s="345"/>
    </row>
    <row r="688" spans="1:34" ht="12.6" customHeight="1" x14ac:dyDescent="0.2">
      <c r="A688" s="4"/>
      <c r="B688" s="763" t="s">
        <v>265</v>
      </c>
      <c r="C688" s="682"/>
      <c r="D688" s="682"/>
      <c r="E688" s="682"/>
      <c r="F688" s="90"/>
      <c r="G688" s="85"/>
      <c r="H688" s="546"/>
      <c r="I688" s="546"/>
      <c r="J688" s="546"/>
      <c r="K688" s="546"/>
      <c r="L688" s="546"/>
      <c r="M688" s="546"/>
      <c r="N688" s="546"/>
      <c r="O688" s="546"/>
      <c r="P688" s="546"/>
      <c r="Q688" s="546"/>
      <c r="R688" s="546"/>
      <c r="S688" s="546"/>
      <c r="T688" s="546"/>
      <c r="U688" s="546"/>
      <c r="V688" s="546"/>
      <c r="W688" s="546"/>
      <c r="X688" s="127"/>
      <c r="Y688" s="122"/>
      <c r="Z688" s="128"/>
      <c r="AA688" s="129"/>
      <c r="AB688" s="345">
        <v>986</v>
      </c>
    </row>
    <row r="689" spans="1:38" ht="12.6" customHeight="1" x14ac:dyDescent="0.2">
      <c r="A689" s="4"/>
      <c r="B689" s="757" t="s">
        <v>323</v>
      </c>
      <c r="C689" s="703"/>
      <c r="D689" s="703"/>
      <c r="E689" s="703"/>
      <c r="F689" s="334"/>
      <c r="G689" s="87"/>
      <c r="H689" s="537"/>
      <c r="I689" s="537"/>
      <c r="J689" s="537"/>
      <c r="K689" s="537"/>
      <c r="L689" s="537"/>
      <c r="M689" s="537"/>
      <c r="N689" s="537"/>
      <c r="O689" s="537"/>
      <c r="P689" s="537"/>
      <c r="Q689" s="537"/>
      <c r="R689" s="537"/>
      <c r="S689" s="537"/>
      <c r="T689" s="537"/>
      <c r="U689" s="537"/>
      <c r="V689" s="537"/>
      <c r="W689" s="537"/>
      <c r="X689" s="127"/>
      <c r="Y689" s="122"/>
      <c r="Z689" s="128"/>
      <c r="AA689" s="129"/>
      <c r="AB689" s="345">
        <v>987</v>
      </c>
    </row>
    <row r="690" spans="1:38" ht="12.6" customHeight="1" x14ac:dyDescent="0.2">
      <c r="A690" s="4"/>
      <c r="B690" s="763" t="s">
        <v>266</v>
      </c>
      <c r="C690" s="643"/>
      <c r="D690" s="643"/>
      <c r="E690" s="643"/>
      <c r="F690" s="546"/>
      <c r="G690" s="85"/>
      <c r="H690" s="546"/>
      <c r="I690" s="546"/>
      <c r="J690" s="546"/>
      <c r="K690" s="546"/>
      <c r="L690" s="546"/>
      <c r="M690" s="546"/>
      <c r="N690" s="546"/>
      <c r="O690" s="546"/>
      <c r="P690" s="546"/>
      <c r="Q690" s="546"/>
      <c r="R690" s="546"/>
      <c r="S690" s="546"/>
      <c r="T690" s="546"/>
      <c r="U690" s="546"/>
      <c r="V690" s="546"/>
      <c r="W690" s="546"/>
      <c r="X690" s="127"/>
      <c r="Y690" s="122"/>
      <c r="Z690" s="128"/>
      <c r="AA690" s="129"/>
      <c r="AB690" s="345">
        <v>989</v>
      </c>
    </row>
    <row r="691" spans="1:38" ht="13.5" customHeight="1" x14ac:dyDescent="0.2">
      <c r="A691" s="4"/>
      <c r="B691" s="98"/>
      <c r="C691" s="184"/>
      <c r="D691" s="184"/>
      <c r="E691" s="184"/>
      <c r="F691" s="106"/>
      <c r="G691" s="106"/>
      <c r="H691" s="106"/>
      <c r="I691" s="106"/>
      <c r="J691" s="106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85"/>
      <c r="Y691" s="71"/>
      <c r="Z691" s="186"/>
      <c r="AA691" s="186"/>
      <c r="AB691" s="36"/>
    </row>
    <row r="692" spans="1:38" ht="15.75" customHeight="1" x14ac:dyDescent="0.2">
      <c r="B692" s="741" t="s">
        <v>267</v>
      </c>
      <c r="C692" s="742"/>
      <c r="D692" s="742"/>
      <c r="E692" s="742"/>
      <c r="F692" s="742"/>
      <c r="G692" s="742"/>
      <c r="H692" s="742"/>
      <c r="I692" s="742"/>
      <c r="J692" s="742"/>
      <c r="K692" s="742"/>
      <c r="L692" s="742"/>
      <c r="M692" s="742"/>
      <c r="N692" s="742"/>
      <c r="O692" s="742"/>
      <c r="P692" s="742"/>
      <c r="Q692" s="742"/>
      <c r="R692" s="742"/>
      <c r="S692" s="742"/>
      <c r="T692" s="794"/>
      <c r="U692" s="794"/>
      <c r="V692" s="795"/>
      <c r="W692" s="795"/>
      <c r="AB692" s="4"/>
    </row>
    <row r="693" spans="1:38" ht="14.25" customHeight="1" x14ac:dyDescent="0.2">
      <c r="B693" s="739" t="s">
        <v>11</v>
      </c>
      <c r="C693" s="739" t="s">
        <v>12</v>
      </c>
      <c r="D693" s="740"/>
      <c r="E693" s="740"/>
      <c r="F693" s="644" t="s">
        <v>259</v>
      </c>
      <c r="G693" s="644" t="s">
        <v>13</v>
      </c>
      <c r="H693" s="632" t="s">
        <v>726</v>
      </c>
      <c r="I693" s="632"/>
      <c r="J693" s="633"/>
      <c r="K693" s="633"/>
      <c r="L693" s="633"/>
      <c r="M693" s="633"/>
      <c r="N693" s="633"/>
      <c r="O693" s="633"/>
      <c r="P693" s="633"/>
      <c r="Q693" s="633"/>
      <c r="R693" s="633"/>
      <c r="S693" s="633"/>
      <c r="T693" s="633"/>
      <c r="U693" s="633"/>
      <c r="V693" s="633"/>
      <c r="W693" s="633"/>
      <c r="X693" s="658" t="s">
        <v>14</v>
      </c>
      <c r="Y693" s="764"/>
      <c r="Z693" s="764"/>
      <c r="AA693" s="765"/>
      <c r="AB693" s="760" t="s">
        <v>15</v>
      </c>
      <c r="AF693" s="748" t="s">
        <v>3</v>
      </c>
      <c r="AG693" s="749"/>
      <c r="AH693" s="749"/>
    </row>
    <row r="694" spans="1:38" ht="12" customHeight="1" x14ac:dyDescent="0.2">
      <c r="B694" s="740"/>
      <c r="C694" s="740"/>
      <c r="D694" s="740"/>
      <c r="E694" s="740"/>
      <c r="F694" s="645"/>
      <c r="G694" s="645"/>
      <c r="H694" s="404"/>
      <c r="I694" s="405" t="s">
        <v>510</v>
      </c>
      <c r="J694" s="404"/>
      <c r="K694" s="405" t="s">
        <v>260</v>
      </c>
      <c r="L694" s="405"/>
      <c r="M694" s="405" t="s">
        <v>261</v>
      </c>
      <c r="N694" s="405"/>
      <c r="O694" s="405" t="s">
        <v>512</v>
      </c>
      <c r="P694" s="405"/>
      <c r="Q694" s="405" t="s">
        <v>17</v>
      </c>
      <c r="R694" s="405"/>
      <c r="S694" s="405" t="s">
        <v>18</v>
      </c>
      <c r="T694" s="405"/>
      <c r="U694" s="405" t="s">
        <v>19</v>
      </c>
      <c r="V694" s="405"/>
      <c r="W694" s="405" t="s">
        <v>513</v>
      </c>
      <c r="X694" s="766"/>
      <c r="Y694" s="767"/>
      <c r="Z694" s="767"/>
      <c r="AA694" s="768"/>
      <c r="AB694" s="761"/>
    </row>
    <row r="695" spans="1:38" ht="12.6" customHeight="1" x14ac:dyDescent="0.2">
      <c r="B695" s="746" t="s">
        <v>678</v>
      </c>
      <c r="C695" s="746"/>
      <c r="D695" s="746"/>
      <c r="E695" s="746"/>
      <c r="F695" s="587">
        <f>21.73*X2</f>
        <v>33464.199999999997</v>
      </c>
      <c r="G695" s="280">
        <f>+F695*$X$1</f>
        <v>33464.199999999997</v>
      </c>
      <c r="H695" s="92">
        <f>F695+4000</f>
        <v>37464.199999999997</v>
      </c>
      <c r="I695" s="280">
        <f t="shared" ref="I695" si="2038">+H695*$X$1</f>
        <v>37464.199999999997</v>
      </c>
      <c r="J695" s="82">
        <f>F695+1000</f>
        <v>34464.199999999997</v>
      </c>
      <c r="K695" s="256">
        <f>+J695*$X$1</f>
        <v>34464.199999999997</v>
      </c>
      <c r="L695" s="546">
        <f>F695+650</f>
        <v>34114.199999999997</v>
      </c>
      <c r="M695" s="256">
        <f>+L695*$X$1</f>
        <v>34114.199999999997</v>
      </c>
      <c r="N695" s="546">
        <f>F695+500</f>
        <v>33964.199999999997</v>
      </c>
      <c r="O695" s="256">
        <f>+N695*$X$1</f>
        <v>33964.199999999997</v>
      </c>
      <c r="P695" s="546">
        <f>F695+400</f>
        <v>33864.199999999997</v>
      </c>
      <c r="Q695" s="256">
        <f>+P695*$X$1</f>
        <v>33864.199999999997</v>
      </c>
      <c r="R695" s="546">
        <f>F695+330</f>
        <v>33794.199999999997</v>
      </c>
      <c r="S695" s="256">
        <f>+R695*$X$1</f>
        <v>33794.199999999997</v>
      </c>
      <c r="T695" s="546">
        <f>F695+280</f>
        <v>33744.199999999997</v>
      </c>
      <c r="U695" s="256">
        <f>+T695*$X$1</f>
        <v>33744.199999999997</v>
      </c>
      <c r="V695" s="546">
        <f>F695+230</f>
        <v>33694.199999999997</v>
      </c>
      <c r="W695" s="256">
        <f>+V695*$X$1</f>
        <v>33694.199999999997</v>
      </c>
      <c r="X695" s="395"/>
      <c r="Y695" s="124"/>
      <c r="Z695" s="122"/>
      <c r="AA695" s="125"/>
      <c r="AB695" s="365" t="s">
        <v>679</v>
      </c>
    </row>
    <row r="696" spans="1:38" ht="12.6" customHeight="1" x14ac:dyDescent="0.2">
      <c r="B696" s="757" t="s">
        <v>268</v>
      </c>
      <c r="C696" s="757"/>
      <c r="D696" s="757"/>
      <c r="E696" s="757"/>
      <c r="F696" s="105"/>
      <c r="G696" s="537"/>
      <c r="H696" s="91"/>
      <c r="I696" s="91"/>
      <c r="J696" s="537"/>
      <c r="K696" s="537"/>
      <c r="L696" s="537"/>
      <c r="M696" s="537"/>
      <c r="N696" s="103"/>
      <c r="O696" s="537"/>
      <c r="P696" s="537"/>
      <c r="Q696" s="537"/>
      <c r="R696" s="537"/>
      <c r="S696" s="537"/>
      <c r="T696" s="537"/>
      <c r="U696" s="537"/>
      <c r="V696" s="251"/>
      <c r="W696" s="496"/>
      <c r="X696" s="122"/>
      <c r="Y696" s="122"/>
      <c r="Z696" s="122"/>
      <c r="AA696" s="125"/>
      <c r="AB696" s="364" t="s">
        <v>269</v>
      </c>
    </row>
    <row r="697" spans="1:38" ht="12.6" customHeight="1" x14ac:dyDescent="0.2">
      <c r="B697" s="763" t="s">
        <v>270</v>
      </c>
      <c r="C697" s="763"/>
      <c r="D697" s="763"/>
      <c r="E697" s="763"/>
      <c r="F697" s="392"/>
      <c r="G697" s="546"/>
      <c r="H697" s="95"/>
      <c r="I697" s="95"/>
      <c r="J697" s="546"/>
      <c r="K697" s="546"/>
      <c r="L697" s="546"/>
      <c r="M697" s="546"/>
      <c r="N697" s="104"/>
      <c r="O697" s="546"/>
      <c r="P697" s="546"/>
      <c r="Q697" s="546"/>
      <c r="R697" s="546"/>
      <c r="S697" s="546"/>
      <c r="T697" s="546"/>
      <c r="U697" s="546"/>
      <c r="V697" s="250"/>
      <c r="W697" s="495"/>
      <c r="X697" s="122"/>
      <c r="Y697" s="122"/>
      <c r="Z697" s="122"/>
      <c r="AA697" s="125"/>
      <c r="AB697" s="364" t="s">
        <v>271</v>
      </c>
    </row>
    <row r="698" spans="1:38" ht="12.6" customHeight="1" x14ac:dyDescent="0.2">
      <c r="B698" s="757" t="s">
        <v>648</v>
      </c>
      <c r="C698" s="757"/>
      <c r="D698" s="757"/>
      <c r="E698" s="757"/>
      <c r="F698" s="393">
        <f>20.59*X2</f>
        <v>31708.6</v>
      </c>
      <c r="G698" s="255">
        <f>+F698*$X$1</f>
        <v>31708.6</v>
      </c>
      <c r="H698" s="537">
        <f>F698+4000</f>
        <v>35708.6</v>
      </c>
      <c r="I698" s="255">
        <f t="shared" ref="I698" si="2039">+H698*$X$1</f>
        <v>35708.6</v>
      </c>
      <c r="J698" s="537">
        <f>F698+1000</f>
        <v>32708.6</v>
      </c>
      <c r="K698" s="255">
        <f t="shared" ref="K698" si="2040">+J698*$X$1</f>
        <v>32708.6</v>
      </c>
      <c r="L698" s="537">
        <f>F698+700</f>
        <v>32408.6</v>
      </c>
      <c r="M698" s="255">
        <f t="shared" ref="M698" si="2041">+L698*$X$1</f>
        <v>32408.6</v>
      </c>
      <c r="N698" s="537">
        <f>F698+600</f>
        <v>32308.6</v>
      </c>
      <c r="O698" s="255">
        <f t="shared" ref="O698" si="2042">+N698*$X$1</f>
        <v>32308.6</v>
      </c>
      <c r="P698" s="537">
        <f>F698+500</f>
        <v>32208.6</v>
      </c>
      <c r="Q698" s="255">
        <f t="shared" ref="Q698" si="2043">+P698*$X$1</f>
        <v>32208.6</v>
      </c>
      <c r="R698" s="537">
        <f>F698+430</f>
        <v>32138.6</v>
      </c>
      <c r="S698" s="255">
        <f t="shared" ref="S698" si="2044">+R698*$X$1</f>
        <v>32138.6</v>
      </c>
      <c r="T698" s="537">
        <f>F698+370</f>
        <v>32078.6</v>
      </c>
      <c r="U698" s="255">
        <f t="shared" ref="U698" si="2045">+T698*$X$1</f>
        <v>32078.6</v>
      </c>
      <c r="V698" s="537">
        <f>F698+310</f>
        <v>32018.6</v>
      </c>
      <c r="W698" s="255">
        <f t="shared" ref="W698" si="2046">+V698*$X$1</f>
        <v>32018.6</v>
      </c>
      <c r="X698" s="389"/>
      <c r="Y698" s="124"/>
      <c r="Z698" s="122"/>
      <c r="AA698" s="125"/>
      <c r="AB698" s="364" t="s">
        <v>649</v>
      </c>
    </row>
    <row r="699" spans="1:38" ht="12.6" customHeight="1" x14ac:dyDescent="0.2">
      <c r="B699" s="763" t="s">
        <v>776</v>
      </c>
      <c r="C699" s="763"/>
      <c r="D699" s="763"/>
      <c r="E699" s="763"/>
      <c r="F699" s="394">
        <f>22.35*X2</f>
        <v>34419</v>
      </c>
      <c r="G699" s="256">
        <f>+F699*$X$1</f>
        <v>34419</v>
      </c>
      <c r="H699" s="92"/>
      <c r="I699" s="280"/>
      <c r="J699" s="92">
        <f>F699+1200</f>
        <v>35619</v>
      </c>
      <c r="K699" s="280">
        <f t="shared" ref="K699:K700" si="2047">+J699*$X$1</f>
        <v>35619</v>
      </c>
      <c r="L699" s="92">
        <f>F699+900</f>
        <v>35319</v>
      </c>
      <c r="M699" s="280">
        <f t="shared" ref="M699:M700" si="2048">+L699*$X$1</f>
        <v>35319</v>
      </c>
      <c r="N699" s="92">
        <f>F699+700</f>
        <v>35119</v>
      </c>
      <c r="O699" s="280">
        <f t="shared" ref="O699:O700" si="2049">+N699*$X$1</f>
        <v>35119</v>
      </c>
      <c r="P699" s="92">
        <f>F699+620</f>
        <v>35039</v>
      </c>
      <c r="Q699" s="280">
        <f t="shared" ref="Q699:Q700" si="2050">+P699*$X$1</f>
        <v>35039</v>
      </c>
      <c r="R699" s="92"/>
      <c r="S699" s="280"/>
      <c r="T699" s="92"/>
      <c r="U699" s="280"/>
      <c r="V699" s="92"/>
      <c r="W699" s="280"/>
      <c r="X699" s="446"/>
      <c r="Y699" s="124"/>
      <c r="Z699" s="122"/>
      <c r="AA699" s="125"/>
      <c r="AB699" s="364" t="s">
        <v>775</v>
      </c>
    </row>
    <row r="700" spans="1:38" ht="12.6" customHeight="1" x14ac:dyDescent="0.2">
      <c r="B700" s="757" t="s">
        <v>650</v>
      </c>
      <c r="C700" s="757"/>
      <c r="D700" s="757"/>
      <c r="E700" s="757"/>
      <c r="F700" s="393">
        <f>38.5*X2</f>
        <v>59290</v>
      </c>
      <c r="G700" s="255">
        <f>+F700*$X$1</f>
        <v>59290</v>
      </c>
      <c r="H700" s="537">
        <f>F700+4000</f>
        <v>63290</v>
      </c>
      <c r="I700" s="255">
        <f t="shared" ref="I700" si="2051">+H700*$X$1</f>
        <v>63290</v>
      </c>
      <c r="J700" s="537">
        <f>F700+1000</f>
        <v>60290</v>
      </c>
      <c r="K700" s="255">
        <f t="shared" si="2047"/>
        <v>60290</v>
      </c>
      <c r="L700" s="537">
        <f>F700+700</f>
        <v>59990</v>
      </c>
      <c r="M700" s="255">
        <f t="shared" si="2048"/>
        <v>59990</v>
      </c>
      <c r="N700" s="537">
        <f>F700+600</f>
        <v>59890</v>
      </c>
      <c r="O700" s="255">
        <f t="shared" si="2049"/>
        <v>59890</v>
      </c>
      <c r="P700" s="537">
        <f>F700+500</f>
        <v>59790</v>
      </c>
      <c r="Q700" s="255">
        <f t="shared" si="2050"/>
        <v>59790</v>
      </c>
      <c r="R700" s="537">
        <f>F700+430</f>
        <v>59720</v>
      </c>
      <c r="S700" s="255">
        <f t="shared" ref="S700" si="2052">+R700*$X$1</f>
        <v>59720</v>
      </c>
      <c r="T700" s="537">
        <f>F700+370</f>
        <v>59660</v>
      </c>
      <c r="U700" s="255">
        <f t="shared" ref="U700" si="2053">+T700*$X$1</f>
        <v>59660</v>
      </c>
      <c r="V700" s="537">
        <f>F700+310</f>
        <v>59600</v>
      </c>
      <c r="W700" s="255">
        <f t="shared" ref="W700" si="2054">+V700*$X$1</f>
        <v>59600</v>
      </c>
      <c r="X700" s="389"/>
      <c r="Y700" s="124"/>
      <c r="Z700" s="122"/>
      <c r="AA700" s="125"/>
      <c r="AB700" s="364" t="s">
        <v>651</v>
      </c>
    </row>
    <row r="701" spans="1:38" ht="12.6" customHeight="1" x14ac:dyDescent="0.2">
      <c r="B701" s="763" t="s">
        <v>272</v>
      </c>
      <c r="C701" s="763"/>
      <c r="D701" s="763"/>
      <c r="E701" s="763"/>
      <c r="F701" s="392"/>
      <c r="G701" s="546"/>
      <c r="H701" s="95"/>
      <c r="I701" s="95"/>
      <c r="J701" s="546"/>
      <c r="K701" s="546"/>
      <c r="L701" s="546"/>
      <c r="M701" s="546"/>
      <c r="N701" s="546"/>
      <c r="O701" s="546"/>
      <c r="P701" s="104"/>
      <c r="Q701" s="546"/>
      <c r="R701" s="104"/>
      <c r="S701" s="546"/>
      <c r="T701" s="104"/>
      <c r="U701" s="546"/>
      <c r="V701" s="250"/>
      <c r="W701" s="497"/>
      <c r="X701" s="150"/>
      <c r="Y701" s="150"/>
      <c r="Z701" s="150"/>
      <c r="AA701" s="151"/>
      <c r="AB701" s="364" t="s">
        <v>273</v>
      </c>
    </row>
    <row r="702" spans="1:38" ht="12.6" customHeight="1" x14ac:dyDescent="0.2">
      <c r="B702" s="757" t="s">
        <v>274</v>
      </c>
      <c r="C702" s="757"/>
      <c r="D702" s="757"/>
      <c r="E702" s="757"/>
      <c r="F702" s="105"/>
      <c r="G702" s="537"/>
      <c r="H702" s="91"/>
      <c r="I702" s="91"/>
      <c r="J702" s="537"/>
      <c r="K702" s="537"/>
      <c r="L702" s="537"/>
      <c r="M702" s="537"/>
      <c r="N702" s="537"/>
      <c r="O702" s="537"/>
      <c r="P702" s="103"/>
      <c r="Q702" s="537"/>
      <c r="R702" s="103"/>
      <c r="S702" s="537"/>
      <c r="T702" s="103"/>
      <c r="U702" s="537"/>
      <c r="V702" s="251"/>
      <c r="W702" s="498"/>
      <c r="X702" s="150"/>
      <c r="Y702" s="150"/>
      <c r="Z702" s="150"/>
      <c r="AA702" s="151"/>
      <c r="AB702" s="364" t="s">
        <v>275</v>
      </c>
    </row>
    <row r="703" spans="1:38" ht="12.6" customHeight="1" x14ac:dyDescent="0.2">
      <c r="B703" s="763" t="s">
        <v>276</v>
      </c>
      <c r="C703" s="763"/>
      <c r="D703" s="763"/>
      <c r="E703" s="763"/>
      <c r="F703" s="392"/>
      <c r="G703" s="546"/>
      <c r="H703" s="95"/>
      <c r="I703" s="95"/>
      <c r="J703" s="546"/>
      <c r="K703" s="546"/>
      <c r="L703" s="546"/>
      <c r="M703" s="546"/>
      <c r="N703" s="546"/>
      <c r="O703" s="546"/>
      <c r="P703" s="104"/>
      <c r="Q703" s="546"/>
      <c r="R703" s="104"/>
      <c r="S703" s="546"/>
      <c r="T703" s="104"/>
      <c r="U703" s="546"/>
      <c r="V703" s="250"/>
      <c r="W703" s="497"/>
      <c r="X703" s="124"/>
      <c r="Y703" s="124"/>
      <c r="Z703" s="124"/>
      <c r="AA703" s="124"/>
      <c r="AB703" s="364" t="s">
        <v>378</v>
      </c>
    </row>
    <row r="704" spans="1:38" s="1" customFormat="1" ht="12.6" customHeight="1" x14ac:dyDescent="0.2">
      <c r="A704" s="18"/>
      <c r="B704" s="630" t="s">
        <v>180</v>
      </c>
      <c r="C704" s="631"/>
      <c r="D704" s="631"/>
      <c r="E704" s="631"/>
      <c r="F704" s="255">
        <v>4780</v>
      </c>
      <c r="G704" s="257">
        <f t="shared" ref="G704:G705" si="2055">+F704*$X$1</f>
        <v>4780</v>
      </c>
      <c r="H704" s="537"/>
      <c r="I704" s="255"/>
      <c r="J704" s="68"/>
      <c r="K704" s="255"/>
      <c r="L704" s="537"/>
      <c r="M704" s="255"/>
      <c r="N704" s="537"/>
      <c r="O704" s="255"/>
      <c r="P704" s="537">
        <f t="shared" ref="P704:P711" si="2056">F704+400</f>
        <v>5180</v>
      </c>
      <c r="Q704" s="255">
        <f t="shared" ref="Q704:Q711" si="2057">+P704*$X$1</f>
        <v>5180</v>
      </c>
      <c r="R704" s="537">
        <f t="shared" ref="R704:R711" si="2058">F704+330</f>
        <v>5110</v>
      </c>
      <c r="S704" s="255">
        <f t="shared" ref="S704:S711" si="2059">+R704*$X$1</f>
        <v>5110</v>
      </c>
      <c r="T704" s="537">
        <f t="shared" ref="T704:T711" si="2060">F704+280</f>
        <v>5060</v>
      </c>
      <c r="U704" s="255">
        <f t="shared" ref="U704:U711" si="2061">+T704*$X$1</f>
        <v>5060</v>
      </c>
      <c r="V704" s="537">
        <f t="shared" ref="V704:V711" si="2062">F704+220</f>
        <v>5000</v>
      </c>
      <c r="W704" s="255">
        <f t="shared" ref="W704:W711" si="2063">+V704*$X$1</f>
        <v>5000</v>
      </c>
      <c r="X704" s="627"/>
      <c r="Y704" s="634"/>
      <c r="Z704" s="634"/>
      <c r="AA704" s="629"/>
      <c r="AB704" s="178">
        <v>965</v>
      </c>
      <c r="AC704" s="4"/>
      <c r="AD704" s="4"/>
      <c r="AE704" s="4"/>
      <c r="AF704" s="4"/>
      <c r="AG704" s="4"/>
      <c r="AH704" s="4"/>
      <c r="AI704" s="4"/>
      <c r="AJ704" s="4"/>
      <c r="AK704" s="4"/>
      <c r="AL704" s="4"/>
    </row>
    <row r="705" spans="1:38" s="1" customFormat="1" ht="12.6" customHeight="1" x14ac:dyDescent="0.2">
      <c r="A705" s="18"/>
      <c r="B705" s="639" t="s">
        <v>181</v>
      </c>
      <c r="C705" s="649"/>
      <c r="D705" s="649"/>
      <c r="E705" s="650"/>
      <c r="F705" s="256">
        <v>7340</v>
      </c>
      <c r="G705" s="258">
        <f t="shared" si="2055"/>
        <v>7340</v>
      </c>
      <c r="H705" s="540"/>
      <c r="I705" s="256"/>
      <c r="J705" s="82"/>
      <c r="K705" s="256"/>
      <c r="L705" s="540"/>
      <c r="M705" s="256"/>
      <c r="N705" s="540"/>
      <c r="O705" s="256"/>
      <c r="P705" s="540">
        <f t="shared" si="2056"/>
        <v>7740</v>
      </c>
      <c r="Q705" s="256">
        <f t="shared" si="2057"/>
        <v>7740</v>
      </c>
      <c r="R705" s="540">
        <f t="shared" si="2058"/>
        <v>7670</v>
      </c>
      <c r="S705" s="256">
        <f t="shared" si="2059"/>
        <v>7670</v>
      </c>
      <c r="T705" s="540">
        <f t="shared" si="2060"/>
        <v>7620</v>
      </c>
      <c r="U705" s="256">
        <f t="shared" si="2061"/>
        <v>7620</v>
      </c>
      <c r="V705" s="540">
        <f t="shared" si="2062"/>
        <v>7560</v>
      </c>
      <c r="W705" s="256">
        <f t="shared" si="2063"/>
        <v>7560</v>
      </c>
      <c r="X705" s="141"/>
      <c r="Y705" s="142"/>
      <c r="Z705" s="142"/>
      <c r="AA705" s="143"/>
      <c r="AB705" s="357">
        <v>967</v>
      </c>
      <c r="AC705" s="4"/>
      <c r="AD705" s="4"/>
      <c r="AE705" s="4"/>
      <c r="AF705" s="4"/>
      <c r="AG705" s="4"/>
      <c r="AH705" s="4"/>
      <c r="AI705" s="4"/>
      <c r="AJ705" s="4"/>
      <c r="AK705" s="4"/>
      <c r="AL705" s="4"/>
    </row>
    <row r="706" spans="1:38" s="1" customFormat="1" ht="12.6" customHeight="1" x14ac:dyDescent="0.2">
      <c r="A706" s="18"/>
      <c r="B706" s="666" t="s">
        <v>317</v>
      </c>
      <c r="C706" s="684"/>
      <c r="D706" s="684"/>
      <c r="E706" s="685"/>
      <c r="F706" s="255">
        <v>4485</v>
      </c>
      <c r="G706" s="257">
        <f t="shared" ref="G706" si="2064">+F706*$X$1</f>
        <v>4485</v>
      </c>
      <c r="H706" s="537"/>
      <c r="I706" s="255"/>
      <c r="J706" s="68"/>
      <c r="K706" s="255"/>
      <c r="L706" s="537"/>
      <c r="M706" s="255"/>
      <c r="N706" s="537"/>
      <c r="O706" s="255"/>
      <c r="P706" s="537">
        <f t="shared" si="2056"/>
        <v>4885</v>
      </c>
      <c r="Q706" s="255">
        <f t="shared" si="2057"/>
        <v>4885</v>
      </c>
      <c r="R706" s="537">
        <f t="shared" si="2058"/>
        <v>4815</v>
      </c>
      <c r="S706" s="255">
        <f t="shared" si="2059"/>
        <v>4815</v>
      </c>
      <c r="T706" s="537">
        <f t="shared" si="2060"/>
        <v>4765</v>
      </c>
      <c r="U706" s="255">
        <f t="shared" si="2061"/>
        <v>4765</v>
      </c>
      <c r="V706" s="537">
        <f t="shared" si="2062"/>
        <v>4705</v>
      </c>
      <c r="W706" s="255">
        <f t="shared" si="2063"/>
        <v>4705</v>
      </c>
      <c r="X706" s="627"/>
      <c r="Y706" s="634"/>
      <c r="Z706" s="634"/>
      <c r="AA706" s="629"/>
      <c r="AB706" s="357">
        <v>968</v>
      </c>
      <c r="AC706" s="4"/>
      <c r="AD706" s="4"/>
      <c r="AE706" s="4"/>
      <c r="AF706" s="4"/>
      <c r="AG706" s="4"/>
      <c r="AH706" s="4"/>
      <c r="AI706" s="4"/>
      <c r="AJ706" s="4"/>
      <c r="AK706" s="4"/>
      <c r="AL706" s="4"/>
    </row>
    <row r="707" spans="1:38" s="1" customFormat="1" ht="12.6" customHeight="1" x14ac:dyDescent="0.2">
      <c r="A707" s="18"/>
      <c r="B707" s="642" t="s">
        <v>182</v>
      </c>
      <c r="C707" s="643"/>
      <c r="D707" s="643"/>
      <c r="E707" s="643"/>
      <c r="F707" s="256">
        <v>12106</v>
      </c>
      <c r="G707" s="258">
        <f t="shared" ref="G707" si="2065">+F707*$X$1</f>
        <v>12106</v>
      </c>
      <c r="H707" s="540"/>
      <c r="I707" s="256"/>
      <c r="J707" s="82"/>
      <c r="K707" s="256"/>
      <c r="L707" s="540"/>
      <c r="M707" s="256"/>
      <c r="N707" s="540"/>
      <c r="O707" s="256"/>
      <c r="P707" s="540">
        <f t="shared" si="2056"/>
        <v>12506</v>
      </c>
      <c r="Q707" s="256">
        <f t="shared" si="2057"/>
        <v>12506</v>
      </c>
      <c r="R707" s="540">
        <f t="shared" si="2058"/>
        <v>12436</v>
      </c>
      <c r="S707" s="256">
        <f t="shared" si="2059"/>
        <v>12436</v>
      </c>
      <c r="T707" s="540">
        <f t="shared" si="2060"/>
        <v>12386</v>
      </c>
      <c r="U707" s="256">
        <f t="shared" si="2061"/>
        <v>12386</v>
      </c>
      <c r="V707" s="540">
        <f t="shared" si="2062"/>
        <v>12326</v>
      </c>
      <c r="W707" s="256">
        <f t="shared" si="2063"/>
        <v>12326</v>
      </c>
      <c r="X707" s="627"/>
      <c r="Y707" s="634"/>
      <c r="Z707" s="634"/>
      <c r="AA707" s="629"/>
      <c r="AB707" s="357">
        <v>969</v>
      </c>
      <c r="AC707" s="4"/>
      <c r="AD707" s="4"/>
      <c r="AE707" s="4"/>
      <c r="AF707" s="4"/>
      <c r="AG707" s="4"/>
      <c r="AH707" s="4"/>
      <c r="AI707" s="4"/>
      <c r="AJ707" s="4"/>
      <c r="AK707" s="4"/>
      <c r="AL707" s="4"/>
    </row>
    <row r="708" spans="1:38" s="1" customFormat="1" ht="12.6" customHeight="1" x14ac:dyDescent="0.2">
      <c r="A708" s="18"/>
      <c r="B708" s="666" t="s">
        <v>334</v>
      </c>
      <c r="C708" s="684"/>
      <c r="D708" s="684"/>
      <c r="E708" s="685"/>
      <c r="F708" s="255">
        <v>11100</v>
      </c>
      <c r="G708" s="257">
        <f t="shared" ref="G708" si="2066">+F708*$X$1</f>
        <v>11100</v>
      </c>
      <c r="H708" s="537"/>
      <c r="I708" s="255"/>
      <c r="J708" s="68"/>
      <c r="K708" s="255"/>
      <c r="L708" s="537"/>
      <c r="M708" s="255"/>
      <c r="N708" s="537"/>
      <c r="O708" s="255"/>
      <c r="P708" s="537">
        <f t="shared" si="2056"/>
        <v>11500</v>
      </c>
      <c r="Q708" s="255">
        <f t="shared" si="2057"/>
        <v>11500</v>
      </c>
      <c r="R708" s="537">
        <f t="shared" si="2058"/>
        <v>11430</v>
      </c>
      <c r="S708" s="255">
        <f t="shared" si="2059"/>
        <v>11430</v>
      </c>
      <c r="T708" s="537">
        <f t="shared" si="2060"/>
        <v>11380</v>
      </c>
      <c r="U708" s="255">
        <f t="shared" si="2061"/>
        <v>11380</v>
      </c>
      <c r="V708" s="537">
        <f t="shared" si="2062"/>
        <v>11320</v>
      </c>
      <c r="W708" s="255">
        <f t="shared" si="2063"/>
        <v>11320</v>
      </c>
      <c r="X708" s="199"/>
      <c r="Y708" s="201"/>
      <c r="Z708" s="201"/>
      <c r="AA708" s="200"/>
      <c r="AB708" s="357" t="s">
        <v>403</v>
      </c>
      <c r="AC708" s="4"/>
      <c r="AD708" s="4"/>
      <c r="AE708" s="4"/>
      <c r="AF708" s="4"/>
      <c r="AG708" s="4"/>
      <c r="AH708" s="4"/>
      <c r="AI708" s="4"/>
      <c r="AJ708" s="4"/>
      <c r="AK708" s="4"/>
      <c r="AL708" s="4"/>
    </row>
    <row r="709" spans="1:38" s="1" customFormat="1" ht="12.6" customHeight="1" x14ac:dyDescent="0.2">
      <c r="A709" s="18"/>
      <c r="B709" s="642" t="s">
        <v>183</v>
      </c>
      <c r="C709" s="643"/>
      <c r="D709" s="643"/>
      <c r="E709" s="643"/>
      <c r="F709" s="256">
        <v>3090</v>
      </c>
      <c r="G709" s="258">
        <f t="shared" ref="G709" si="2067">+F709*$X$1</f>
        <v>3090</v>
      </c>
      <c r="H709" s="540"/>
      <c r="I709" s="256"/>
      <c r="J709" s="82"/>
      <c r="K709" s="256"/>
      <c r="L709" s="540"/>
      <c r="M709" s="256"/>
      <c r="N709" s="540"/>
      <c r="O709" s="256"/>
      <c r="P709" s="540">
        <f t="shared" si="2056"/>
        <v>3490</v>
      </c>
      <c r="Q709" s="256">
        <f t="shared" si="2057"/>
        <v>3490</v>
      </c>
      <c r="R709" s="540">
        <f t="shared" si="2058"/>
        <v>3420</v>
      </c>
      <c r="S709" s="256">
        <f t="shared" si="2059"/>
        <v>3420</v>
      </c>
      <c r="T709" s="540">
        <f t="shared" si="2060"/>
        <v>3370</v>
      </c>
      <c r="U709" s="256">
        <f t="shared" si="2061"/>
        <v>3370</v>
      </c>
      <c r="V709" s="540">
        <f t="shared" si="2062"/>
        <v>3310</v>
      </c>
      <c r="W709" s="256">
        <f t="shared" si="2063"/>
        <v>3310</v>
      </c>
      <c r="X709" s="627"/>
      <c r="Y709" s="634"/>
      <c r="Z709" s="634"/>
      <c r="AA709" s="629"/>
      <c r="AB709" s="357">
        <v>970</v>
      </c>
      <c r="AC709" s="4"/>
      <c r="AD709" s="4"/>
      <c r="AE709" s="4"/>
      <c r="AF709" s="4"/>
      <c r="AG709" s="4"/>
      <c r="AH709" s="4"/>
      <c r="AI709" s="4"/>
      <c r="AJ709" s="4"/>
      <c r="AK709" s="4"/>
      <c r="AL709" s="4"/>
    </row>
    <row r="710" spans="1:38" s="1" customFormat="1" ht="12.6" customHeight="1" x14ac:dyDescent="0.2">
      <c r="A710" s="18"/>
      <c r="B710" s="630" t="s">
        <v>184</v>
      </c>
      <c r="C710" s="631"/>
      <c r="D710" s="631"/>
      <c r="E710" s="631"/>
      <c r="F710" s="255">
        <v>3193</v>
      </c>
      <c r="G710" s="257">
        <f t="shared" ref="G710" si="2068">+F710*$X$1</f>
        <v>3193</v>
      </c>
      <c r="H710" s="537"/>
      <c r="I710" s="255"/>
      <c r="J710" s="68"/>
      <c r="K710" s="255"/>
      <c r="L710" s="537"/>
      <c r="M710" s="255"/>
      <c r="N710" s="537"/>
      <c r="O710" s="255"/>
      <c r="P710" s="537">
        <f t="shared" si="2056"/>
        <v>3593</v>
      </c>
      <c r="Q710" s="255">
        <f t="shared" si="2057"/>
        <v>3593</v>
      </c>
      <c r="R710" s="537">
        <f t="shared" si="2058"/>
        <v>3523</v>
      </c>
      <c r="S710" s="255">
        <f t="shared" si="2059"/>
        <v>3523</v>
      </c>
      <c r="T710" s="537">
        <f t="shared" si="2060"/>
        <v>3473</v>
      </c>
      <c r="U710" s="255">
        <f t="shared" si="2061"/>
        <v>3473</v>
      </c>
      <c r="V710" s="537">
        <f t="shared" si="2062"/>
        <v>3413</v>
      </c>
      <c r="W710" s="255">
        <f t="shared" si="2063"/>
        <v>3413</v>
      </c>
      <c r="X710" s="627"/>
      <c r="Y710" s="634"/>
      <c r="Z710" s="634"/>
      <c r="AA710" s="629"/>
      <c r="AB710" s="357">
        <v>971</v>
      </c>
      <c r="AC710" s="4"/>
      <c r="AD710" s="4"/>
      <c r="AE710" s="4"/>
      <c r="AF710" s="4"/>
      <c r="AG710" s="4"/>
      <c r="AH710" s="4"/>
      <c r="AI710" s="4"/>
      <c r="AJ710" s="4"/>
      <c r="AK710" s="4"/>
      <c r="AL710" s="4"/>
    </row>
    <row r="711" spans="1:38" s="1" customFormat="1" ht="12.6" customHeight="1" x14ac:dyDescent="0.2">
      <c r="A711" s="18"/>
      <c r="B711" s="639" t="s">
        <v>335</v>
      </c>
      <c r="C711" s="649"/>
      <c r="D711" s="649"/>
      <c r="E711" s="650"/>
      <c r="F711" s="256">
        <v>5394</v>
      </c>
      <c r="G711" s="258">
        <f t="shared" ref="G711" si="2069">+F711*$X$1</f>
        <v>5394</v>
      </c>
      <c r="H711" s="540"/>
      <c r="I711" s="256"/>
      <c r="J711" s="82"/>
      <c r="K711" s="256"/>
      <c r="L711" s="540"/>
      <c r="M711" s="256"/>
      <c r="N711" s="540"/>
      <c r="O711" s="256"/>
      <c r="P711" s="540">
        <f t="shared" si="2056"/>
        <v>5794</v>
      </c>
      <c r="Q711" s="256">
        <f t="shared" si="2057"/>
        <v>5794</v>
      </c>
      <c r="R711" s="540">
        <f t="shared" si="2058"/>
        <v>5724</v>
      </c>
      <c r="S711" s="256">
        <f t="shared" si="2059"/>
        <v>5724</v>
      </c>
      <c r="T711" s="540">
        <f t="shared" si="2060"/>
        <v>5674</v>
      </c>
      <c r="U711" s="256">
        <f t="shared" si="2061"/>
        <v>5674</v>
      </c>
      <c r="V711" s="540">
        <f t="shared" si="2062"/>
        <v>5614</v>
      </c>
      <c r="W711" s="256">
        <f t="shared" si="2063"/>
        <v>5614</v>
      </c>
      <c r="X711" s="141"/>
      <c r="Y711" s="142"/>
      <c r="Z711" s="142"/>
      <c r="AA711" s="143"/>
      <c r="AB711" s="357">
        <v>972</v>
      </c>
      <c r="AC711" s="4"/>
      <c r="AD711" s="4"/>
      <c r="AE711" s="4"/>
      <c r="AF711" s="4"/>
      <c r="AG711" s="4"/>
      <c r="AH711" s="4"/>
      <c r="AI711" s="4"/>
      <c r="AJ711" s="4"/>
      <c r="AK711" s="4"/>
      <c r="AL711" s="4"/>
    </row>
    <row r="712" spans="1:38" s="1" customFormat="1" ht="12.6" customHeight="1" x14ac:dyDescent="0.2">
      <c r="A712" s="18"/>
      <c r="B712" s="630" t="s">
        <v>185</v>
      </c>
      <c r="C712" s="631"/>
      <c r="D712" s="631"/>
      <c r="E712" s="631"/>
      <c r="F712" s="537"/>
      <c r="G712" s="537"/>
      <c r="H712" s="251"/>
      <c r="I712" s="251"/>
      <c r="J712" s="68"/>
      <c r="K712" s="537"/>
      <c r="L712" s="537"/>
      <c r="M712" s="537"/>
      <c r="N712" s="537"/>
      <c r="O712" s="537"/>
      <c r="P712" s="537"/>
      <c r="Q712" s="537"/>
      <c r="R712" s="537"/>
      <c r="S712" s="537"/>
      <c r="T712" s="537"/>
      <c r="U712" s="537"/>
      <c r="V712" s="537"/>
      <c r="W712" s="537"/>
      <c r="X712" s="646"/>
      <c r="Y712" s="778"/>
      <c r="Z712" s="778"/>
      <c r="AA712" s="648"/>
      <c r="AB712" s="178">
        <v>980</v>
      </c>
      <c r="AC712" s="4"/>
      <c r="AD712" s="4"/>
      <c r="AE712" s="4"/>
      <c r="AF712" s="4"/>
      <c r="AG712" s="4"/>
      <c r="AH712" s="4"/>
      <c r="AI712" s="4"/>
      <c r="AJ712" s="4"/>
      <c r="AK712" s="4"/>
      <c r="AL712" s="4"/>
    </row>
    <row r="713" spans="1:38" s="1" customFormat="1" ht="12.6" customHeight="1" x14ac:dyDescent="0.2">
      <c r="A713" s="18"/>
      <c r="B713" s="642" t="s">
        <v>186</v>
      </c>
      <c r="C713" s="682"/>
      <c r="D713" s="682"/>
      <c r="E713" s="682"/>
      <c r="F713" s="92"/>
      <c r="G713" s="540"/>
      <c r="H713" s="250"/>
      <c r="I713" s="250"/>
      <c r="J713" s="82"/>
      <c r="K713" s="540"/>
      <c r="L713" s="540"/>
      <c r="M713" s="540"/>
      <c r="N713" s="540"/>
      <c r="O713" s="540"/>
      <c r="P713" s="540"/>
      <c r="Q713" s="540"/>
      <c r="R713" s="540"/>
      <c r="S713" s="540"/>
      <c r="T713" s="540"/>
      <c r="U713" s="540"/>
      <c r="V713" s="540"/>
      <c r="W713" s="540"/>
      <c r="X713" s="646"/>
      <c r="Y713" s="778"/>
      <c r="Z713" s="778"/>
      <c r="AA713" s="648"/>
      <c r="AB713" s="178">
        <v>981</v>
      </c>
      <c r="AC713" s="4"/>
      <c r="AD713" s="4"/>
      <c r="AE713" s="4"/>
      <c r="AF713" s="4"/>
      <c r="AG713" s="4"/>
      <c r="AH713" s="4"/>
      <c r="AI713" s="4"/>
      <c r="AJ713" s="4"/>
      <c r="AK713" s="4"/>
      <c r="AL713" s="4"/>
    </row>
    <row r="714" spans="1:38" s="1" customFormat="1" ht="12.6" customHeight="1" x14ac:dyDescent="0.2">
      <c r="A714" s="18"/>
      <c r="B714" s="666" t="s">
        <v>419</v>
      </c>
      <c r="C714" s="667"/>
      <c r="D714" s="667"/>
      <c r="E714" s="668"/>
      <c r="F714" s="93"/>
      <c r="G714" s="537"/>
      <c r="H714" s="251"/>
      <c r="I714" s="251"/>
      <c r="J714" s="68"/>
      <c r="K714" s="537"/>
      <c r="L714" s="537"/>
      <c r="M714" s="537"/>
      <c r="N714" s="537"/>
      <c r="O714" s="537"/>
      <c r="P714" s="537"/>
      <c r="Q714" s="537"/>
      <c r="R714" s="537"/>
      <c r="S714" s="537"/>
      <c r="T714" s="537"/>
      <c r="U714" s="537"/>
      <c r="V714" s="537"/>
      <c r="W714" s="537"/>
      <c r="X714" s="646"/>
      <c r="Y714" s="778"/>
      <c r="Z714" s="778"/>
      <c r="AA714" s="648"/>
      <c r="AB714" s="178">
        <v>982</v>
      </c>
      <c r="AC714" s="4"/>
      <c r="AD714" s="4"/>
      <c r="AE714" s="4"/>
      <c r="AF714" s="4"/>
      <c r="AG714" s="4"/>
      <c r="AH714" s="4"/>
      <c r="AI714" s="4"/>
      <c r="AJ714" s="4"/>
      <c r="AK714" s="4"/>
      <c r="AL714" s="4"/>
    </row>
    <row r="715" spans="1:38" s="1" customFormat="1" ht="12.6" customHeight="1" x14ac:dyDescent="0.2">
      <c r="A715" s="18"/>
      <c r="B715" s="642" t="s">
        <v>452</v>
      </c>
      <c r="C715" s="682"/>
      <c r="D715" s="682"/>
      <c r="E715" s="682"/>
      <c r="F715" s="546"/>
      <c r="G715" s="546"/>
      <c r="H715" s="250"/>
      <c r="I715" s="250"/>
      <c r="J715" s="82"/>
      <c r="K715" s="546"/>
      <c r="L715" s="546"/>
      <c r="M715" s="546"/>
      <c r="N715" s="546"/>
      <c r="O715" s="546"/>
      <c r="P715" s="546"/>
      <c r="Q715" s="546"/>
      <c r="R715" s="546"/>
      <c r="S715" s="546"/>
      <c r="T715" s="546"/>
      <c r="U715" s="546"/>
      <c r="V715" s="546"/>
      <c r="W715" s="546"/>
      <c r="X715" s="646"/>
      <c r="Y715" s="778"/>
      <c r="Z715" s="778"/>
      <c r="AA715" s="648"/>
      <c r="AB715" s="178">
        <v>983</v>
      </c>
      <c r="AC715" s="4"/>
      <c r="AD715" s="4"/>
      <c r="AE715" s="4"/>
      <c r="AF715" s="4"/>
      <c r="AG715" s="4"/>
      <c r="AH715" s="4"/>
      <c r="AI715" s="4"/>
      <c r="AJ715" s="4"/>
      <c r="AK715" s="4"/>
      <c r="AL715" s="4"/>
    </row>
    <row r="716" spans="1:38" s="1" customFormat="1" ht="12.6" customHeight="1" x14ac:dyDescent="0.2">
      <c r="A716" s="18"/>
      <c r="B716" s="630" t="s">
        <v>187</v>
      </c>
      <c r="C716" s="703"/>
      <c r="D716" s="703"/>
      <c r="E716" s="703"/>
      <c r="F716" s="537"/>
      <c r="G716" s="537"/>
      <c r="H716" s="251"/>
      <c r="I716" s="251"/>
      <c r="J716" s="68"/>
      <c r="K716" s="537"/>
      <c r="L716" s="537"/>
      <c r="M716" s="537"/>
      <c r="N716" s="537"/>
      <c r="O716" s="537"/>
      <c r="P716" s="537"/>
      <c r="Q716" s="537"/>
      <c r="R716" s="537"/>
      <c r="S716" s="537"/>
      <c r="T716" s="537"/>
      <c r="U716" s="537"/>
      <c r="V716" s="537"/>
      <c r="W716" s="537"/>
      <c r="X716" s="646"/>
      <c r="Y716" s="778"/>
      <c r="Z716" s="778"/>
      <c r="AA716" s="648"/>
      <c r="AB716" s="178">
        <v>984</v>
      </c>
      <c r="AC716" s="4"/>
      <c r="AD716" s="4"/>
      <c r="AE716" s="4"/>
      <c r="AF716" s="4"/>
      <c r="AG716" s="4"/>
      <c r="AH716" s="4"/>
      <c r="AI716" s="4"/>
      <c r="AJ716" s="4"/>
      <c r="AK716" s="4"/>
      <c r="AL716" s="4"/>
    </row>
    <row r="717" spans="1:38" s="1" customFormat="1" ht="12.6" customHeight="1" x14ac:dyDescent="0.2">
      <c r="A717" s="18"/>
      <c r="B717" s="769" t="s">
        <v>188</v>
      </c>
      <c r="C717" s="770"/>
      <c r="D717" s="770"/>
      <c r="E717" s="771"/>
      <c r="F717" s="92"/>
      <c r="G717" s="92"/>
      <c r="H717" s="490"/>
      <c r="I717" s="490"/>
      <c r="J717" s="83"/>
      <c r="K717" s="92"/>
      <c r="L717" s="92"/>
      <c r="M717" s="92"/>
      <c r="N717" s="92"/>
      <c r="O717" s="92"/>
      <c r="P717" s="92"/>
      <c r="Q717" s="92"/>
      <c r="R717" s="92"/>
      <c r="S717" s="92"/>
      <c r="T717" s="92"/>
      <c r="U717" s="92"/>
      <c r="V717" s="92"/>
      <c r="W717" s="92"/>
      <c r="X717" s="646"/>
      <c r="Y717" s="778"/>
      <c r="Z717" s="778"/>
      <c r="AA717" s="648"/>
      <c r="AB717" s="178">
        <v>985</v>
      </c>
      <c r="AC717" s="4"/>
      <c r="AD717" s="4"/>
      <c r="AE717" s="4"/>
      <c r="AF717" s="4"/>
      <c r="AG717" s="4"/>
      <c r="AH717" s="4"/>
      <c r="AI717" s="4"/>
      <c r="AJ717" s="4"/>
      <c r="AK717" s="4"/>
      <c r="AL717" s="4"/>
    </row>
    <row r="718" spans="1:38" s="1" customFormat="1" ht="12.6" customHeight="1" x14ac:dyDescent="0.2">
      <c r="A718" s="18"/>
      <c r="B718" s="683" t="s">
        <v>842</v>
      </c>
      <c r="C718" s="652"/>
      <c r="D718" s="652"/>
      <c r="E718" s="653"/>
      <c r="F718" s="271">
        <f>21.75*X2</f>
        <v>33495</v>
      </c>
      <c r="G718" s="255">
        <f>+F718*$X$1</f>
        <v>33495</v>
      </c>
      <c r="H718" s="537">
        <f>F718+3000</f>
        <v>36495</v>
      </c>
      <c r="I718" s="255">
        <f t="shared" ref="I718" si="2070">+H718*$X$1</f>
        <v>36495</v>
      </c>
      <c r="J718" s="537">
        <f>F718+900</f>
        <v>34395</v>
      </c>
      <c r="K718" s="255">
        <f t="shared" ref="K718" si="2071">+J718*$X$1</f>
        <v>34395</v>
      </c>
      <c r="L718" s="537">
        <f>F718+700</f>
        <v>34195</v>
      </c>
      <c r="M718" s="255">
        <f t="shared" ref="M718" si="2072">+L718*$X$1</f>
        <v>34195</v>
      </c>
      <c r="N718" s="537">
        <f>F718+500</f>
        <v>33995</v>
      </c>
      <c r="O718" s="255">
        <f t="shared" ref="O718" si="2073">+N718*$X$1</f>
        <v>33995</v>
      </c>
      <c r="P718" s="537">
        <f>F718+400</f>
        <v>33895</v>
      </c>
      <c r="Q718" s="255">
        <f t="shared" ref="Q718" si="2074">+P718*$X$1</f>
        <v>33895</v>
      </c>
      <c r="R718" s="537">
        <f>F718+330</f>
        <v>33825</v>
      </c>
      <c r="S718" s="255">
        <f t="shared" ref="S718" si="2075">+R718*$X$1</f>
        <v>33825</v>
      </c>
      <c r="T718" s="537">
        <f>F718+280</f>
        <v>33775</v>
      </c>
      <c r="U718" s="255">
        <f t="shared" ref="U718" si="2076">+T718*$X$1</f>
        <v>33775</v>
      </c>
      <c r="V718" s="537">
        <f>F718+220</f>
        <v>33715</v>
      </c>
      <c r="W718" s="255">
        <f t="shared" ref="W718" si="2077">+V718*$X$1</f>
        <v>33715</v>
      </c>
      <c r="X718" s="627"/>
      <c r="Y718" s="628"/>
      <c r="Z718" s="628"/>
      <c r="AA718" s="629"/>
      <c r="AB718" s="178">
        <v>990</v>
      </c>
      <c r="AC718" s="4"/>
      <c r="AD718" s="4"/>
      <c r="AE718" s="4"/>
      <c r="AF718" s="4"/>
      <c r="AG718" s="4"/>
      <c r="AH718" s="116"/>
      <c r="AI718" s="4"/>
      <c r="AJ718" s="4"/>
      <c r="AK718" s="4"/>
      <c r="AL718" s="4"/>
    </row>
    <row r="719" spans="1:38" s="1" customFormat="1" ht="12.6" customHeight="1" x14ac:dyDescent="0.2">
      <c r="A719" s="18"/>
      <c r="B719" s="486"/>
      <c r="C719" s="184"/>
      <c r="D719" s="184"/>
      <c r="E719" s="184"/>
      <c r="F719" s="106"/>
      <c r="G719" s="106"/>
      <c r="H719" s="521"/>
      <c r="I719" s="521"/>
      <c r="J719" s="60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581"/>
      <c r="Y719" s="583"/>
      <c r="Z719" s="583"/>
      <c r="AA719" s="582"/>
      <c r="AB719" s="178"/>
      <c r="AC719" s="4"/>
      <c r="AD719" s="4"/>
      <c r="AE719" s="4"/>
      <c r="AF719" s="4"/>
      <c r="AG719" s="4"/>
      <c r="AH719" s="4"/>
      <c r="AI719" s="4"/>
      <c r="AJ719" s="4"/>
      <c r="AK719" s="4"/>
      <c r="AL719" s="4"/>
    </row>
    <row r="720" spans="1:38" s="1" customFormat="1" ht="12.6" customHeight="1" x14ac:dyDescent="0.2">
      <c r="A720" s="18"/>
      <c r="B720" s="486"/>
      <c r="C720" s="184"/>
      <c r="D720" s="184"/>
      <c r="E720" s="184"/>
      <c r="F720" s="106"/>
      <c r="G720" s="106"/>
      <c r="H720" s="521"/>
      <c r="I720" s="521"/>
      <c r="J720" s="60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581"/>
      <c r="Y720" s="583"/>
      <c r="Z720" s="583"/>
      <c r="AA720" s="582"/>
      <c r="AB720" s="178"/>
      <c r="AC720" s="4"/>
      <c r="AD720" s="4"/>
      <c r="AE720" s="4"/>
      <c r="AF720" s="4"/>
      <c r="AG720" s="4"/>
      <c r="AH720" s="4"/>
      <c r="AI720" s="4"/>
      <c r="AJ720" s="4"/>
      <c r="AK720" s="4"/>
      <c r="AL720" s="4"/>
    </row>
    <row r="721" spans="1:38" s="1" customFormat="1" ht="12.6" customHeight="1" x14ac:dyDescent="0.2">
      <c r="A721" s="18"/>
      <c r="B721" s="486"/>
      <c r="C721" s="184"/>
      <c r="D721" s="184"/>
      <c r="E721" s="184"/>
      <c r="F721" s="106"/>
      <c r="G721" s="106"/>
      <c r="H721" s="521"/>
      <c r="I721" s="521"/>
      <c r="J721" s="60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581"/>
      <c r="Y721" s="583"/>
      <c r="Z721" s="583"/>
      <c r="AA721" s="582"/>
      <c r="AB721" s="178"/>
      <c r="AC721" s="4"/>
      <c r="AD721" s="4"/>
      <c r="AE721" s="4"/>
      <c r="AF721" s="4"/>
      <c r="AG721" s="4"/>
      <c r="AH721" s="4"/>
      <c r="AI721" s="4"/>
      <c r="AJ721" s="4"/>
      <c r="AK721" s="4"/>
      <c r="AL721" s="4"/>
    </row>
    <row r="722" spans="1:38" ht="14.25" customHeight="1" x14ac:dyDescent="0.2">
      <c r="B722" s="739" t="s">
        <v>11</v>
      </c>
      <c r="C722" s="739" t="s">
        <v>12</v>
      </c>
      <c r="D722" s="740"/>
      <c r="E722" s="740"/>
      <c r="F722" s="644" t="s">
        <v>259</v>
      </c>
      <c r="G722" s="644" t="s">
        <v>13</v>
      </c>
      <c r="H722" s="632" t="s">
        <v>726</v>
      </c>
      <c r="I722" s="632"/>
      <c r="J722" s="633"/>
      <c r="K722" s="633"/>
      <c r="L722" s="633"/>
      <c r="M722" s="633"/>
      <c r="N722" s="633"/>
      <c r="O722" s="633"/>
      <c r="P722" s="633"/>
      <c r="Q722" s="633"/>
      <c r="R722" s="633"/>
      <c r="S722" s="633"/>
      <c r="T722" s="633"/>
      <c r="U722" s="633"/>
      <c r="V722" s="633"/>
      <c r="W722" s="633"/>
      <c r="X722" s="658" t="s">
        <v>14</v>
      </c>
      <c r="Y722" s="764"/>
      <c r="Z722" s="764"/>
      <c r="AA722" s="765"/>
      <c r="AB722" s="760" t="s">
        <v>15</v>
      </c>
      <c r="AF722" s="748" t="s">
        <v>3</v>
      </c>
      <c r="AG722" s="749"/>
      <c r="AH722" s="749"/>
    </row>
    <row r="723" spans="1:38" ht="12" customHeight="1" x14ac:dyDescent="0.2">
      <c r="B723" s="740"/>
      <c r="C723" s="740"/>
      <c r="D723" s="740"/>
      <c r="E723" s="740"/>
      <c r="F723" s="645"/>
      <c r="G723" s="645"/>
      <c r="H723" s="404"/>
      <c r="I723" s="405" t="s">
        <v>510</v>
      </c>
      <c r="J723" s="404"/>
      <c r="K723" s="405" t="s">
        <v>260</v>
      </c>
      <c r="L723" s="405"/>
      <c r="M723" s="405" t="s">
        <v>261</v>
      </c>
      <c r="N723" s="405"/>
      <c r="O723" s="405" t="s">
        <v>512</v>
      </c>
      <c r="P723" s="405"/>
      <c r="Q723" s="405" t="s">
        <v>17</v>
      </c>
      <c r="R723" s="405"/>
      <c r="S723" s="405" t="s">
        <v>18</v>
      </c>
      <c r="T723" s="405"/>
      <c r="U723" s="405" t="s">
        <v>19</v>
      </c>
      <c r="V723" s="405"/>
      <c r="W723" s="405" t="s">
        <v>513</v>
      </c>
      <c r="X723" s="766"/>
      <c r="Y723" s="767"/>
      <c r="Z723" s="767"/>
      <c r="AA723" s="768"/>
      <c r="AB723" s="761"/>
    </row>
    <row r="724" spans="1:38" s="1" customFormat="1" ht="12.6" customHeight="1" x14ac:dyDescent="0.2">
      <c r="A724" s="18"/>
      <c r="B724" s="683" t="s">
        <v>818</v>
      </c>
      <c r="C724" s="652"/>
      <c r="D724" s="652"/>
      <c r="E724" s="653"/>
      <c r="F724" s="271">
        <f>18.44*X2</f>
        <v>28397.600000000002</v>
      </c>
      <c r="G724" s="255">
        <f>+F724*$X$1</f>
        <v>28397.600000000002</v>
      </c>
      <c r="H724" s="537">
        <f>F724+3000</f>
        <v>31397.600000000002</v>
      </c>
      <c r="I724" s="255">
        <f t="shared" ref="I724" si="2078">+H724*$X$1</f>
        <v>31397.600000000002</v>
      </c>
      <c r="J724" s="537">
        <f>F724+900</f>
        <v>29297.600000000002</v>
      </c>
      <c r="K724" s="255">
        <f t="shared" ref="K724" si="2079">+J724*$X$1</f>
        <v>29297.600000000002</v>
      </c>
      <c r="L724" s="537">
        <f>F724+700</f>
        <v>29097.600000000002</v>
      </c>
      <c r="M724" s="255">
        <f t="shared" ref="M724" si="2080">+L724*$X$1</f>
        <v>29097.600000000002</v>
      </c>
      <c r="N724" s="537">
        <f>F724+500</f>
        <v>28897.600000000002</v>
      </c>
      <c r="O724" s="255">
        <f t="shared" ref="O724" si="2081">+N724*$X$1</f>
        <v>28897.600000000002</v>
      </c>
      <c r="P724" s="537">
        <f>F724+400</f>
        <v>28797.600000000002</v>
      </c>
      <c r="Q724" s="255">
        <f t="shared" ref="Q724" si="2082">+P724*$X$1</f>
        <v>28797.600000000002</v>
      </c>
      <c r="R724" s="537">
        <f>F724+330</f>
        <v>28727.600000000002</v>
      </c>
      <c r="S724" s="255">
        <f t="shared" ref="S724" si="2083">+R724*$X$1</f>
        <v>28727.600000000002</v>
      </c>
      <c r="T724" s="537">
        <f>F724+280</f>
        <v>28677.600000000002</v>
      </c>
      <c r="U724" s="255">
        <f t="shared" ref="U724" si="2084">+T724*$X$1</f>
        <v>28677.600000000002</v>
      </c>
      <c r="V724" s="537">
        <f>F724+220</f>
        <v>28617.600000000002</v>
      </c>
      <c r="W724" s="255">
        <f t="shared" ref="W724" si="2085">+V724*$X$1</f>
        <v>28617.600000000002</v>
      </c>
      <c r="X724" s="627"/>
      <c r="Y724" s="628"/>
      <c r="Z724" s="628"/>
      <c r="AA724" s="629"/>
      <c r="AB724" s="178">
        <v>993</v>
      </c>
      <c r="AC724" s="4"/>
      <c r="AD724" s="4"/>
      <c r="AE724" s="4"/>
      <c r="AF724" s="4"/>
      <c r="AG724" s="4"/>
      <c r="AH724" s="116"/>
      <c r="AI724" s="4"/>
      <c r="AJ724" s="4"/>
      <c r="AK724" s="4"/>
      <c r="AL724" s="4"/>
    </row>
    <row r="725" spans="1:38" ht="12.6" customHeight="1" x14ac:dyDescent="0.2">
      <c r="B725" s="763" t="s">
        <v>652</v>
      </c>
      <c r="C725" s="763"/>
      <c r="D725" s="763"/>
      <c r="E725" s="763"/>
      <c r="F725" s="300">
        <f>27.46*X2</f>
        <v>42288.4</v>
      </c>
      <c r="G725" s="256">
        <f t="shared" ref="G725:G739" si="2086">+F725*$X$1</f>
        <v>42288.4</v>
      </c>
      <c r="H725" s="398">
        <f>F725+4500</f>
        <v>46788.4</v>
      </c>
      <c r="I725" s="256">
        <f t="shared" ref="I725" si="2087">+H725*$X$1</f>
        <v>46788.4</v>
      </c>
      <c r="J725" s="398">
        <f>F725+1500</f>
        <v>43788.4</v>
      </c>
      <c r="K725" s="256">
        <f t="shared" ref="K725" si="2088">+J725*$X$1</f>
        <v>43788.4</v>
      </c>
      <c r="L725" s="398">
        <f>F725+1200</f>
        <v>43488.4</v>
      </c>
      <c r="M725" s="256">
        <f t="shared" ref="M725:M726" si="2089">+L725*$X$1</f>
        <v>43488.4</v>
      </c>
      <c r="N725" s="398">
        <f>F725+900</f>
        <v>43188.4</v>
      </c>
      <c r="O725" s="256">
        <f t="shared" ref="O725:O726" si="2090">+N725*$X$1</f>
        <v>43188.4</v>
      </c>
      <c r="P725" s="398">
        <f>F725+750</f>
        <v>43038.400000000001</v>
      </c>
      <c r="Q725" s="256">
        <f t="shared" ref="Q725:Q726" si="2091">+P725*$X$1</f>
        <v>43038.400000000001</v>
      </c>
      <c r="R725" s="398">
        <f>F725+650</f>
        <v>42938.400000000001</v>
      </c>
      <c r="S725" s="256">
        <f t="shared" ref="S725:S730" si="2092">+R725*$X$1</f>
        <v>42938.400000000001</v>
      </c>
      <c r="T725" s="398">
        <f>F725+500</f>
        <v>42788.4</v>
      </c>
      <c r="U725" s="256">
        <f t="shared" ref="U725:U730" si="2093">+T725*$X$1</f>
        <v>42788.4</v>
      </c>
      <c r="V725" s="398">
        <f>F725+400</f>
        <v>42688.4</v>
      </c>
      <c r="W725" s="256">
        <f t="shared" ref="W725:W730" si="2094">+V725*$X$1</f>
        <v>42688.4</v>
      </c>
      <c r="X725" s="391"/>
      <c r="Y725" s="124"/>
      <c r="Z725" s="122"/>
      <c r="AA725" s="125"/>
      <c r="AB725" s="364" t="s">
        <v>653</v>
      </c>
    </row>
    <row r="726" spans="1:38" s="1" customFormat="1" ht="12.6" customHeight="1" x14ac:dyDescent="0.2">
      <c r="A726" s="18"/>
      <c r="B726" s="666" t="s">
        <v>189</v>
      </c>
      <c r="C726" s="692"/>
      <c r="D726" s="692"/>
      <c r="E726" s="693"/>
      <c r="F726" s="255">
        <v>1400</v>
      </c>
      <c r="G726" s="270">
        <f t="shared" ref="G726" si="2095">+F726*$X$1</f>
        <v>1400</v>
      </c>
      <c r="H726" s="517"/>
      <c r="I726" s="255"/>
      <c r="J726" s="517"/>
      <c r="K726" s="255"/>
      <c r="L726" s="517">
        <f>F726+700</f>
        <v>2100</v>
      </c>
      <c r="M726" s="255">
        <f t="shared" si="2089"/>
        <v>2100</v>
      </c>
      <c r="N726" s="517">
        <f>F726+500</f>
        <v>1900</v>
      </c>
      <c r="O726" s="255">
        <f t="shared" si="2090"/>
        <v>1900</v>
      </c>
      <c r="P726" s="517">
        <f>F726+400</f>
        <v>1800</v>
      </c>
      <c r="Q726" s="255">
        <f t="shared" si="2091"/>
        <v>1800</v>
      </c>
      <c r="R726" s="517">
        <f>F726+330</f>
        <v>1730</v>
      </c>
      <c r="S726" s="255">
        <f t="shared" si="2092"/>
        <v>1730</v>
      </c>
      <c r="T726" s="517">
        <f>F726+280</f>
        <v>1680</v>
      </c>
      <c r="U726" s="255">
        <f t="shared" si="2093"/>
        <v>1680</v>
      </c>
      <c r="V726" s="517">
        <f>F726+220</f>
        <v>1620</v>
      </c>
      <c r="W726" s="255">
        <f t="shared" si="2094"/>
        <v>1620</v>
      </c>
      <c r="X726" s="627"/>
      <c r="Y726" s="628"/>
      <c r="Z726" s="628"/>
      <c r="AA726" s="629"/>
      <c r="AB726" s="178">
        <v>1001</v>
      </c>
      <c r="AC726" s="4"/>
      <c r="AD726" s="4"/>
      <c r="AE726" s="4"/>
      <c r="AF726" s="4"/>
      <c r="AG726" s="4"/>
      <c r="AH726" s="4"/>
      <c r="AI726" s="4"/>
      <c r="AJ726" s="4"/>
      <c r="AK726" s="4"/>
      <c r="AL726" s="4"/>
    </row>
    <row r="727" spans="1:38" s="1" customFormat="1" ht="12.6" customHeight="1" x14ac:dyDescent="0.2">
      <c r="A727" s="18"/>
      <c r="B727" s="639" t="s">
        <v>190</v>
      </c>
      <c r="C727" s="664"/>
      <c r="D727" s="664"/>
      <c r="E727" s="665"/>
      <c r="F727" s="280">
        <v>1400</v>
      </c>
      <c r="G727" s="256">
        <f>+F727*$X$1</f>
        <v>1400</v>
      </c>
      <c r="H727" s="533"/>
      <c r="I727" s="519"/>
      <c r="J727" s="519"/>
      <c r="K727" s="519"/>
      <c r="L727" s="398"/>
      <c r="M727" s="256"/>
      <c r="N727" s="398"/>
      <c r="O727" s="256"/>
      <c r="P727" s="398"/>
      <c r="Q727" s="256"/>
      <c r="R727" s="398">
        <f>F727+330</f>
        <v>1730</v>
      </c>
      <c r="S727" s="256">
        <f t="shared" si="2092"/>
        <v>1730</v>
      </c>
      <c r="T727" s="398">
        <f>F727+280</f>
        <v>1680</v>
      </c>
      <c r="U727" s="256">
        <f t="shared" si="2093"/>
        <v>1680</v>
      </c>
      <c r="V727" s="398">
        <f>F727+220</f>
        <v>1620</v>
      </c>
      <c r="W727" s="256">
        <f t="shared" si="2094"/>
        <v>1620</v>
      </c>
      <c r="X727" s="627"/>
      <c r="Y727" s="628"/>
      <c r="Z727" s="628"/>
      <c r="AA727" s="629"/>
      <c r="AB727" s="178">
        <v>1002</v>
      </c>
      <c r="AC727" s="4"/>
      <c r="AD727" s="4"/>
      <c r="AE727" s="4"/>
      <c r="AF727" s="4"/>
      <c r="AG727" s="4"/>
      <c r="AH727" s="4"/>
      <c r="AI727" s="4"/>
      <c r="AJ727" s="4"/>
      <c r="AK727" s="4"/>
      <c r="AL727" s="4"/>
    </row>
    <row r="728" spans="1:38" s="1" customFormat="1" ht="12.6" customHeight="1" x14ac:dyDescent="0.2">
      <c r="A728" s="18"/>
      <c r="B728" s="775" t="s">
        <v>572</v>
      </c>
      <c r="C728" s="776"/>
      <c r="D728" s="776"/>
      <c r="E728" s="777"/>
      <c r="F728" s="257">
        <v>1400</v>
      </c>
      <c r="G728" s="257">
        <f>+F728*$X$1</f>
        <v>1400</v>
      </c>
      <c r="H728" s="534"/>
      <c r="I728" s="567"/>
      <c r="J728" s="567"/>
      <c r="K728" s="567"/>
      <c r="L728" s="102"/>
      <c r="M728" s="257"/>
      <c r="N728" s="102"/>
      <c r="O728" s="257"/>
      <c r="P728" s="102"/>
      <c r="Q728" s="257"/>
      <c r="R728" s="102">
        <f>F728+330</f>
        <v>1730</v>
      </c>
      <c r="S728" s="257">
        <f t="shared" si="2092"/>
        <v>1730</v>
      </c>
      <c r="T728" s="102">
        <f>F728+280</f>
        <v>1680</v>
      </c>
      <c r="U728" s="257">
        <f t="shared" si="2093"/>
        <v>1680</v>
      </c>
      <c r="V728" s="102">
        <f>F728+220</f>
        <v>1620</v>
      </c>
      <c r="W728" s="257">
        <f t="shared" si="2094"/>
        <v>1620</v>
      </c>
      <c r="X728" s="627"/>
      <c r="Y728" s="628"/>
      <c r="Z728" s="628"/>
      <c r="AA728" s="629"/>
      <c r="AB728" s="178"/>
      <c r="AC728" s="4"/>
      <c r="AD728" s="4"/>
      <c r="AE728" s="4"/>
      <c r="AF728" s="4"/>
      <c r="AG728" s="4"/>
      <c r="AH728" s="4"/>
      <c r="AI728" s="4"/>
      <c r="AJ728" s="4"/>
      <c r="AK728" s="4"/>
      <c r="AL728" s="4"/>
    </row>
    <row r="729" spans="1:38" s="1" customFormat="1" ht="12.6" customHeight="1" x14ac:dyDescent="0.2">
      <c r="A729" s="18"/>
      <c r="B729" s="642" t="s">
        <v>618</v>
      </c>
      <c r="C729" s="643"/>
      <c r="D729" s="643"/>
      <c r="E729" s="643"/>
      <c r="F729" s="256">
        <v>1650</v>
      </c>
      <c r="G729" s="256">
        <f>+F729*$X$1</f>
        <v>1650</v>
      </c>
      <c r="H729" s="570"/>
      <c r="I729" s="570"/>
      <c r="J729" s="570"/>
      <c r="K729" s="570"/>
      <c r="L729" s="546"/>
      <c r="M729" s="256"/>
      <c r="N729" s="546"/>
      <c r="O729" s="256"/>
      <c r="P729" s="546"/>
      <c r="Q729" s="256"/>
      <c r="R729" s="546">
        <f>F729+330</f>
        <v>1980</v>
      </c>
      <c r="S729" s="256">
        <f t="shared" si="2092"/>
        <v>1980</v>
      </c>
      <c r="T729" s="546">
        <f>F729+280</f>
        <v>1930</v>
      </c>
      <c r="U729" s="256">
        <f t="shared" si="2093"/>
        <v>1930</v>
      </c>
      <c r="V729" s="546">
        <f>F729+220</f>
        <v>1870</v>
      </c>
      <c r="W729" s="256">
        <f t="shared" si="2094"/>
        <v>1870</v>
      </c>
      <c r="X729" s="627"/>
      <c r="Y729" s="634"/>
      <c r="Z729" s="634"/>
      <c r="AA729" s="629"/>
      <c r="AB729" s="178">
        <v>1004</v>
      </c>
      <c r="AC729" s="4"/>
      <c r="AD729" s="4"/>
      <c r="AE729" s="4"/>
      <c r="AF729" s="4"/>
      <c r="AG729" s="4"/>
      <c r="AH729" s="4"/>
      <c r="AI729" s="4"/>
      <c r="AJ729" s="4"/>
      <c r="AK729" s="4"/>
      <c r="AL729" s="4"/>
    </row>
    <row r="730" spans="1:38" s="1" customFormat="1" ht="12.6" customHeight="1" x14ac:dyDescent="0.2">
      <c r="A730" s="18"/>
      <c r="B730" s="630" t="s">
        <v>617</v>
      </c>
      <c r="C730" s="630"/>
      <c r="D730" s="630"/>
      <c r="E730" s="630"/>
      <c r="F730" s="255">
        <v>1650</v>
      </c>
      <c r="G730" s="255">
        <f>+F730*$X$1</f>
        <v>1650</v>
      </c>
      <c r="H730" s="267"/>
      <c r="I730" s="568"/>
      <c r="J730" s="568"/>
      <c r="K730" s="568"/>
      <c r="L730" s="537"/>
      <c r="M730" s="255"/>
      <c r="N730" s="537"/>
      <c r="O730" s="255"/>
      <c r="P730" s="537"/>
      <c r="Q730" s="255"/>
      <c r="R730" s="537">
        <f>F730+330</f>
        <v>1980</v>
      </c>
      <c r="S730" s="255">
        <f t="shared" si="2092"/>
        <v>1980</v>
      </c>
      <c r="T730" s="537">
        <f>F730+280</f>
        <v>1930</v>
      </c>
      <c r="U730" s="255">
        <f t="shared" si="2093"/>
        <v>1930</v>
      </c>
      <c r="V730" s="537">
        <f>F730+220</f>
        <v>1870</v>
      </c>
      <c r="W730" s="255">
        <f t="shared" si="2094"/>
        <v>1870</v>
      </c>
      <c r="X730" s="627"/>
      <c r="Y730" s="628"/>
      <c r="Z730" s="628"/>
      <c r="AA730" s="629"/>
      <c r="AB730" s="178">
        <v>1005</v>
      </c>
      <c r="AC730" s="4"/>
      <c r="AD730" s="4"/>
      <c r="AE730" s="4"/>
      <c r="AF730" s="4"/>
      <c r="AG730" s="4"/>
      <c r="AH730" s="116"/>
      <c r="AI730" s="4"/>
      <c r="AJ730" s="4"/>
      <c r="AK730" s="4"/>
      <c r="AL730" s="4"/>
    </row>
    <row r="731" spans="1:38" s="1" customFormat="1" ht="12.6" customHeight="1" x14ac:dyDescent="0.2">
      <c r="A731" s="18"/>
      <c r="B731" s="642" t="s">
        <v>191</v>
      </c>
      <c r="C731" s="643"/>
      <c r="D731" s="643"/>
      <c r="E731" s="643"/>
      <c r="F731" s="256"/>
      <c r="G731" s="256"/>
      <c r="H731" s="570"/>
      <c r="I731" s="570"/>
      <c r="J731" s="570"/>
      <c r="K731" s="570"/>
      <c r="L731" s="570"/>
      <c r="M731" s="570"/>
      <c r="N731" s="546"/>
      <c r="O731" s="256"/>
      <c r="P731" s="546"/>
      <c r="Q731" s="256"/>
      <c r="R731" s="546"/>
      <c r="S731" s="256"/>
      <c r="T731" s="546"/>
      <c r="U731" s="256"/>
      <c r="V731" s="546"/>
      <c r="W731" s="256"/>
      <c r="X731" s="627"/>
      <c r="Y731" s="628"/>
      <c r="Z731" s="628"/>
      <c r="AA731" s="629"/>
      <c r="AB731" s="178">
        <v>1006</v>
      </c>
      <c r="AC731" s="4"/>
      <c r="AD731" s="4"/>
      <c r="AE731" s="4"/>
      <c r="AF731" s="4"/>
      <c r="AG731" s="4"/>
      <c r="AH731" s="116"/>
      <c r="AI731" s="4"/>
      <c r="AJ731" s="4"/>
      <c r="AK731" s="4"/>
      <c r="AL731" s="4"/>
    </row>
    <row r="732" spans="1:38" s="1" customFormat="1" ht="12.6" customHeight="1" x14ac:dyDescent="0.2">
      <c r="A732" s="18"/>
      <c r="B732" s="630" t="s">
        <v>503</v>
      </c>
      <c r="C732" s="631"/>
      <c r="D732" s="631"/>
      <c r="E732" s="631"/>
      <c r="F732" s="255">
        <v>9700</v>
      </c>
      <c r="G732" s="255">
        <f>+F732*$X$1</f>
        <v>9700</v>
      </c>
      <c r="H732" s="537">
        <f>F732+3000</f>
        <v>12700</v>
      </c>
      <c r="I732" s="255">
        <f t="shared" ref="I732" si="2096">+H732*$X$1</f>
        <v>12700</v>
      </c>
      <c r="J732" s="537">
        <f>F732+900</f>
        <v>10600</v>
      </c>
      <c r="K732" s="255">
        <f t="shared" ref="K732" si="2097">+J732*$X$1</f>
        <v>10600</v>
      </c>
      <c r="L732" s="537">
        <f>F732+700</f>
        <v>10400</v>
      </c>
      <c r="M732" s="255">
        <f t="shared" ref="M732" si="2098">+L732*$X$1</f>
        <v>10400</v>
      </c>
      <c r="N732" s="537">
        <f>F732+500</f>
        <v>10200</v>
      </c>
      <c r="O732" s="255">
        <f t="shared" ref="O732" si="2099">+N732*$X$1</f>
        <v>10200</v>
      </c>
      <c r="P732" s="537">
        <f>F732+400</f>
        <v>10100</v>
      </c>
      <c r="Q732" s="255">
        <f t="shared" ref="Q732" si="2100">+P732*$X$1</f>
        <v>10100</v>
      </c>
      <c r="R732" s="537">
        <f>F732+330</f>
        <v>10030</v>
      </c>
      <c r="S732" s="255">
        <f t="shared" ref="S732" si="2101">+R732*$X$1</f>
        <v>10030</v>
      </c>
      <c r="T732" s="537">
        <f>F732+280</f>
        <v>9980</v>
      </c>
      <c r="U732" s="255">
        <f t="shared" ref="U732" si="2102">+T732*$X$1</f>
        <v>9980</v>
      </c>
      <c r="V732" s="537">
        <f>F732+220</f>
        <v>9920</v>
      </c>
      <c r="W732" s="255">
        <f t="shared" ref="W732" si="2103">+V732*$X$1</f>
        <v>9920</v>
      </c>
      <c r="X732" s="627"/>
      <c r="Y732" s="628"/>
      <c r="Z732" s="628"/>
      <c r="AA732" s="629"/>
      <c r="AB732" s="178">
        <v>1010</v>
      </c>
      <c r="AC732" s="4"/>
      <c r="AD732" s="4"/>
      <c r="AE732" s="4"/>
      <c r="AF732" s="4"/>
      <c r="AG732" s="4"/>
      <c r="AH732" s="116"/>
      <c r="AI732" s="4"/>
      <c r="AJ732" s="4"/>
      <c r="AK732" s="4"/>
      <c r="AL732" s="4"/>
    </row>
    <row r="733" spans="1:38" s="1" customFormat="1" ht="12.6" customHeight="1" x14ac:dyDescent="0.2">
      <c r="A733" s="18"/>
      <c r="B733" s="642" t="s">
        <v>504</v>
      </c>
      <c r="C733" s="643"/>
      <c r="D733" s="643"/>
      <c r="E733" s="643"/>
      <c r="F733" s="256">
        <v>23995</v>
      </c>
      <c r="G733" s="256">
        <f>+F733*$X$1</f>
        <v>23995</v>
      </c>
      <c r="H733" s="546">
        <f>F733+3000</f>
        <v>26995</v>
      </c>
      <c r="I733" s="256">
        <f>+H733*$X$1</f>
        <v>26995</v>
      </c>
      <c r="J733" s="546">
        <f>F733+900</f>
        <v>24895</v>
      </c>
      <c r="K733" s="256">
        <f>+J733*$X$1</f>
        <v>24895</v>
      </c>
      <c r="L733" s="546">
        <f>F733+700</f>
        <v>24695</v>
      </c>
      <c r="M733" s="256">
        <f>+L733*$X$1</f>
        <v>24695</v>
      </c>
      <c r="N733" s="546">
        <f>F733+500</f>
        <v>24495</v>
      </c>
      <c r="O733" s="256">
        <f>+N733*$X$1</f>
        <v>24495</v>
      </c>
      <c r="P733" s="546">
        <f>F733+400</f>
        <v>24395</v>
      </c>
      <c r="Q733" s="256">
        <f>+P733*$X$1</f>
        <v>24395</v>
      </c>
      <c r="R733" s="546">
        <f>F733+330</f>
        <v>24325</v>
      </c>
      <c r="S733" s="256">
        <f>+R733*$X$1</f>
        <v>24325</v>
      </c>
      <c r="T733" s="546">
        <f>F733+280</f>
        <v>24275</v>
      </c>
      <c r="U733" s="256">
        <f>+T733*$X$1</f>
        <v>24275</v>
      </c>
      <c r="V733" s="546">
        <f>F733+220</f>
        <v>24215</v>
      </c>
      <c r="W733" s="256">
        <f>+V733*$X$1</f>
        <v>24215</v>
      </c>
      <c r="X733" s="627"/>
      <c r="Y733" s="628"/>
      <c r="Z733" s="628"/>
      <c r="AA733" s="629"/>
      <c r="AB733" s="178">
        <v>1011</v>
      </c>
      <c r="AC733" s="4"/>
      <c r="AD733" s="4"/>
      <c r="AE733" s="4"/>
      <c r="AF733" s="4"/>
      <c r="AG733" s="4"/>
      <c r="AH733" s="116"/>
      <c r="AI733" s="4"/>
      <c r="AJ733" s="4"/>
      <c r="AK733" s="4"/>
      <c r="AL733" s="4"/>
    </row>
    <row r="734" spans="1:38" s="1" customFormat="1" ht="12.6" customHeight="1" x14ac:dyDescent="0.2">
      <c r="A734" s="18"/>
      <c r="B734" s="772" t="s">
        <v>843</v>
      </c>
      <c r="C734" s="773"/>
      <c r="D734" s="773"/>
      <c r="E734" s="774"/>
      <c r="F734" s="299">
        <f>9.45*X2</f>
        <v>14552.999999999998</v>
      </c>
      <c r="G734" s="270">
        <f>+F734*$X$1</f>
        <v>14552.999999999998</v>
      </c>
      <c r="H734" s="93"/>
      <c r="I734" s="255"/>
      <c r="J734" s="537">
        <f>F734+2000</f>
        <v>16553</v>
      </c>
      <c r="K734" s="255">
        <f t="shared" ref="K734" si="2104">+J734*$X$1</f>
        <v>16553</v>
      </c>
      <c r="L734" s="537">
        <f>F734+1500</f>
        <v>16052.999999999998</v>
      </c>
      <c r="M734" s="255">
        <f t="shared" ref="M734:M735" si="2105">+L734*$X$1</f>
        <v>16052.999999999998</v>
      </c>
      <c r="N734" s="537">
        <f>F734+1200</f>
        <v>15752.999999999998</v>
      </c>
      <c r="O734" s="255">
        <f t="shared" ref="O734:O735" si="2106">+N734*$X$1</f>
        <v>15752.999999999998</v>
      </c>
      <c r="P734" s="537">
        <f>F734+1050</f>
        <v>15602.999999999998</v>
      </c>
      <c r="Q734" s="255">
        <f t="shared" ref="Q734:Q735" si="2107">+P734*$X$1</f>
        <v>15602.999999999998</v>
      </c>
      <c r="R734" s="537">
        <f>F734+950</f>
        <v>15502.999999999998</v>
      </c>
      <c r="S734" s="255">
        <f t="shared" ref="S734:S735" si="2108">+R734*$X$1</f>
        <v>15502.999999999998</v>
      </c>
      <c r="T734" s="537">
        <f>F734+800</f>
        <v>15352.999999999998</v>
      </c>
      <c r="U734" s="255">
        <f t="shared" ref="U734:U735" si="2109">+T734*$X$1</f>
        <v>15352.999999999998</v>
      </c>
      <c r="V734" s="537">
        <f>F734+650</f>
        <v>15202.999999999998</v>
      </c>
      <c r="W734" s="255">
        <f t="shared" ref="W734:W735" si="2110">+V734*$X$1</f>
        <v>15202.999999999998</v>
      </c>
      <c r="X734" s="627"/>
      <c r="Y734" s="628"/>
      <c r="Z734" s="628"/>
      <c r="AA734" s="629"/>
      <c r="AB734" s="178">
        <v>1020</v>
      </c>
      <c r="AC734" s="4"/>
      <c r="AD734" s="4"/>
      <c r="AE734" s="4"/>
      <c r="AF734" s="4"/>
      <c r="AG734" s="4"/>
      <c r="AH734" s="116"/>
      <c r="AI734" s="4"/>
      <c r="AJ734" s="4"/>
      <c r="AK734" s="4"/>
      <c r="AL734" s="4"/>
    </row>
    <row r="735" spans="1:38" ht="12.6" customHeight="1" x14ac:dyDescent="0.2">
      <c r="B735" s="763" t="s">
        <v>587</v>
      </c>
      <c r="C735" s="763"/>
      <c r="D735" s="763"/>
      <c r="E735" s="763"/>
      <c r="F735" s="256">
        <f>3.04*X2</f>
        <v>4681.6000000000004</v>
      </c>
      <c r="G735" s="256">
        <f t="shared" si="2086"/>
        <v>4681.6000000000004</v>
      </c>
      <c r="H735" s="95"/>
      <c r="I735" s="95"/>
      <c r="J735" s="250"/>
      <c r="K735" s="250"/>
      <c r="L735" s="546">
        <f>F735+700</f>
        <v>5381.6</v>
      </c>
      <c r="M735" s="256">
        <f t="shared" si="2105"/>
        <v>5381.6</v>
      </c>
      <c r="N735" s="546">
        <f>F735+500</f>
        <v>5181.6000000000004</v>
      </c>
      <c r="O735" s="256">
        <f t="shared" si="2106"/>
        <v>5181.6000000000004</v>
      </c>
      <c r="P735" s="546">
        <f>F735+400</f>
        <v>5081.6000000000004</v>
      </c>
      <c r="Q735" s="256">
        <f t="shared" si="2107"/>
        <v>5081.6000000000004</v>
      </c>
      <c r="R735" s="546">
        <f>F735+330</f>
        <v>5011.6000000000004</v>
      </c>
      <c r="S735" s="256">
        <f t="shared" si="2108"/>
        <v>5011.6000000000004</v>
      </c>
      <c r="T735" s="546">
        <f>F735+280</f>
        <v>4961.6000000000004</v>
      </c>
      <c r="U735" s="256">
        <f t="shared" si="2109"/>
        <v>4961.6000000000004</v>
      </c>
      <c r="V735" s="546">
        <f>F735+220</f>
        <v>4901.6000000000004</v>
      </c>
      <c r="W735" s="256">
        <f t="shared" si="2110"/>
        <v>4901.6000000000004</v>
      </c>
      <c r="X735" s="366"/>
      <c r="Y735" s="124"/>
      <c r="Z735" s="122"/>
      <c r="AA735" s="125"/>
      <c r="AB735" s="364" t="s">
        <v>588</v>
      </c>
    </row>
    <row r="736" spans="1:38" ht="12.6" customHeight="1" x14ac:dyDescent="0.2">
      <c r="B736" s="757" t="s">
        <v>440</v>
      </c>
      <c r="C736" s="757"/>
      <c r="D736" s="757"/>
      <c r="E736" s="757"/>
      <c r="F736" s="255">
        <f>3.91*X2</f>
        <v>6021.4000000000005</v>
      </c>
      <c r="G736" s="255">
        <f t="shared" si="2086"/>
        <v>6021.4000000000005</v>
      </c>
      <c r="H736" s="91"/>
      <c r="I736" s="91"/>
      <c r="J736" s="537">
        <f>F736+1000</f>
        <v>7021.4000000000005</v>
      </c>
      <c r="K736" s="255">
        <f t="shared" ref="K736:K739" si="2111">+J736*$X$1</f>
        <v>7021.4000000000005</v>
      </c>
      <c r="L736" s="537">
        <f>F736+600</f>
        <v>6621.4000000000005</v>
      </c>
      <c r="M736" s="255">
        <f t="shared" ref="M736:M739" si="2112">+L736*$X$1</f>
        <v>6621.4000000000005</v>
      </c>
      <c r="N736" s="537">
        <f>F736+380</f>
        <v>6401.4000000000005</v>
      </c>
      <c r="O736" s="255">
        <f t="shared" ref="O736:O739" si="2113">+N736*$X$1</f>
        <v>6401.4000000000005</v>
      </c>
      <c r="P736" s="537">
        <f>F736+270</f>
        <v>6291.4000000000005</v>
      </c>
      <c r="Q736" s="255">
        <f t="shared" ref="Q736:Q739" si="2114">+P736*$X$1</f>
        <v>6291.4000000000005</v>
      </c>
      <c r="R736" s="537">
        <f>F736+180</f>
        <v>6201.4000000000005</v>
      </c>
      <c r="S736" s="255">
        <f t="shared" ref="S736:S739" si="2115">+R736*$X$1</f>
        <v>6201.4000000000005</v>
      </c>
      <c r="T736" s="537">
        <f>F736+140</f>
        <v>6161.4000000000005</v>
      </c>
      <c r="U736" s="255">
        <f t="shared" ref="U736:U739" si="2116">+T736*$X$1</f>
        <v>6161.4000000000005</v>
      </c>
      <c r="V736" s="537">
        <f>F736+110</f>
        <v>6131.4000000000005</v>
      </c>
      <c r="W736" s="255">
        <f t="shared" ref="W736:W739" si="2117">+V736*$X$1</f>
        <v>6131.4000000000005</v>
      </c>
      <c r="X736" s="215"/>
      <c r="Y736" s="124"/>
      <c r="Z736" s="122"/>
      <c r="AA736" s="125"/>
      <c r="AB736" s="364" t="s">
        <v>376</v>
      </c>
    </row>
    <row r="737" spans="1:38" s="1" customFormat="1" ht="12.6" customHeight="1" x14ac:dyDescent="0.2">
      <c r="A737" s="18"/>
      <c r="B737" s="683" t="s">
        <v>959</v>
      </c>
      <c r="C737" s="652"/>
      <c r="D737" s="652"/>
      <c r="E737" s="653"/>
      <c r="F737" s="256">
        <f>12.67*X2</f>
        <v>19511.8</v>
      </c>
      <c r="G737" s="256">
        <f t="shared" ref="G737" si="2118">+F737*$X$1</f>
        <v>19511.8</v>
      </c>
      <c r="H737" s="546">
        <f>F737+3000</f>
        <v>22511.8</v>
      </c>
      <c r="I737" s="256">
        <f t="shared" ref="I737" si="2119">+H737*$X$1</f>
        <v>22511.8</v>
      </c>
      <c r="J737" s="546">
        <f>F737+900</f>
        <v>20411.8</v>
      </c>
      <c r="K737" s="256">
        <f t="shared" ref="K737" si="2120">+J737*$X$1</f>
        <v>20411.8</v>
      </c>
      <c r="L737" s="546">
        <f>F737+700</f>
        <v>20211.8</v>
      </c>
      <c r="M737" s="256">
        <f t="shared" ref="M737" si="2121">+L737*$X$1</f>
        <v>20211.8</v>
      </c>
      <c r="N737" s="546">
        <f>F737+500</f>
        <v>20011.8</v>
      </c>
      <c r="O737" s="256">
        <f t="shared" ref="O737" si="2122">+N737*$X$1</f>
        <v>20011.8</v>
      </c>
      <c r="P737" s="546">
        <f>F737+400</f>
        <v>19911.8</v>
      </c>
      <c r="Q737" s="256">
        <f t="shared" ref="Q737" si="2123">+P737*$X$1</f>
        <v>19911.8</v>
      </c>
      <c r="R737" s="546">
        <f>F737+330</f>
        <v>19841.8</v>
      </c>
      <c r="S737" s="256">
        <f t="shared" ref="S737" si="2124">+R737*$X$1</f>
        <v>19841.8</v>
      </c>
      <c r="T737" s="546">
        <f>F737+280</f>
        <v>19791.8</v>
      </c>
      <c r="U737" s="256">
        <f t="shared" ref="U737" si="2125">+T737*$X$1</f>
        <v>19791.8</v>
      </c>
      <c r="V737" s="546">
        <f>F737+220</f>
        <v>19731.8</v>
      </c>
      <c r="W737" s="256">
        <f t="shared" ref="W737" si="2126">+V737*$X$1</f>
        <v>19731.8</v>
      </c>
      <c r="X737" s="627"/>
      <c r="Y737" s="628"/>
      <c r="Z737" s="628"/>
      <c r="AA737" s="629"/>
      <c r="AB737" s="178">
        <v>10505</v>
      </c>
      <c r="AC737" s="4"/>
      <c r="AD737" s="4"/>
      <c r="AE737" s="4"/>
      <c r="AF737" s="4"/>
      <c r="AG737" s="4"/>
      <c r="AH737" s="116"/>
      <c r="AI737" s="4"/>
      <c r="AJ737" s="4"/>
      <c r="AK737" s="4"/>
      <c r="AL737" s="4"/>
    </row>
    <row r="738" spans="1:38" s="1" customFormat="1" ht="12.6" customHeight="1" x14ac:dyDescent="0.2">
      <c r="A738" s="18"/>
      <c r="B738" s="666" t="s">
        <v>841</v>
      </c>
      <c r="C738" s="684"/>
      <c r="D738" s="684"/>
      <c r="E738" s="685"/>
      <c r="F738" s="255">
        <f>22.49*X2</f>
        <v>34634.6</v>
      </c>
      <c r="G738" s="255">
        <f t="shared" ref="G738" si="2127">+F738*$X$1</f>
        <v>34634.6</v>
      </c>
      <c r="H738" s="537">
        <f>F738+3000</f>
        <v>37634.6</v>
      </c>
      <c r="I738" s="255">
        <f t="shared" ref="I738:I739" si="2128">+H738*$X$1</f>
        <v>37634.6</v>
      </c>
      <c r="J738" s="537">
        <f>F738+900</f>
        <v>35534.6</v>
      </c>
      <c r="K738" s="255">
        <f t="shared" si="2111"/>
        <v>35534.6</v>
      </c>
      <c r="L738" s="537">
        <f>F738+700</f>
        <v>35334.6</v>
      </c>
      <c r="M738" s="255">
        <f t="shared" si="2112"/>
        <v>35334.6</v>
      </c>
      <c r="N738" s="537">
        <f>F738+500</f>
        <v>35134.6</v>
      </c>
      <c r="O738" s="255">
        <f t="shared" si="2113"/>
        <v>35134.6</v>
      </c>
      <c r="P738" s="537">
        <f>F738+400</f>
        <v>35034.6</v>
      </c>
      <c r="Q738" s="255">
        <f t="shared" si="2114"/>
        <v>35034.6</v>
      </c>
      <c r="R738" s="537">
        <f>F738+330</f>
        <v>34964.6</v>
      </c>
      <c r="S738" s="255">
        <f t="shared" si="2115"/>
        <v>34964.6</v>
      </c>
      <c r="T738" s="537">
        <f>F738+280</f>
        <v>34914.6</v>
      </c>
      <c r="U738" s="255">
        <f t="shared" si="2116"/>
        <v>34914.6</v>
      </c>
      <c r="V738" s="537">
        <f>F738+220</f>
        <v>34854.6</v>
      </c>
      <c r="W738" s="255">
        <f t="shared" si="2117"/>
        <v>34854.6</v>
      </c>
      <c r="X738" s="627"/>
      <c r="Y738" s="628"/>
      <c r="Z738" s="628"/>
      <c r="AA738" s="629"/>
      <c r="AB738" s="178">
        <v>10506</v>
      </c>
      <c r="AC738" s="4"/>
      <c r="AD738" s="4"/>
      <c r="AE738" s="4"/>
      <c r="AF738" s="4"/>
      <c r="AG738" s="4"/>
      <c r="AH738" s="116"/>
      <c r="AI738" s="4"/>
      <c r="AJ738" s="4"/>
      <c r="AK738" s="4"/>
      <c r="AL738" s="4"/>
    </row>
    <row r="739" spans="1:38" s="1" customFormat="1" ht="12.6" customHeight="1" x14ac:dyDescent="0.2">
      <c r="A739" s="18"/>
      <c r="B739" s="639" t="s">
        <v>817</v>
      </c>
      <c r="C739" s="649"/>
      <c r="D739" s="649"/>
      <c r="E739" s="650"/>
      <c r="F739" s="256">
        <f>29.6*X2</f>
        <v>45584</v>
      </c>
      <c r="G739" s="256">
        <f t="shared" si="2086"/>
        <v>45584</v>
      </c>
      <c r="H739" s="546">
        <f>F739+3000</f>
        <v>48584</v>
      </c>
      <c r="I739" s="256">
        <f t="shared" si="2128"/>
        <v>48584</v>
      </c>
      <c r="J739" s="546">
        <f>F739+900</f>
        <v>46484</v>
      </c>
      <c r="K739" s="256">
        <f t="shared" si="2111"/>
        <v>46484</v>
      </c>
      <c r="L739" s="546">
        <f>F739+700</f>
        <v>46284</v>
      </c>
      <c r="M739" s="256">
        <f t="shared" si="2112"/>
        <v>46284</v>
      </c>
      <c r="N739" s="546">
        <f>F739+500</f>
        <v>46084</v>
      </c>
      <c r="O739" s="256">
        <f t="shared" si="2113"/>
        <v>46084</v>
      </c>
      <c r="P739" s="546">
        <f>F739+400</f>
        <v>45984</v>
      </c>
      <c r="Q739" s="256">
        <f t="shared" si="2114"/>
        <v>45984</v>
      </c>
      <c r="R739" s="546">
        <f>F739+330</f>
        <v>45914</v>
      </c>
      <c r="S739" s="256">
        <f t="shared" si="2115"/>
        <v>45914</v>
      </c>
      <c r="T739" s="546">
        <f>F739+280</f>
        <v>45864</v>
      </c>
      <c r="U739" s="256">
        <f t="shared" si="2116"/>
        <v>45864</v>
      </c>
      <c r="V739" s="546">
        <f>F739+220</f>
        <v>45804</v>
      </c>
      <c r="W739" s="256">
        <f t="shared" si="2117"/>
        <v>45804</v>
      </c>
      <c r="X739" s="627"/>
      <c r="Y739" s="628"/>
      <c r="Z739" s="628"/>
      <c r="AA739" s="629"/>
      <c r="AB739" s="178">
        <v>10507</v>
      </c>
      <c r="AC739" s="4"/>
      <c r="AD739" s="4"/>
      <c r="AE739" s="4"/>
      <c r="AF739" s="4"/>
      <c r="AG739" s="4"/>
      <c r="AH739" s="116"/>
      <c r="AI739" s="4"/>
      <c r="AJ739" s="4"/>
      <c r="AK739" s="4"/>
      <c r="AL739" s="4"/>
    </row>
    <row r="740" spans="1:38" s="1" customFormat="1" ht="12.6" customHeight="1" x14ac:dyDescent="0.2">
      <c r="A740" s="18"/>
      <c r="B740" s="683" t="s">
        <v>960</v>
      </c>
      <c r="C740" s="652"/>
      <c r="D740" s="652"/>
      <c r="E740" s="653"/>
      <c r="F740" s="255">
        <f>26.73*X2</f>
        <v>41164.199999999997</v>
      </c>
      <c r="G740" s="255">
        <f t="shared" ref="G740" si="2129">+F740*$X$1</f>
        <v>41164.199999999997</v>
      </c>
      <c r="H740" s="537">
        <f>F740+6000</f>
        <v>47164.2</v>
      </c>
      <c r="I740" s="255">
        <f t="shared" ref="I740" si="2130">+H740*$X$1</f>
        <v>47164.2</v>
      </c>
      <c r="J740" s="537">
        <f>F740+3000</f>
        <v>44164.2</v>
      </c>
      <c r="K740" s="255">
        <f t="shared" ref="K740" si="2131">+J740*$X$1</f>
        <v>44164.2</v>
      </c>
      <c r="L740" s="537">
        <f>F740+2000</f>
        <v>43164.2</v>
      </c>
      <c r="M740" s="255">
        <f t="shared" ref="M740" si="2132">+L740*$X$1</f>
        <v>43164.2</v>
      </c>
      <c r="N740" s="537">
        <f>F740+1800</f>
        <v>42964.2</v>
      </c>
      <c r="O740" s="255">
        <f t="shared" ref="O740" si="2133">+N740*$X$1</f>
        <v>42964.2</v>
      </c>
      <c r="P740" s="537">
        <f>F740+1600</f>
        <v>42764.2</v>
      </c>
      <c r="Q740" s="255">
        <f t="shared" ref="Q740" si="2134">+P740*$X$1</f>
        <v>42764.2</v>
      </c>
      <c r="R740" s="537">
        <f>F740+1400</f>
        <v>42564.2</v>
      </c>
      <c r="S740" s="255">
        <f t="shared" ref="S740" si="2135">+R740*$X$1</f>
        <v>42564.2</v>
      </c>
      <c r="T740" s="537">
        <f>F740+1200</f>
        <v>42364.2</v>
      </c>
      <c r="U740" s="255">
        <f t="shared" ref="U740" si="2136">+T740*$X$1</f>
        <v>42364.2</v>
      </c>
      <c r="V740" s="537">
        <f>F740+900</f>
        <v>42064.2</v>
      </c>
      <c r="W740" s="255">
        <f t="shared" ref="W740" si="2137">+V740*$X$1</f>
        <v>42064.2</v>
      </c>
      <c r="X740" s="627"/>
      <c r="Y740" s="628"/>
      <c r="Z740" s="628"/>
      <c r="AA740" s="629"/>
      <c r="AB740" s="178">
        <v>10508</v>
      </c>
      <c r="AC740" s="4"/>
      <c r="AD740" s="4"/>
      <c r="AE740" s="4"/>
      <c r="AF740" s="4"/>
      <c r="AG740" s="4"/>
      <c r="AH740" s="116"/>
      <c r="AI740" s="4"/>
      <c r="AJ740" s="4"/>
      <c r="AK740" s="4"/>
      <c r="AL740" s="4"/>
    </row>
    <row r="741" spans="1:38" ht="12.6" customHeight="1" x14ac:dyDescent="0.2">
      <c r="A741" s="10"/>
      <c r="B741" s="824" t="s">
        <v>277</v>
      </c>
      <c r="C741" s="824"/>
      <c r="D741" s="824"/>
      <c r="E741" s="824"/>
      <c r="F741" s="256">
        <f>35.07*X2</f>
        <v>54007.8</v>
      </c>
      <c r="G741" s="256">
        <f t="shared" ref="G741" si="2138">+F741*$X$1</f>
        <v>54007.8</v>
      </c>
      <c r="H741" s="95"/>
      <c r="I741" s="95"/>
      <c r="J741" s="82">
        <f>F741+900</f>
        <v>54907.8</v>
      </c>
      <c r="K741" s="256">
        <f>+J741*$X$1</f>
        <v>54907.8</v>
      </c>
      <c r="L741" s="546">
        <f>F741+500</f>
        <v>54507.8</v>
      </c>
      <c r="M741" s="256">
        <f t="shared" ref="M741" si="2139">+L741*$X$1</f>
        <v>54507.8</v>
      </c>
      <c r="N741" s="546">
        <f>F741+300</f>
        <v>54307.8</v>
      </c>
      <c r="O741" s="256">
        <f t="shared" ref="O741" si="2140">+N741*$X$1</f>
        <v>54307.8</v>
      </c>
      <c r="P741" s="546">
        <f>F741+190</f>
        <v>54197.8</v>
      </c>
      <c r="Q741" s="256">
        <f t="shared" ref="Q741" si="2141">+P741*$X$1</f>
        <v>54197.8</v>
      </c>
      <c r="R741" s="546">
        <f>F741+150</f>
        <v>54157.8</v>
      </c>
      <c r="S741" s="256">
        <f t="shared" ref="S741" si="2142">+R741*$X$1</f>
        <v>54157.8</v>
      </c>
      <c r="T741" s="546">
        <f>F741+120</f>
        <v>54127.8</v>
      </c>
      <c r="U741" s="256">
        <f t="shared" ref="U741" si="2143">+T741*$X$1</f>
        <v>54127.8</v>
      </c>
      <c r="V741" s="546"/>
      <c r="W741" s="256"/>
      <c r="X741" s="122"/>
      <c r="Y741" s="126"/>
      <c r="Z741" s="122"/>
      <c r="AA741" s="125"/>
      <c r="AB741" s="364" t="s">
        <v>388</v>
      </c>
    </row>
    <row r="742" spans="1:38" ht="12.6" customHeight="1" x14ac:dyDescent="0.2">
      <c r="A742" s="10"/>
      <c r="B742" s="825" t="s">
        <v>387</v>
      </c>
      <c r="C742" s="825"/>
      <c r="D742" s="825"/>
      <c r="E742" s="825"/>
      <c r="F742" s="255"/>
      <c r="G742" s="255"/>
      <c r="H742" s="91"/>
      <c r="I742" s="91"/>
      <c r="J742" s="537"/>
      <c r="K742" s="255"/>
      <c r="L742" s="537"/>
      <c r="M742" s="255"/>
      <c r="N742" s="537"/>
      <c r="O742" s="255"/>
      <c r="P742" s="537"/>
      <c r="Q742" s="255"/>
      <c r="R742" s="537"/>
      <c r="S742" s="255"/>
      <c r="T742" s="537"/>
      <c r="U742" s="255"/>
      <c r="V742" s="552"/>
      <c r="W742" s="498"/>
      <c r="X742" s="122"/>
      <c r="Y742" s="126"/>
      <c r="Z742" s="122"/>
      <c r="AA742" s="125"/>
      <c r="AB742" s="364" t="s">
        <v>278</v>
      </c>
    </row>
    <row r="743" spans="1:38" s="1" customFormat="1" ht="12.6" customHeight="1" x14ac:dyDescent="0.2">
      <c r="A743" s="18"/>
      <c r="B743" s="642" t="s">
        <v>900</v>
      </c>
      <c r="C743" s="643"/>
      <c r="D743" s="643"/>
      <c r="E743" s="643"/>
      <c r="F743" s="256">
        <v>25940</v>
      </c>
      <c r="G743" s="256">
        <f t="shared" ref="G743" si="2144">+F743*$X$1</f>
        <v>25940</v>
      </c>
      <c r="H743" s="546"/>
      <c r="I743" s="256"/>
      <c r="J743" s="82"/>
      <c r="K743" s="256"/>
      <c r="L743" s="546">
        <f>F743+600</f>
        <v>26540</v>
      </c>
      <c r="M743" s="256">
        <f t="shared" ref="M743:M744" si="2145">+L743*$X$1</f>
        <v>26540</v>
      </c>
      <c r="N743" s="546">
        <f>F743+380</f>
        <v>26320</v>
      </c>
      <c r="O743" s="256">
        <f t="shared" ref="O743:O744" si="2146">+N743*$X$1</f>
        <v>26320</v>
      </c>
      <c r="P743" s="546">
        <f>F743+270</f>
        <v>26210</v>
      </c>
      <c r="Q743" s="256">
        <f t="shared" ref="Q743:Q744" si="2147">+P743*$X$1</f>
        <v>26210</v>
      </c>
      <c r="R743" s="546">
        <f>F743+180</f>
        <v>26120</v>
      </c>
      <c r="S743" s="256">
        <f t="shared" ref="S743:S744" si="2148">+R743*$X$1</f>
        <v>26120</v>
      </c>
      <c r="T743" s="546">
        <f>F743+140</f>
        <v>26080</v>
      </c>
      <c r="U743" s="256">
        <f t="shared" ref="U743:U744" si="2149">+T743*$X$1</f>
        <v>26080</v>
      </c>
      <c r="V743" s="546">
        <f>F743+110</f>
        <v>26050</v>
      </c>
      <c r="W743" s="256">
        <f t="shared" ref="W743:W744" si="2150">+V743*$X$1</f>
        <v>26050</v>
      </c>
      <c r="X743" s="627"/>
      <c r="Y743" s="628"/>
      <c r="Z743" s="628"/>
      <c r="AA743" s="629"/>
      <c r="AB743" s="178" t="s">
        <v>762</v>
      </c>
      <c r="AC743" s="4"/>
      <c r="AD743" s="4"/>
      <c r="AE743" s="4"/>
      <c r="AF743" s="4"/>
      <c r="AG743" s="4"/>
      <c r="AH743" s="116"/>
      <c r="AI743" s="4"/>
      <c r="AJ743" s="4"/>
      <c r="AK743" s="4"/>
      <c r="AL743" s="4"/>
    </row>
    <row r="744" spans="1:38" s="1" customFormat="1" ht="12.6" customHeight="1" x14ac:dyDescent="0.2">
      <c r="A744" s="18"/>
      <c r="B744" s="630" t="s">
        <v>899</v>
      </c>
      <c r="C744" s="631"/>
      <c r="D744" s="631"/>
      <c r="E744" s="631"/>
      <c r="F744" s="255">
        <v>14073</v>
      </c>
      <c r="G744" s="255">
        <f t="shared" ref="G744" si="2151">+F744*$X$1</f>
        <v>14073</v>
      </c>
      <c r="H744" s="537"/>
      <c r="I744" s="255"/>
      <c r="J744" s="68"/>
      <c r="K744" s="255"/>
      <c r="L744" s="537">
        <f>F744+600</f>
        <v>14673</v>
      </c>
      <c r="M744" s="255">
        <f t="shared" si="2145"/>
        <v>14673</v>
      </c>
      <c r="N744" s="537">
        <f>F744+380</f>
        <v>14453</v>
      </c>
      <c r="O744" s="255">
        <f t="shared" si="2146"/>
        <v>14453</v>
      </c>
      <c r="P744" s="537">
        <f>F744+270</f>
        <v>14343</v>
      </c>
      <c r="Q744" s="255">
        <f t="shared" si="2147"/>
        <v>14343</v>
      </c>
      <c r="R744" s="537">
        <f>F744+180</f>
        <v>14253</v>
      </c>
      <c r="S744" s="255">
        <f t="shared" si="2148"/>
        <v>14253</v>
      </c>
      <c r="T744" s="537">
        <f>F744+140</f>
        <v>14213</v>
      </c>
      <c r="U744" s="255">
        <f t="shared" si="2149"/>
        <v>14213</v>
      </c>
      <c r="V744" s="537">
        <f>F744+110</f>
        <v>14183</v>
      </c>
      <c r="W744" s="255">
        <f t="shared" si="2150"/>
        <v>14183</v>
      </c>
      <c r="X744" s="627"/>
      <c r="Y744" s="628"/>
      <c r="Z744" s="628"/>
      <c r="AA744" s="629"/>
      <c r="AB744" s="178" t="s">
        <v>763</v>
      </c>
      <c r="AC744" s="4"/>
      <c r="AD744" s="4"/>
      <c r="AE744" s="4"/>
      <c r="AF744" s="4"/>
      <c r="AG744" s="4"/>
      <c r="AH744" s="116"/>
      <c r="AI744" s="4"/>
      <c r="AJ744" s="4"/>
      <c r="AK744" s="4"/>
      <c r="AL744" s="4"/>
    </row>
    <row r="745" spans="1:38" ht="12.6" customHeight="1" x14ac:dyDescent="0.2">
      <c r="A745" s="188"/>
      <c r="B745" s="763" t="s">
        <v>483</v>
      </c>
      <c r="C745" s="643"/>
      <c r="D745" s="643"/>
      <c r="E745" s="643"/>
      <c r="F745" s="256">
        <v>18624</v>
      </c>
      <c r="G745" s="256">
        <f t="shared" ref="G745" si="2152">+F745*$X$1</f>
        <v>18624</v>
      </c>
      <c r="H745" s="250"/>
      <c r="I745" s="250"/>
      <c r="J745" s="546">
        <f>F745+1000</f>
        <v>19624</v>
      </c>
      <c r="K745" s="256">
        <f t="shared" ref="K745" si="2153">+J745*$X$1</f>
        <v>19624</v>
      </c>
      <c r="L745" s="546">
        <f t="shared" ref="L745" si="2154">F745+800</f>
        <v>19424</v>
      </c>
      <c r="M745" s="256">
        <f t="shared" ref="M745:M748" si="2155">+L745*$X$1</f>
        <v>19424</v>
      </c>
      <c r="N745" s="546">
        <f t="shared" ref="N745" si="2156">F745+700</f>
        <v>19324</v>
      </c>
      <c r="O745" s="256">
        <f t="shared" ref="O745:O748" si="2157">+N745*$X$1</f>
        <v>19324</v>
      </c>
      <c r="P745" s="546">
        <f t="shared" ref="P745" si="2158">F745+600</f>
        <v>19224</v>
      </c>
      <c r="Q745" s="256">
        <f t="shared" ref="Q745:Q748" si="2159">+P745*$X$1</f>
        <v>19224</v>
      </c>
      <c r="R745" s="546">
        <f t="shared" ref="R745" si="2160">F745+500</f>
        <v>19124</v>
      </c>
      <c r="S745" s="256">
        <f t="shared" ref="S745:S748" si="2161">+R745*$X$1</f>
        <v>19124</v>
      </c>
      <c r="T745" s="546">
        <f t="shared" ref="T745" si="2162">F745+450</f>
        <v>19074</v>
      </c>
      <c r="U745" s="256">
        <f t="shared" ref="U745:U748" si="2163">+T745*$X$1</f>
        <v>19074</v>
      </c>
      <c r="V745" s="553"/>
      <c r="W745" s="256"/>
      <c r="X745" s="272"/>
      <c r="Y745" s="272"/>
      <c r="Z745" s="272"/>
      <c r="AA745" s="272"/>
      <c r="AB745" s="364" t="s">
        <v>592</v>
      </c>
    </row>
    <row r="746" spans="1:38" ht="12.6" customHeight="1" x14ac:dyDescent="0.2">
      <c r="A746" s="188"/>
      <c r="B746" s="750" t="s">
        <v>372</v>
      </c>
      <c r="C746" s="700"/>
      <c r="D746" s="700"/>
      <c r="E746" s="700"/>
      <c r="F746" s="255">
        <v>20890</v>
      </c>
      <c r="G746" s="255">
        <f t="shared" ref="G746:G751" si="2164">+F746*$X$1</f>
        <v>20890</v>
      </c>
      <c r="H746" s="251"/>
      <c r="I746" s="251"/>
      <c r="J746" s="537"/>
      <c r="K746" s="255"/>
      <c r="L746" s="537">
        <f>F746+600</f>
        <v>21490</v>
      </c>
      <c r="M746" s="255">
        <f t="shared" si="2155"/>
        <v>21490</v>
      </c>
      <c r="N746" s="537">
        <f>F746+380</f>
        <v>21270</v>
      </c>
      <c r="O746" s="255">
        <f t="shared" si="2157"/>
        <v>21270</v>
      </c>
      <c r="P746" s="537">
        <f>F746+270</f>
        <v>21160</v>
      </c>
      <c r="Q746" s="255">
        <f t="shared" si="2159"/>
        <v>21160</v>
      </c>
      <c r="R746" s="537">
        <f>F746+180</f>
        <v>21070</v>
      </c>
      <c r="S746" s="255">
        <f t="shared" si="2161"/>
        <v>21070</v>
      </c>
      <c r="T746" s="537">
        <f>F746+140</f>
        <v>21030</v>
      </c>
      <c r="U746" s="255">
        <f t="shared" si="2163"/>
        <v>21030</v>
      </c>
      <c r="V746" s="537">
        <f>F746+110</f>
        <v>21000</v>
      </c>
      <c r="W746" s="255">
        <f t="shared" ref="W746:W748" si="2165">+V746*$X$1</f>
        <v>21000</v>
      </c>
      <c r="X746" s="139"/>
      <c r="Y746" s="139"/>
      <c r="Z746" s="139"/>
      <c r="AA746" s="139"/>
      <c r="AB746" s="364" t="s">
        <v>375</v>
      </c>
    </row>
    <row r="747" spans="1:38" ht="12.6" customHeight="1" x14ac:dyDescent="0.2">
      <c r="A747" s="188"/>
      <c r="B747" s="746" t="s">
        <v>482</v>
      </c>
      <c r="C747" s="747"/>
      <c r="D747" s="747"/>
      <c r="E747" s="747"/>
      <c r="F747" s="256">
        <v>21780</v>
      </c>
      <c r="G747" s="256">
        <f t="shared" ref="G747:G748" si="2166">+F747*$X$1</f>
        <v>21780</v>
      </c>
      <c r="H747" s="546">
        <f>F747+3000</f>
        <v>24780</v>
      </c>
      <c r="I747" s="256">
        <f t="shared" ref="I747" si="2167">+H747*$X$1</f>
        <v>24780</v>
      </c>
      <c r="J747" s="546">
        <f t="shared" ref="J747:J753" si="2168">F747+1000</f>
        <v>22780</v>
      </c>
      <c r="K747" s="256">
        <f t="shared" ref="K747" si="2169">+J747*$X$1</f>
        <v>22780</v>
      </c>
      <c r="L747" s="546">
        <f>F747+600</f>
        <v>22380</v>
      </c>
      <c r="M747" s="256">
        <f t="shared" si="2155"/>
        <v>22380</v>
      </c>
      <c r="N747" s="546">
        <f>F747+380</f>
        <v>22160</v>
      </c>
      <c r="O747" s="256">
        <f t="shared" si="2157"/>
        <v>22160</v>
      </c>
      <c r="P747" s="546">
        <f>F747+270</f>
        <v>22050</v>
      </c>
      <c r="Q747" s="256">
        <f t="shared" si="2159"/>
        <v>22050</v>
      </c>
      <c r="R747" s="546">
        <f>F747+180</f>
        <v>21960</v>
      </c>
      <c r="S747" s="256">
        <f t="shared" si="2161"/>
        <v>21960</v>
      </c>
      <c r="T747" s="546">
        <f>F747+140</f>
        <v>21920</v>
      </c>
      <c r="U747" s="256">
        <f t="shared" si="2163"/>
        <v>21920</v>
      </c>
      <c r="V747" s="546">
        <f>F747+110</f>
        <v>21890</v>
      </c>
      <c r="W747" s="256">
        <f t="shared" si="2165"/>
        <v>21890</v>
      </c>
      <c r="X747" s="272"/>
      <c r="Y747" s="272"/>
      <c r="Z747" s="272"/>
      <c r="AA747" s="272"/>
      <c r="AB747" s="364" t="s">
        <v>484</v>
      </c>
    </row>
    <row r="748" spans="1:38" ht="12.6" customHeight="1" x14ac:dyDescent="0.2">
      <c r="A748" s="188"/>
      <c r="B748" s="750" t="s">
        <v>681</v>
      </c>
      <c r="C748" s="700"/>
      <c r="D748" s="700"/>
      <c r="E748" s="700"/>
      <c r="F748" s="255">
        <v>21603</v>
      </c>
      <c r="G748" s="255">
        <f t="shared" si="2166"/>
        <v>21603</v>
      </c>
      <c r="H748" s="537">
        <f>F748+3000</f>
        <v>24603</v>
      </c>
      <c r="I748" s="255">
        <f t="shared" ref="I748" si="2170">+H748*$X$1</f>
        <v>24603</v>
      </c>
      <c r="J748" s="537">
        <f t="shared" si="2168"/>
        <v>22603</v>
      </c>
      <c r="K748" s="255">
        <f t="shared" ref="K748:K753" si="2171">+J748*$X$1</f>
        <v>22603</v>
      </c>
      <c r="L748" s="537">
        <f>F748+600</f>
        <v>22203</v>
      </c>
      <c r="M748" s="255">
        <f t="shared" si="2155"/>
        <v>22203</v>
      </c>
      <c r="N748" s="537">
        <f>F748+380</f>
        <v>21983</v>
      </c>
      <c r="O748" s="255">
        <f t="shared" si="2157"/>
        <v>21983</v>
      </c>
      <c r="P748" s="537">
        <f>F748+270</f>
        <v>21873</v>
      </c>
      <c r="Q748" s="255">
        <f t="shared" si="2159"/>
        <v>21873</v>
      </c>
      <c r="R748" s="537">
        <f>F748+180</f>
        <v>21783</v>
      </c>
      <c r="S748" s="255">
        <f t="shared" si="2161"/>
        <v>21783</v>
      </c>
      <c r="T748" s="537">
        <f>F748+140</f>
        <v>21743</v>
      </c>
      <c r="U748" s="255">
        <f t="shared" si="2163"/>
        <v>21743</v>
      </c>
      <c r="V748" s="537">
        <f>F748+110</f>
        <v>21713</v>
      </c>
      <c r="W748" s="255">
        <f t="shared" si="2165"/>
        <v>21713</v>
      </c>
      <c r="X748" s="396"/>
      <c r="Y748" s="396"/>
      <c r="Z748" s="396"/>
      <c r="AA748" s="396"/>
      <c r="AB748" s="364" t="s">
        <v>682</v>
      </c>
    </row>
    <row r="749" spans="1:38" ht="12.6" customHeight="1" x14ac:dyDescent="0.2">
      <c r="A749" s="188"/>
      <c r="B749" s="746" t="s">
        <v>371</v>
      </c>
      <c r="C749" s="747"/>
      <c r="D749" s="747"/>
      <c r="E749" s="747"/>
      <c r="F749" s="256">
        <v>23148</v>
      </c>
      <c r="G749" s="256">
        <f t="shared" si="2164"/>
        <v>23148</v>
      </c>
      <c r="H749" s="250"/>
      <c r="I749" s="250"/>
      <c r="J749" s="92">
        <f t="shared" si="2168"/>
        <v>24148</v>
      </c>
      <c r="K749" s="280">
        <f t="shared" si="2171"/>
        <v>24148</v>
      </c>
      <c r="L749" s="92">
        <f t="shared" ref="L749:L753" si="2172">F749+800</f>
        <v>23948</v>
      </c>
      <c r="M749" s="280">
        <f t="shared" ref="M749:M753" si="2173">+L749*$X$1</f>
        <v>23948</v>
      </c>
      <c r="N749" s="92">
        <f t="shared" ref="N749:N753" si="2174">F749+700</f>
        <v>23848</v>
      </c>
      <c r="O749" s="280">
        <f t="shared" ref="O749:O753" si="2175">+N749*$X$1</f>
        <v>23848</v>
      </c>
      <c r="P749" s="92">
        <f t="shared" ref="P749:P753" si="2176">F749+600</f>
        <v>23748</v>
      </c>
      <c r="Q749" s="280">
        <f t="shared" ref="Q749:Q753" si="2177">+P749*$X$1</f>
        <v>23748</v>
      </c>
      <c r="R749" s="92">
        <f t="shared" ref="R749:R753" si="2178">F749+500</f>
        <v>23648</v>
      </c>
      <c r="S749" s="280">
        <f t="shared" ref="S749:S753" si="2179">+R749*$X$1</f>
        <v>23648</v>
      </c>
      <c r="T749" s="92">
        <f t="shared" ref="T749:T753" si="2180">F749+450</f>
        <v>23598</v>
      </c>
      <c r="U749" s="280">
        <f t="shared" ref="U749:U753" si="2181">+T749*$X$1</f>
        <v>23598</v>
      </c>
      <c r="V749" s="429"/>
      <c r="W749" s="256"/>
      <c r="X749" s="139"/>
      <c r="Y749" s="139"/>
      <c r="Z749" s="139"/>
      <c r="AA749" s="139"/>
      <c r="AB749" s="364" t="s">
        <v>374</v>
      </c>
    </row>
    <row r="750" spans="1:38" ht="12.6" customHeight="1" x14ac:dyDescent="0.2">
      <c r="A750" s="188"/>
      <c r="B750" s="750" t="s">
        <v>485</v>
      </c>
      <c r="C750" s="700"/>
      <c r="D750" s="700"/>
      <c r="E750" s="700"/>
      <c r="F750" s="326">
        <f>7.8*X2</f>
        <v>12012</v>
      </c>
      <c r="G750" s="255">
        <f t="shared" ref="G750" si="2182">+F750*$X$1</f>
        <v>12012</v>
      </c>
      <c r="H750" s="251"/>
      <c r="I750" s="251"/>
      <c r="J750" s="93">
        <f t="shared" si="2168"/>
        <v>13012</v>
      </c>
      <c r="K750" s="270">
        <f t="shared" si="2171"/>
        <v>13012</v>
      </c>
      <c r="L750" s="93">
        <f t="shared" si="2172"/>
        <v>12812</v>
      </c>
      <c r="M750" s="270">
        <f t="shared" si="2173"/>
        <v>12812</v>
      </c>
      <c r="N750" s="93">
        <f t="shared" si="2174"/>
        <v>12712</v>
      </c>
      <c r="O750" s="270">
        <f t="shared" si="2175"/>
        <v>12712</v>
      </c>
      <c r="P750" s="93">
        <f t="shared" si="2176"/>
        <v>12612</v>
      </c>
      <c r="Q750" s="270">
        <f t="shared" si="2177"/>
        <v>12612</v>
      </c>
      <c r="R750" s="93">
        <f t="shared" si="2178"/>
        <v>12512</v>
      </c>
      <c r="S750" s="270">
        <f t="shared" si="2179"/>
        <v>12512</v>
      </c>
      <c r="T750" s="93">
        <f t="shared" si="2180"/>
        <v>12462</v>
      </c>
      <c r="U750" s="270">
        <f t="shared" si="2181"/>
        <v>12462</v>
      </c>
      <c r="V750" s="273"/>
      <c r="W750" s="255"/>
      <c r="X750" s="274"/>
      <c r="Y750" s="274"/>
      <c r="Z750" s="274"/>
      <c r="AA750" s="274"/>
      <c r="AB750" s="364" t="s">
        <v>593</v>
      </c>
    </row>
    <row r="751" spans="1:38" ht="12.6" customHeight="1" x14ac:dyDescent="0.2">
      <c r="A751" s="188"/>
      <c r="B751" s="746" t="s">
        <v>416</v>
      </c>
      <c r="C751" s="747"/>
      <c r="D751" s="747"/>
      <c r="E751" s="747"/>
      <c r="F751" s="327">
        <f>7.8*X2</f>
        <v>12012</v>
      </c>
      <c r="G751" s="256">
        <f t="shared" si="2164"/>
        <v>12012</v>
      </c>
      <c r="H751" s="250"/>
      <c r="I751" s="250"/>
      <c r="J751" s="92">
        <f t="shared" si="2168"/>
        <v>13012</v>
      </c>
      <c r="K751" s="280">
        <f t="shared" si="2171"/>
        <v>13012</v>
      </c>
      <c r="L751" s="92">
        <f t="shared" si="2172"/>
        <v>12812</v>
      </c>
      <c r="M751" s="280">
        <f t="shared" si="2173"/>
        <v>12812</v>
      </c>
      <c r="N751" s="92">
        <f t="shared" si="2174"/>
        <v>12712</v>
      </c>
      <c r="O751" s="280">
        <f t="shared" si="2175"/>
        <v>12712</v>
      </c>
      <c r="P751" s="92">
        <f t="shared" si="2176"/>
        <v>12612</v>
      </c>
      <c r="Q751" s="280">
        <f t="shared" si="2177"/>
        <v>12612</v>
      </c>
      <c r="R751" s="92">
        <f t="shared" si="2178"/>
        <v>12512</v>
      </c>
      <c r="S751" s="280">
        <f t="shared" si="2179"/>
        <v>12512</v>
      </c>
      <c r="T751" s="92">
        <f t="shared" si="2180"/>
        <v>12462</v>
      </c>
      <c r="U751" s="280">
        <f t="shared" si="2181"/>
        <v>12462</v>
      </c>
      <c r="V751" s="546"/>
      <c r="W751" s="256"/>
      <c r="X751" s="139"/>
      <c r="Y751" s="139"/>
      <c r="Z751" s="139"/>
      <c r="AA751" s="139"/>
      <c r="AB751" s="364" t="s">
        <v>583</v>
      </c>
    </row>
    <row r="752" spans="1:38" ht="12.6" customHeight="1" x14ac:dyDescent="0.2">
      <c r="A752" s="188"/>
      <c r="B752" s="750" t="s">
        <v>596</v>
      </c>
      <c r="C752" s="700"/>
      <c r="D752" s="700"/>
      <c r="E752" s="700"/>
      <c r="F752" s="326">
        <f>15*X2</f>
        <v>23100</v>
      </c>
      <c r="G752" s="255">
        <f t="shared" ref="G752" si="2183">+F752*$X$1</f>
        <v>23100</v>
      </c>
      <c r="H752" s="251"/>
      <c r="I752" s="251"/>
      <c r="J752" s="93">
        <f t="shared" si="2168"/>
        <v>24100</v>
      </c>
      <c r="K752" s="270">
        <f t="shared" si="2171"/>
        <v>24100</v>
      </c>
      <c r="L752" s="93">
        <f t="shared" si="2172"/>
        <v>23900</v>
      </c>
      <c r="M752" s="270">
        <f t="shared" si="2173"/>
        <v>23900</v>
      </c>
      <c r="N752" s="93">
        <f t="shared" si="2174"/>
        <v>23800</v>
      </c>
      <c r="O752" s="270">
        <f t="shared" si="2175"/>
        <v>23800</v>
      </c>
      <c r="P752" s="93">
        <f t="shared" si="2176"/>
        <v>23700</v>
      </c>
      <c r="Q752" s="270">
        <f t="shared" si="2177"/>
        <v>23700</v>
      </c>
      <c r="R752" s="93">
        <f t="shared" si="2178"/>
        <v>23600</v>
      </c>
      <c r="S752" s="270">
        <f t="shared" si="2179"/>
        <v>23600</v>
      </c>
      <c r="T752" s="93">
        <f t="shared" si="2180"/>
        <v>23550</v>
      </c>
      <c r="U752" s="270">
        <f t="shared" si="2181"/>
        <v>23550</v>
      </c>
      <c r="V752" s="537"/>
      <c r="W752" s="255"/>
      <c r="X752" s="335"/>
      <c r="Y752" s="335"/>
      <c r="Z752" s="335"/>
      <c r="AA752" s="335"/>
      <c r="AB752" s="364" t="s">
        <v>584</v>
      </c>
    </row>
    <row r="753" spans="1:35" ht="12.6" customHeight="1" x14ac:dyDescent="0.2">
      <c r="A753" s="188"/>
      <c r="B753" s="746" t="s">
        <v>415</v>
      </c>
      <c r="C753" s="747"/>
      <c r="D753" s="747"/>
      <c r="E753" s="747"/>
      <c r="F753" s="327">
        <f>10.41*X2</f>
        <v>16031.4</v>
      </c>
      <c r="G753" s="256">
        <f t="shared" ref="G753" si="2184">+F753*$X$1</f>
        <v>16031.4</v>
      </c>
      <c r="H753" s="250"/>
      <c r="I753" s="250"/>
      <c r="J753" s="92">
        <f t="shared" si="2168"/>
        <v>17031.400000000001</v>
      </c>
      <c r="K753" s="280">
        <f t="shared" si="2171"/>
        <v>17031.400000000001</v>
      </c>
      <c r="L753" s="92">
        <f t="shared" si="2172"/>
        <v>16831.400000000001</v>
      </c>
      <c r="M753" s="280">
        <f t="shared" si="2173"/>
        <v>16831.400000000001</v>
      </c>
      <c r="N753" s="92">
        <f t="shared" si="2174"/>
        <v>16731.400000000001</v>
      </c>
      <c r="O753" s="280">
        <f t="shared" si="2175"/>
        <v>16731.400000000001</v>
      </c>
      <c r="P753" s="92">
        <f t="shared" si="2176"/>
        <v>16631.400000000001</v>
      </c>
      <c r="Q753" s="280">
        <f t="shared" si="2177"/>
        <v>16631.400000000001</v>
      </c>
      <c r="R753" s="92">
        <f t="shared" si="2178"/>
        <v>16531.400000000001</v>
      </c>
      <c r="S753" s="280">
        <f t="shared" si="2179"/>
        <v>16531.400000000001</v>
      </c>
      <c r="T753" s="92">
        <f t="shared" si="2180"/>
        <v>16481.400000000001</v>
      </c>
      <c r="U753" s="280">
        <f t="shared" si="2181"/>
        <v>16481.400000000001</v>
      </c>
      <c r="V753" s="546"/>
      <c r="W753" s="256"/>
      <c r="X753" s="139"/>
      <c r="Y753" s="139"/>
      <c r="Z753" s="139"/>
      <c r="AA753" s="139"/>
      <c r="AB753" s="364" t="s">
        <v>585</v>
      </c>
    </row>
    <row r="754" spans="1:35" ht="11.25" customHeight="1" x14ac:dyDescent="0.2">
      <c r="A754" s="188"/>
      <c r="B754" s="98"/>
      <c r="C754" s="441"/>
      <c r="D754" s="441"/>
      <c r="E754" s="441"/>
      <c r="F754" s="368"/>
      <c r="G754" s="295"/>
      <c r="H754" s="106"/>
      <c r="I754" s="295"/>
      <c r="J754" s="106"/>
      <c r="K754" s="295"/>
      <c r="L754" s="106"/>
      <c r="M754" s="295"/>
      <c r="N754" s="106"/>
      <c r="O754" s="295"/>
      <c r="P754" s="106"/>
      <c r="Q754" s="295"/>
      <c r="R754" s="106"/>
      <c r="S754" s="295"/>
      <c r="T754" s="106"/>
      <c r="U754" s="295"/>
      <c r="V754" s="71"/>
      <c r="W754" s="401"/>
      <c r="X754" s="440"/>
      <c r="Y754" s="440"/>
      <c r="Z754" s="440"/>
      <c r="AA754" s="440"/>
      <c r="AB754" s="369"/>
    </row>
    <row r="755" spans="1:35" ht="19.5" customHeight="1" x14ac:dyDescent="0.2">
      <c r="A755" s="26"/>
      <c r="B755" s="836" t="s">
        <v>279</v>
      </c>
      <c r="C755" s="837"/>
      <c r="D755" s="837"/>
      <c r="E755" s="837"/>
      <c r="F755" s="837"/>
      <c r="G755" s="837"/>
      <c r="H755" s="837"/>
      <c r="I755" s="837"/>
      <c r="J755" s="837"/>
      <c r="K755" s="837"/>
      <c r="L755" s="837"/>
      <c r="M755" s="837"/>
      <c r="N755" s="837"/>
      <c r="O755" s="837"/>
      <c r="P755" s="837"/>
      <c r="Q755" s="837"/>
      <c r="R755" s="837"/>
      <c r="S755" s="837"/>
      <c r="T755" s="837"/>
      <c r="U755" s="837"/>
      <c r="V755" s="837"/>
      <c r="W755" s="838"/>
      <c r="AF755" s="748"/>
      <c r="AG755" s="749"/>
      <c r="AH755" s="749"/>
    </row>
    <row r="756" spans="1:35" ht="12.6" customHeight="1" x14ac:dyDescent="0.2">
      <c r="A756" s="17"/>
      <c r="B756" s="955"/>
      <c r="C756" s="956"/>
      <c r="D756" s="956"/>
      <c r="E756" s="956"/>
      <c r="F756" s="956"/>
      <c r="G756" s="957"/>
      <c r="H756" s="420"/>
      <c r="I756" s="421" t="s">
        <v>261</v>
      </c>
      <c r="J756" s="421"/>
      <c r="K756" s="421" t="s">
        <v>17</v>
      </c>
      <c r="L756" s="421"/>
      <c r="M756" s="421" t="s">
        <v>18</v>
      </c>
      <c r="N756" s="421"/>
      <c r="O756" s="421" t="s">
        <v>19</v>
      </c>
      <c r="P756" s="421"/>
      <c r="Q756" s="421" t="s">
        <v>262</v>
      </c>
      <c r="R756" s="421"/>
      <c r="S756" s="421" t="s">
        <v>20</v>
      </c>
      <c r="T756" s="421"/>
      <c r="U756" s="421" t="s">
        <v>21</v>
      </c>
      <c r="V756" s="421"/>
      <c r="W756" s="421" t="s">
        <v>22</v>
      </c>
    </row>
    <row r="757" spans="1:35" ht="12.6" customHeight="1" x14ac:dyDescent="0.2">
      <c r="A757" s="951"/>
      <c r="B757" s="782" t="s">
        <v>457</v>
      </c>
      <c r="C757" s="783"/>
      <c r="D757" s="783"/>
      <c r="E757" s="783"/>
      <c r="F757" s="783"/>
      <c r="G757" s="784"/>
      <c r="H757" s="520"/>
      <c r="I757" s="336"/>
      <c r="J757" s="337"/>
      <c r="K757" s="315"/>
      <c r="L757" s="259">
        <v>150</v>
      </c>
      <c r="M757" s="315">
        <f>+L757*$X$1</f>
        <v>150</v>
      </c>
      <c r="N757" s="398">
        <v>80</v>
      </c>
      <c r="O757" s="315">
        <f>+N757*$X$1</f>
        <v>80</v>
      </c>
      <c r="P757" s="398">
        <v>65</v>
      </c>
      <c r="Q757" s="315">
        <f>+P757*$X$1</f>
        <v>65</v>
      </c>
      <c r="R757" s="398">
        <v>60</v>
      </c>
      <c r="S757" s="315">
        <f>+R757*$X$1</f>
        <v>60</v>
      </c>
      <c r="T757" s="398">
        <v>55</v>
      </c>
      <c r="U757" s="316">
        <f>+T757*$X$1</f>
        <v>55</v>
      </c>
      <c r="V757" s="398">
        <v>45</v>
      </c>
      <c r="W757" s="315">
        <f>+V757*$X$1</f>
        <v>45</v>
      </c>
    </row>
    <row r="758" spans="1:35" ht="12.6" customHeight="1" x14ac:dyDescent="0.2">
      <c r="A758" s="951"/>
      <c r="B758" s="833" t="s">
        <v>280</v>
      </c>
      <c r="C758" s="834"/>
      <c r="D758" s="834"/>
      <c r="E758" s="834"/>
      <c r="F758" s="834"/>
      <c r="G758" s="835"/>
      <c r="H758" s="521"/>
      <c r="I758" s="338"/>
      <c r="J758" s="339">
        <v>300</v>
      </c>
      <c r="K758" s="317">
        <f>+J758*$X$1</f>
        <v>300</v>
      </c>
      <c r="L758" s="340">
        <v>200</v>
      </c>
      <c r="M758" s="341">
        <f>+L758*$X$1</f>
        <v>200</v>
      </c>
      <c r="N758" s="102">
        <v>160</v>
      </c>
      <c r="O758" s="341">
        <f>+N758*$X$1</f>
        <v>160</v>
      </c>
      <c r="P758" s="102">
        <v>130</v>
      </c>
      <c r="Q758" s="341">
        <f>+P758*$X$1</f>
        <v>130</v>
      </c>
      <c r="R758" s="102">
        <v>120</v>
      </c>
      <c r="S758" s="341">
        <f>+R758*$X$1</f>
        <v>120</v>
      </c>
      <c r="T758" s="102">
        <v>110</v>
      </c>
      <c r="U758" s="341">
        <f>+T758*$X$1</f>
        <v>110</v>
      </c>
      <c r="V758" s="102">
        <v>80</v>
      </c>
      <c r="W758" s="341">
        <f>+V758*$X$1</f>
        <v>80</v>
      </c>
    </row>
    <row r="759" spans="1:35" ht="12.6" customHeight="1" x14ac:dyDescent="0.2">
      <c r="A759" s="951"/>
      <c r="B759" s="782" t="s">
        <v>458</v>
      </c>
      <c r="C759" s="783"/>
      <c r="D759" s="783"/>
      <c r="E759" s="783"/>
      <c r="F759" s="783"/>
      <c r="G759" s="784"/>
      <c r="H759" s="259"/>
      <c r="I759" s="315"/>
      <c r="J759" s="259"/>
      <c r="K759" s="315"/>
      <c r="L759" s="259">
        <v>170</v>
      </c>
      <c r="M759" s="315">
        <f>+L759*$X$1</f>
        <v>170</v>
      </c>
      <c r="N759" s="398">
        <v>110</v>
      </c>
      <c r="O759" s="315">
        <f>+N759*$X$1</f>
        <v>110</v>
      </c>
      <c r="P759" s="398">
        <v>90</v>
      </c>
      <c r="Q759" s="315">
        <f>+P759*$X$1</f>
        <v>90</v>
      </c>
      <c r="R759" s="398">
        <v>85</v>
      </c>
      <c r="S759" s="315">
        <f>+R759*$X$1</f>
        <v>85</v>
      </c>
      <c r="T759" s="398">
        <v>80</v>
      </c>
      <c r="U759" s="316">
        <f>+T759*$X$1</f>
        <v>80</v>
      </c>
      <c r="V759" s="398">
        <v>70</v>
      </c>
      <c r="W759" s="315">
        <f>+V759*$X$1</f>
        <v>70</v>
      </c>
    </row>
    <row r="760" spans="1:35" ht="12.6" customHeight="1" x14ac:dyDescent="0.2">
      <c r="A760" s="951"/>
      <c r="B760" s="785" t="s">
        <v>456</v>
      </c>
      <c r="C760" s="786"/>
      <c r="D760" s="786"/>
      <c r="E760" s="786"/>
      <c r="F760" s="786"/>
      <c r="G760" s="787"/>
      <c r="H760" s="342">
        <v>500</v>
      </c>
      <c r="I760" s="317">
        <f>+H760*$X$1</f>
        <v>500</v>
      </c>
      <c r="J760" s="342">
        <v>300</v>
      </c>
      <c r="K760" s="317">
        <f>+J760*$X$1</f>
        <v>300</v>
      </c>
      <c r="L760" s="342">
        <v>250</v>
      </c>
      <c r="M760" s="317">
        <f>+L760*$X$1</f>
        <v>250</v>
      </c>
      <c r="N760" s="514">
        <v>220</v>
      </c>
      <c r="O760" s="317">
        <f>+N760*$X$1</f>
        <v>220</v>
      </c>
      <c r="P760" s="514">
        <v>200</v>
      </c>
      <c r="Q760" s="317">
        <f>+P760*$X$1</f>
        <v>200</v>
      </c>
      <c r="R760" s="514">
        <v>180</v>
      </c>
      <c r="S760" s="317">
        <f>+R760*$X$1</f>
        <v>180</v>
      </c>
      <c r="T760" s="514">
        <v>150</v>
      </c>
      <c r="U760" s="341">
        <f>+T760*$X$1</f>
        <v>150</v>
      </c>
      <c r="V760" s="514">
        <v>130</v>
      </c>
      <c r="W760" s="317">
        <f>+V760*$X$1</f>
        <v>130</v>
      </c>
    </row>
    <row r="761" spans="1:35" ht="12.75" customHeight="1" x14ac:dyDescent="0.2">
      <c r="A761" s="951"/>
      <c r="B761" s="845" t="s">
        <v>754</v>
      </c>
      <c r="C761" s="846"/>
      <c r="D761" s="846"/>
      <c r="E761" s="846"/>
      <c r="F761" s="846"/>
      <c r="G761" s="846"/>
      <c r="H761" s="846"/>
      <c r="I761" s="846"/>
      <c r="J761" s="846"/>
      <c r="K761" s="846"/>
      <c r="L761" s="846"/>
      <c r="M761" s="846"/>
      <c r="N761" s="846"/>
      <c r="O761" s="846"/>
      <c r="P761" s="846"/>
      <c r="Q761" s="846"/>
      <c r="R761" s="846"/>
      <c r="S761" s="846"/>
      <c r="T761" s="846"/>
      <c r="U761" s="846"/>
      <c r="V761" s="846"/>
      <c r="W761" s="847"/>
    </row>
    <row r="762" spans="1:35" ht="13.5" customHeight="1" x14ac:dyDescent="0.2">
      <c r="A762" s="951"/>
      <c r="B762" s="788" t="s">
        <v>524</v>
      </c>
      <c r="C762" s="789"/>
      <c r="D762" s="789"/>
      <c r="E762" s="789"/>
      <c r="F762" s="789"/>
      <c r="G762" s="790"/>
      <c r="H762" s="796"/>
      <c r="I762" s="779" t="s">
        <v>261</v>
      </c>
      <c r="J762" s="796"/>
      <c r="K762" s="779" t="s">
        <v>17</v>
      </c>
      <c r="L762" s="779"/>
      <c r="M762" s="779" t="s">
        <v>18</v>
      </c>
      <c r="N762" s="779"/>
      <c r="O762" s="779" t="s">
        <v>19</v>
      </c>
      <c r="P762" s="779"/>
      <c r="Q762" s="779" t="s">
        <v>262</v>
      </c>
      <c r="R762" s="779"/>
      <c r="S762" s="779" t="s">
        <v>20</v>
      </c>
      <c r="T762" s="779"/>
      <c r="U762" s="779" t="s">
        <v>21</v>
      </c>
      <c r="V762" s="779"/>
      <c r="W762" s="779" t="s">
        <v>22</v>
      </c>
    </row>
    <row r="763" spans="1:35" ht="11.25" customHeight="1" x14ac:dyDescent="0.2">
      <c r="A763" s="951"/>
      <c r="B763" s="791"/>
      <c r="C763" s="792"/>
      <c r="D763" s="792"/>
      <c r="E763" s="792"/>
      <c r="F763" s="792"/>
      <c r="G763" s="793"/>
      <c r="H763" s="797"/>
      <c r="I763" s="781"/>
      <c r="J763" s="797"/>
      <c r="K763" s="781"/>
      <c r="L763" s="780"/>
      <c r="M763" s="780"/>
      <c r="N763" s="780"/>
      <c r="O763" s="780"/>
      <c r="P763" s="780"/>
      <c r="Q763" s="780"/>
      <c r="R763" s="780"/>
      <c r="S763" s="780"/>
      <c r="T763" s="780"/>
      <c r="U763" s="780"/>
      <c r="V763" s="780"/>
      <c r="W763" s="780"/>
      <c r="AB763" s="56"/>
      <c r="AC763" s="56"/>
      <c r="AD763" s="56"/>
      <c r="AE763" s="56"/>
      <c r="AF763" s="56"/>
      <c r="AG763" s="56"/>
      <c r="AH763" s="56"/>
      <c r="AI763" s="56"/>
    </row>
    <row r="764" spans="1:35" ht="12.6" customHeight="1" x14ac:dyDescent="0.2">
      <c r="A764" s="951"/>
      <c r="B764" s="798" t="s">
        <v>522</v>
      </c>
      <c r="C764" s="799"/>
      <c r="D764" s="799"/>
      <c r="E764" s="799"/>
      <c r="F764" s="799"/>
      <c r="G764" s="800"/>
      <c r="H764" s="82">
        <v>840</v>
      </c>
      <c r="I764" s="318">
        <f>+H764*$X$1</f>
        <v>840</v>
      </c>
      <c r="J764" s="82">
        <v>720</v>
      </c>
      <c r="K764" s="318">
        <f>+J764*$X$1</f>
        <v>720</v>
      </c>
      <c r="L764" s="398">
        <v>540</v>
      </c>
      <c r="M764" s="315">
        <f>+L764*$X$1</f>
        <v>540</v>
      </c>
      <c r="N764" s="398">
        <v>470</v>
      </c>
      <c r="O764" s="315">
        <f>+N764*$X$1</f>
        <v>470</v>
      </c>
      <c r="P764" s="398">
        <v>430</v>
      </c>
      <c r="Q764" s="315">
        <f>+P764*$X$1</f>
        <v>430</v>
      </c>
      <c r="R764" s="398">
        <v>390</v>
      </c>
      <c r="S764" s="315">
        <f>+R764*$X$1</f>
        <v>390</v>
      </c>
      <c r="T764" s="398">
        <v>360</v>
      </c>
      <c r="U764" s="315">
        <f>+T764*$X$1</f>
        <v>360</v>
      </c>
      <c r="V764" s="398">
        <v>340</v>
      </c>
      <c r="W764" s="315">
        <f>+V764*$X$1</f>
        <v>340</v>
      </c>
    </row>
    <row r="765" spans="1:35" ht="12.6" customHeight="1" x14ac:dyDescent="0.2">
      <c r="A765" s="951"/>
      <c r="B765" s="952" t="s">
        <v>519</v>
      </c>
      <c r="C765" s="953"/>
      <c r="D765" s="953"/>
      <c r="E765" s="953"/>
      <c r="F765" s="953"/>
      <c r="G765" s="954"/>
      <c r="H765" s="68">
        <v>900</v>
      </c>
      <c r="I765" s="343">
        <f>+H765*$X$1</f>
        <v>900</v>
      </c>
      <c r="J765" s="68">
        <v>780</v>
      </c>
      <c r="K765" s="343">
        <f>+J765*$X$1</f>
        <v>780</v>
      </c>
      <c r="L765" s="514">
        <v>720</v>
      </c>
      <c r="M765" s="317">
        <f>+L765*$X$1</f>
        <v>720</v>
      </c>
      <c r="N765" s="514">
        <v>650</v>
      </c>
      <c r="O765" s="317">
        <f>+N765*$X$1</f>
        <v>650</v>
      </c>
      <c r="P765" s="514">
        <v>600</v>
      </c>
      <c r="Q765" s="317">
        <f>+P765*$X$1</f>
        <v>600</v>
      </c>
      <c r="R765" s="514">
        <v>550</v>
      </c>
      <c r="S765" s="317">
        <f>+R765*$X$1</f>
        <v>550</v>
      </c>
      <c r="T765" s="514">
        <v>520</v>
      </c>
      <c r="U765" s="317">
        <f>+T765*$X$1</f>
        <v>520</v>
      </c>
      <c r="V765" s="514">
        <v>480</v>
      </c>
      <c r="W765" s="317">
        <f>+V765*$X$1</f>
        <v>480</v>
      </c>
    </row>
    <row r="766" spans="1:35" ht="12.6" customHeight="1" x14ac:dyDescent="0.2">
      <c r="A766" s="951"/>
      <c r="B766" s="798" t="s">
        <v>521</v>
      </c>
      <c r="C766" s="799"/>
      <c r="D766" s="799"/>
      <c r="E766" s="799"/>
      <c r="F766" s="799"/>
      <c r="G766" s="800"/>
      <c r="H766" s="82">
        <v>1200</v>
      </c>
      <c r="I766" s="318">
        <f>+H766*$X$1</f>
        <v>1200</v>
      </c>
      <c r="J766" s="82">
        <v>1100</v>
      </c>
      <c r="K766" s="318">
        <f>+J766*$X$1</f>
        <v>1100</v>
      </c>
      <c r="L766" s="398">
        <v>960</v>
      </c>
      <c r="M766" s="315">
        <f>+L766*$X$1</f>
        <v>960</v>
      </c>
      <c r="N766" s="398">
        <v>860</v>
      </c>
      <c r="O766" s="315">
        <f>+N766*$X$1</f>
        <v>860</v>
      </c>
      <c r="P766" s="398">
        <v>800</v>
      </c>
      <c r="Q766" s="315">
        <f>+P766*$X$1</f>
        <v>800</v>
      </c>
      <c r="R766" s="398">
        <v>770</v>
      </c>
      <c r="S766" s="315">
        <f>+R766*$X$1</f>
        <v>770</v>
      </c>
      <c r="T766" s="398">
        <v>750</v>
      </c>
      <c r="U766" s="315">
        <f>+T766*$X$1</f>
        <v>750</v>
      </c>
      <c r="V766" s="398">
        <v>720</v>
      </c>
      <c r="W766" s="315">
        <f>+V766*$X$1</f>
        <v>720</v>
      </c>
    </row>
    <row r="767" spans="1:35" ht="12.6" customHeight="1" x14ac:dyDescent="0.2">
      <c r="A767" s="951"/>
      <c r="B767" s="952" t="s">
        <v>520</v>
      </c>
      <c r="C767" s="953"/>
      <c r="D767" s="953"/>
      <c r="E767" s="953"/>
      <c r="F767" s="953"/>
      <c r="G767" s="954"/>
      <c r="H767" s="68">
        <v>1600</v>
      </c>
      <c r="I767" s="418">
        <f>+H767*$X$1</f>
        <v>1600</v>
      </c>
      <c r="J767" s="68">
        <v>1400</v>
      </c>
      <c r="K767" s="419">
        <f>+J767*$X$1</f>
        <v>1400</v>
      </c>
      <c r="L767" s="514">
        <v>1260</v>
      </c>
      <c r="M767" s="317">
        <f>+L767*$X$1</f>
        <v>1260</v>
      </c>
      <c r="N767" s="514">
        <v>1150</v>
      </c>
      <c r="O767" s="317">
        <f>+N767*$X$1</f>
        <v>1150</v>
      </c>
      <c r="P767" s="514">
        <v>1100</v>
      </c>
      <c r="Q767" s="317">
        <f>+P767*$X$1</f>
        <v>1100</v>
      </c>
      <c r="R767" s="514">
        <v>1060</v>
      </c>
      <c r="S767" s="317">
        <f>+R767*$X$1</f>
        <v>1060</v>
      </c>
      <c r="T767" s="514">
        <v>1030</v>
      </c>
      <c r="U767" s="317">
        <f>+T767*$X$1</f>
        <v>1030</v>
      </c>
      <c r="V767" s="514">
        <v>1010</v>
      </c>
      <c r="W767" s="317">
        <f>+V767*$X$1</f>
        <v>1010</v>
      </c>
    </row>
    <row r="768" spans="1:35" ht="9" customHeight="1" x14ac:dyDescent="0.2">
      <c r="A768" s="188"/>
      <c r="B768" s="189"/>
      <c r="C768" s="189"/>
      <c r="D768" s="189"/>
      <c r="E768" s="189"/>
      <c r="F768" s="190"/>
      <c r="G768" s="190"/>
      <c r="H768" s="71"/>
      <c r="I768" s="191"/>
      <c r="J768" s="191"/>
      <c r="K768" s="191"/>
      <c r="L768" s="191"/>
      <c r="M768" s="191"/>
      <c r="N768" s="191"/>
      <c r="O768" s="191"/>
      <c r="P768" s="191"/>
      <c r="Q768" s="191"/>
      <c r="R768" s="191"/>
      <c r="S768" s="191"/>
      <c r="T768" s="191"/>
      <c r="U768" s="191"/>
      <c r="V768" s="71"/>
      <c r="W768" s="183"/>
      <c r="X768" s="182"/>
      <c r="Y768" s="182"/>
      <c r="Z768" s="182"/>
      <c r="AA768" s="182"/>
      <c r="AB768" s="192"/>
    </row>
    <row r="769" spans="2:34" ht="17.25" customHeight="1" x14ac:dyDescent="0.2">
      <c r="B769" s="831" t="s">
        <v>463</v>
      </c>
      <c r="C769" s="832"/>
      <c r="D769" s="832"/>
      <c r="E769" s="832"/>
      <c r="F769" s="832"/>
      <c r="G769" s="832"/>
      <c r="H769" s="832"/>
      <c r="I769" s="832"/>
      <c r="J769" s="832"/>
      <c r="K769" s="66" t="s">
        <v>459</v>
      </c>
      <c r="L769" s="67">
        <v>42</v>
      </c>
      <c r="M769" s="314">
        <f>+L769*$X$1</f>
        <v>42</v>
      </c>
      <c r="N769" s="65"/>
      <c r="O769" s="66" t="s">
        <v>460</v>
      </c>
      <c r="P769" s="67">
        <v>39</v>
      </c>
      <c r="Q769" s="314">
        <f>+P769*$X$1</f>
        <v>39</v>
      </c>
      <c r="R769" s="43"/>
      <c r="S769" s="43"/>
      <c r="T769" s="43"/>
      <c r="U769" s="43"/>
      <c r="V769" s="43"/>
      <c r="W769" s="43"/>
    </row>
    <row r="770" spans="2:34" ht="10.5" customHeight="1" x14ac:dyDescent="0.2">
      <c r="B770" s="46"/>
      <c r="C770" s="159"/>
      <c r="D770" s="159"/>
      <c r="E770" s="159"/>
      <c r="F770" s="159"/>
      <c r="G770" s="159"/>
      <c r="H770" s="159"/>
      <c r="I770" s="159"/>
      <c r="J770" s="159"/>
      <c r="K770" s="47"/>
      <c r="L770" s="48"/>
      <c r="M770" s="49"/>
      <c r="N770" s="43"/>
      <c r="O770" s="47"/>
      <c r="P770" s="48"/>
      <c r="Q770" s="49"/>
      <c r="R770" s="43"/>
      <c r="S770" s="43"/>
      <c r="T770" s="43"/>
      <c r="U770" s="43"/>
      <c r="V770" s="43"/>
      <c r="W770" s="43"/>
    </row>
    <row r="771" spans="2:34" x14ac:dyDescent="0.2">
      <c r="B771" s="3"/>
      <c r="C771" s="829" t="s">
        <v>281</v>
      </c>
      <c r="D771" s="830"/>
      <c r="E771" s="830"/>
      <c r="F771" s="830"/>
      <c r="G771" s="830"/>
      <c r="H771" s="830"/>
      <c r="I771" s="830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7"/>
      <c r="W771" s="7"/>
    </row>
    <row r="772" spans="2:34" ht="12.6" customHeight="1" x14ac:dyDescent="0.2">
      <c r="B772" s="3"/>
      <c r="C772" s="895" t="s">
        <v>282</v>
      </c>
      <c r="D772" s="896"/>
      <c r="E772" s="896"/>
      <c r="F772" s="896"/>
      <c r="G772" s="897"/>
      <c r="H772" s="370"/>
      <c r="I772" s="367"/>
      <c r="J772" s="4"/>
      <c r="K772" s="4"/>
      <c r="L772" s="34"/>
      <c r="M772" s="3"/>
      <c r="N772" s="3"/>
      <c r="O772" s="3"/>
      <c r="P772" s="3"/>
      <c r="Q772" s="3"/>
      <c r="R772" s="3"/>
      <c r="S772" s="3"/>
      <c r="T772" s="3"/>
      <c r="U772" s="3"/>
      <c r="V772" s="7"/>
      <c r="W772" s="7"/>
    </row>
    <row r="773" spans="2:34" ht="12.6" customHeight="1" x14ac:dyDescent="0.2">
      <c r="B773" s="3"/>
      <c r="C773" s="826" t="s">
        <v>283</v>
      </c>
      <c r="D773" s="827"/>
      <c r="E773" s="827"/>
      <c r="F773" s="827"/>
      <c r="G773" s="828"/>
      <c r="H773" s="38"/>
      <c r="I773" s="371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7"/>
      <c r="W773" s="7"/>
    </row>
    <row r="774" spans="2:34" ht="12.6" customHeight="1" x14ac:dyDescent="0.2">
      <c r="B774" s="3"/>
      <c r="C774" s="826" t="s">
        <v>284</v>
      </c>
      <c r="D774" s="827"/>
      <c r="E774" s="827"/>
      <c r="F774" s="827"/>
      <c r="G774" s="828"/>
      <c r="H774" s="40"/>
      <c r="I774" s="313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7"/>
      <c r="W774" s="7"/>
    </row>
    <row r="775" spans="2:34" ht="15.95" customHeight="1" x14ac:dyDescent="0.2">
      <c r="B775" s="3"/>
      <c r="C775" s="801" t="s">
        <v>517</v>
      </c>
      <c r="D775" s="789"/>
      <c r="E775" s="789"/>
      <c r="F775" s="789"/>
      <c r="G775" s="789"/>
      <c r="H775" s="802"/>
      <c r="I775" s="803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7"/>
      <c r="W775" s="7"/>
    </row>
    <row r="776" spans="2:34" ht="15.75" customHeight="1" x14ac:dyDescent="0.2">
      <c r="B776" s="3"/>
      <c r="C776" s="791"/>
      <c r="D776" s="792"/>
      <c r="E776" s="792"/>
      <c r="F776" s="792"/>
      <c r="G776" s="792"/>
      <c r="H776" s="804"/>
      <c r="I776" s="805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"/>
      <c r="W776" s="7"/>
    </row>
    <row r="777" spans="2:34" ht="10.5" customHeight="1" thickBot="1" x14ac:dyDescent="0.25">
      <c r="B777" s="4"/>
      <c r="C777" s="45"/>
      <c r="D777" s="45"/>
      <c r="E777" s="45"/>
      <c r="F777" s="45"/>
      <c r="G777" s="45"/>
      <c r="H777" s="39"/>
      <c r="I777" s="301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"/>
      <c r="W777" s="7"/>
    </row>
    <row r="778" spans="2:34" ht="13.5" customHeight="1" x14ac:dyDescent="0.2">
      <c r="B778" s="815" t="s">
        <v>1003</v>
      </c>
      <c r="C778" s="816"/>
      <c r="D778" s="816"/>
      <c r="E778" s="816"/>
      <c r="F778" s="816"/>
      <c r="G778" s="816"/>
      <c r="H778" s="816"/>
      <c r="I778" s="816"/>
      <c r="J778" s="816"/>
      <c r="K778" s="816"/>
      <c r="L778" s="816"/>
      <c r="M778" s="816"/>
      <c r="N778" s="816"/>
      <c r="O778" s="816"/>
      <c r="P778" s="816"/>
      <c r="Q778" s="816"/>
      <c r="R778" s="816"/>
      <c r="S778" s="816"/>
      <c r="T778" s="816"/>
      <c r="U778" s="816"/>
      <c r="V778" s="816"/>
      <c r="W778" s="817"/>
    </row>
    <row r="779" spans="2:34" ht="13.5" customHeight="1" x14ac:dyDescent="0.2">
      <c r="B779" s="818"/>
      <c r="C779" s="819"/>
      <c r="D779" s="819"/>
      <c r="E779" s="819"/>
      <c r="F779" s="819"/>
      <c r="G779" s="819"/>
      <c r="H779" s="819"/>
      <c r="I779" s="819"/>
      <c r="J779" s="819"/>
      <c r="K779" s="819"/>
      <c r="L779" s="819"/>
      <c r="M779" s="819"/>
      <c r="N779" s="819"/>
      <c r="O779" s="819"/>
      <c r="P779" s="819"/>
      <c r="Q779" s="819"/>
      <c r="R779" s="819"/>
      <c r="S779" s="819"/>
      <c r="T779" s="819"/>
      <c r="U779" s="819"/>
      <c r="V779" s="819"/>
      <c r="W779" s="820"/>
    </row>
    <row r="780" spans="2:34" ht="13.5" customHeight="1" thickBot="1" x14ac:dyDescent="0.25">
      <c r="B780" s="821"/>
      <c r="C780" s="822"/>
      <c r="D780" s="822"/>
      <c r="E780" s="822"/>
      <c r="F780" s="822"/>
      <c r="G780" s="822"/>
      <c r="H780" s="822"/>
      <c r="I780" s="822"/>
      <c r="J780" s="822"/>
      <c r="K780" s="822"/>
      <c r="L780" s="822"/>
      <c r="M780" s="822"/>
      <c r="N780" s="822"/>
      <c r="O780" s="822"/>
      <c r="P780" s="822"/>
      <c r="Q780" s="822"/>
      <c r="R780" s="822"/>
      <c r="S780" s="822"/>
      <c r="T780" s="822"/>
      <c r="U780" s="822"/>
      <c r="V780" s="822"/>
      <c r="W780" s="823"/>
    </row>
    <row r="781" spans="2:34" ht="9" customHeight="1" x14ac:dyDescent="0.2">
      <c r="B781" s="4"/>
      <c r="C781" s="37"/>
      <c r="D781" s="37"/>
      <c r="E781" s="37"/>
      <c r="F781" s="37"/>
      <c r="G781" s="37"/>
      <c r="H781" s="39"/>
      <c r="I781" s="39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7"/>
      <c r="W781" s="7"/>
    </row>
    <row r="782" spans="2:34" ht="23.25" customHeight="1" x14ac:dyDescent="0.2">
      <c r="B782" s="3"/>
      <c r="C782" s="839" t="s">
        <v>594</v>
      </c>
      <c r="D782" s="840"/>
      <c r="E782" s="840"/>
      <c r="F782" s="840"/>
      <c r="G782" s="840"/>
      <c r="H782" s="840"/>
      <c r="I782" s="8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AF782" s="748" t="s">
        <v>3</v>
      </c>
      <c r="AG782" s="749"/>
      <c r="AH782" s="749"/>
    </row>
    <row r="783" spans="2:34" ht="12.95" customHeight="1" x14ac:dyDescent="0.2">
      <c r="B783" s="3"/>
      <c r="C783" s="806"/>
      <c r="D783" s="807"/>
      <c r="E783" s="807"/>
      <c r="F783" s="807"/>
      <c r="G783" s="807"/>
      <c r="H783" s="807"/>
      <c r="I783" s="808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"/>
      <c r="W783" s="7"/>
    </row>
    <row r="784" spans="2:34" ht="12.95" customHeight="1" x14ac:dyDescent="0.2">
      <c r="B784" s="3"/>
      <c r="C784" s="809"/>
      <c r="D784" s="810"/>
      <c r="E784" s="810"/>
      <c r="F784" s="810"/>
      <c r="G784" s="810"/>
      <c r="H784" s="810"/>
      <c r="I784" s="811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7"/>
      <c r="W784" s="7"/>
    </row>
    <row r="785" spans="2:34" ht="12.95" customHeight="1" x14ac:dyDescent="0.2">
      <c r="B785" s="3"/>
      <c r="C785" s="809"/>
      <c r="D785" s="810"/>
      <c r="E785" s="810"/>
      <c r="F785" s="810"/>
      <c r="G785" s="810"/>
      <c r="H785" s="810"/>
      <c r="I785" s="811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7"/>
      <c r="W785" s="7"/>
    </row>
    <row r="786" spans="2:34" ht="12.95" customHeight="1" x14ac:dyDescent="0.2">
      <c r="B786" s="3"/>
      <c r="C786" s="809"/>
      <c r="D786" s="810"/>
      <c r="E786" s="810"/>
      <c r="F786" s="810"/>
      <c r="G786" s="810"/>
      <c r="H786" s="810"/>
      <c r="I786" s="811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7"/>
      <c r="W786" s="7"/>
    </row>
    <row r="787" spans="2:34" ht="12.95" customHeight="1" x14ac:dyDescent="0.2">
      <c r="B787" s="3"/>
      <c r="C787" s="809"/>
      <c r="D787" s="810"/>
      <c r="E787" s="810"/>
      <c r="F787" s="810"/>
      <c r="G787" s="810"/>
      <c r="H787" s="810"/>
      <c r="I787" s="811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7"/>
      <c r="W787" s="7"/>
    </row>
    <row r="788" spans="2:34" ht="12.95" customHeight="1" x14ac:dyDescent="0.2">
      <c r="B788" s="3"/>
      <c r="C788" s="809"/>
      <c r="D788" s="810"/>
      <c r="E788" s="810"/>
      <c r="F788" s="810"/>
      <c r="G788" s="810"/>
      <c r="H788" s="810"/>
      <c r="I788" s="811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7"/>
      <c r="W788" s="7"/>
    </row>
    <row r="789" spans="2:34" ht="10.5" customHeight="1" x14ac:dyDescent="0.2">
      <c r="B789" s="3"/>
      <c r="C789" s="812"/>
      <c r="D789" s="813"/>
      <c r="E789" s="813"/>
      <c r="F789" s="813"/>
      <c r="G789" s="813"/>
      <c r="H789" s="813"/>
      <c r="I789" s="814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7"/>
      <c r="W789" s="7"/>
    </row>
    <row r="790" spans="2:34" ht="12.6" customHeight="1" x14ac:dyDescent="0.2">
      <c r="B790" s="3"/>
      <c r="C790" s="842" t="s">
        <v>367</v>
      </c>
      <c r="D790" s="842"/>
      <c r="E790" s="843"/>
      <c r="F790" s="843"/>
      <c r="G790" s="844"/>
      <c r="H790" s="40">
        <v>1500</v>
      </c>
      <c r="I790" s="317">
        <f>+H790*$X$1</f>
        <v>1500</v>
      </c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7"/>
      <c r="W790" s="7"/>
    </row>
    <row r="791" spans="2:34" ht="12.6" customHeight="1" x14ac:dyDescent="0.2">
      <c r="B791" s="3"/>
      <c r="C791" s="842" t="s">
        <v>595</v>
      </c>
      <c r="D791" s="842"/>
      <c r="E791" s="843"/>
      <c r="F791" s="843"/>
      <c r="G791" s="844"/>
      <c r="H791" s="40">
        <v>1400</v>
      </c>
      <c r="I791" s="317">
        <f>+H791*$X$1</f>
        <v>1400</v>
      </c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"/>
      <c r="W791" s="7"/>
    </row>
    <row r="792" spans="2:34" ht="9.75" customHeight="1" x14ac:dyDescent="0.2">
      <c r="B792" s="3"/>
      <c r="C792" s="44"/>
      <c r="D792" s="42"/>
      <c r="E792" s="42"/>
      <c r="F792" s="42"/>
      <c r="G792" s="37"/>
      <c r="H792" s="39"/>
      <c r="I792" s="39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"/>
      <c r="W792" s="7"/>
    </row>
    <row r="793" spans="2:34" ht="15.75" customHeight="1" x14ac:dyDescent="0.2">
      <c r="B793" s="860" t="s">
        <v>518</v>
      </c>
      <c r="C793" s="861"/>
      <c r="D793" s="861"/>
      <c r="E793" s="861"/>
      <c r="F793" s="861"/>
      <c r="G793" s="861"/>
      <c r="H793" s="861"/>
      <c r="I793" s="861"/>
      <c r="J793" s="861"/>
      <c r="K793" s="861"/>
      <c r="L793" s="861"/>
      <c r="M793" s="861"/>
      <c r="N793" s="861"/>
      <c r="O793" s="861"/>
      <c r="P793" s="861"/>
      <c r="Q793" s="861"/>
      <c r="R793" s="861"/>
      <c r="S793" s="861"/>
      <c r="T793" s="861"/>
      <c r="U793" s="861"/>
      <c r="V793" s="861"/>
      <c r="W793" s="862"/>
    </row>
    <row r="794" spans="2:34" ht="12.6" customHeight="1" x14ac:dyDescent="0.2">
      <c r="B794" s="24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</row>
    <row r="795" spans="2:34" ht="12.6" customHeight="1" x14ac:dyDescent="0.2">
      <c r="B795" s="24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</row>
    <row r="796" spans="2:34" ht="12.6" customHeight="1" x14ac:dyDescent="0.2">
      <c r="B796" s="24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</row>
    <row r="797" spans="2:34" ht="15.75" customHeight="1" x14ac:dyDescent="0.2">
      <c r="B797" s="858" t="s">
        <v>285</v>
      </c>
      <c r="C797" s="859"/>
      <c r="D797" s="859"/>
      <c r="E797" s="859"/>
      <c r="F797" s="859"/>
      <c r="G797" s="859"/>
      <c r="H797" s="859"/>
      <c r="I797" s="859"/>
      <c r="J797" s="859"/>
      <c r="K797" s="859"/>
      <c r="L797" s="859"/>
      <c r="M797" s="859"/>
      <c r="N797" s="859"/>
      <c r="O797" s="859"/>
      <c r="P797" s="859"/>
      <c r="Q797" s="859"/>
      <c r="R797" s="859"/>
      <c r="S797" s="859"/>
      <c r="T797" s="859"/>
      <c r="U797" s="859"/>
      <c r="V797" s="859"/>
      <c r="W797" s="859"/>
    </row>
    <row r="798" spans="2:34" ht="15.75" customHeight="1" x14ac:dyDescent="0.2">
      <c r="B798" s="858" t="s">
        <v>286</v>
      </c>
      <c r="C798" s="859"/>
      <c r="D798" s="859"/>
      <c r="E798" s="859"/>
      <c r="F798" s="859"/>
      <c r="G798" s="859"/>
      <c r="H798" s="859"/>
      <c r="I798" s="859"/>
      <c r="J798" s="859"/>
      <c r="K798" s="859"/>
      <c r="L798" s="859"/>
      <c r="M798" s="859"/>
      <c r="N798" s="859"/>
      <c r="O798" s="859"/>
      <c r="P798" s="859"/>
      <c r="Q798" s="859"/>
      <c r="R798" s="859"/>
      <c r="S798" s="859"/>
      <c r="T798" s="859"/>
      <c r="U798" s="859"/>
      <c r="V798" s="859"/>
      <c r="W798" s="859"/>
      <c r="AF798" s="748"/>
      <c r="AG798" s="749"/>
      <c r="AH798" s="749"/>
    </row>
    <row r="799" spans="2:34" ht="15.75" customHeight="1" x14ac:dyDescent="0.2">
      <c r="B799" s="858" t="s">
        <v>287</v>
      </c>
      <c r="C799" s="859"/>
      <c r="D799" s="859"/>
      <c r="E799" s="859"/>
      <c r="F799" s="859"/>
      <c r="G799" s="859"/>
      <c r="H799" s="859"/>
      <c r="I799" s="859"/>
      <c r="J799" s="859"/>
      <c r="K799" s="859"/>
      <c r="L799" s="859"/>
      <c r="M799" s="859"/>
      <c r="N799" s="859"/>
      <c r="O799" s="859"/>
      <c r="P799" s="859"/>
      <c r="Q799" s="859"/>
      <c r="R799" s="859"/>
      <c r="S799" s="859"/>
      <c r="T799" s="859"/>
      <c r="U799" s="859"/>
      <c r="V799" s="859"/>
      <c r="W799" s="859"/>
    </row>
    <row r="800" spans="2:34" ht="9.75" customHeight="1" x14ac:dyDescent="0.2">
      <c r="B800" s="11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</row>
    <row r="801" spans="2:24" ht="18" customHeight="1" thickBot="1" x14ac:dyDescent="0.25">
      <c r="B801" s="892" t="s">
        <v>288</v>
      </c>
      <c r="C801" s="893"/>
      <c r="D801" s="893"/>
      <c r="E801" s="893"/>
      <c r="F801" s="893"/>
      <c r="G801" s="893"/>
      <c r="H801" s="893"/>
      <c r="I801" s="893"/>
      <c r="J801" s="893"/>
      <c r="K801" s="893"/>
      <c r="L801" s="893"/>
      <c r="M801" s="893"/>
      <c r="N801" s="893"/>
      <c r="O801" s="893"/>
      <c r="P801" s="893"/>
      <c r="Q801" s="893"/>
      <c r="R801" s="893"/>
      <c r="S801" s="893"/>
      <c r="T801" s="893"/>
      <c r="U801" s="893"/>
      <c r="V801" s="893"/>
      <c r="W801" s="894"/>
    </row>
    <row r="802" spans="2:24" x14ac:dyDescent="0.2">
      <c r="B802" s="881" t="s">
        <v>876</v>
      </c>
      <c r="C802" s="882"/>
      <c r="D802" s="882"/>
      <c r="E802" s="882"/>
      <c r="F802" s="882"/>
      <c r="G802" s="882"/>
      <c r="H802" s="882"/>
      <c r="I802" s="882"/>
      <c r="J802" s="882"/>
      <c r="K802" s="882"/>
      <c r="L802" s="882"/>
      <c r="M802" s="882"/>
      <c r="N802" s="883"/>
      <c r="O802" s="883"/>
      <c r="P802" s="883"/>
      <c r="Q802" s="883"/>
      <c r="R802" s="883"/>
      <c r="S802" s="883"/>
      <c r="T802" s="883"/>
      <c r="U802" s="883"/>
      <c r="V802" s="883"/>
      <c r="W802" s="884"/>
    </row>
    <row r="803" spans="2:24" ht="12.75" customHeight="1" x14ac:dyDescent="0.2">
      <c r="B803" s="885"/>
      <c r="C803" s="882"/>
      <c r="D803" s="882"/>
      <c r="E803" s="882"/>
      <c r="F803" s="882"/>
      <c r="G803" s="882"/>
      <c r="H803" s="882"/>
      <c r="I803" s="882"/>
      <c r="J803" s="882"/>
      <c r="K803" s="882"/>
      <c r="L803" s="882"/>
      <c r="M803" s="882"/>
      <c r="N803" s="883"/>
      <c r="O803" s="883"/>
      <c r="P803" s="883"/>
      <c r="Q803" s="883"/>
      <c r="R803" s="883"/>
      <c r="S803" s="883"/>
      <c r="T803" s="883"/>
      <c r="U803" s="883"/>
      <c r="V803" s="883"/>
      <c r="W803" s="884"/>
    </row>
    <row r="804" spans="2:24" x14ac:dyDescent="0.2">
      <c r="B804" s="885"/>
      <c r="C804" s="882"/>
      <c r="D804" s="882"/>
      <c r="E804" s="882"/>
      <c r="F804" s="882"/>
      <c r="G804" s="882"/>
      <c r="H804" s="882"/>
      <c r="I804" s="882"/>
      <c r="J804" s="882"/>
      <c r="K804" s="882"/>
      <c r="L804" s="882"/>
      <c r="M804" s="882"/>
      <c r="N804" s="883"/>
      <c r="O804" s="883"/>
      <c r="P804" s="883"/>
      <c r="Q804" s="883"/>
      <c r="R804" s="883"/>
      <c r="S804" s="883"/>
      <c r="T804" s="883"/>
      <c r="U804" s="883"/>
      <c r="V804" s="883"/>
      <c r="W804" s="884"/>
    </row>
    <row r="805" spans="2:24" x14ac:dyDescent="0.2">
      <c r="B805" s="886"/>
      <c r="C805" s="887"/>
      <c r="D805" s="887"/>
      <c r="E805" s="887"/>
      <c r="F805" s="887"/>
      <c r="G805" s="887"/>
      <c r="H805" s="887"/>
      <c r="I805" s="887"/>
      <c r="J805" s="887"/>
      <c r="K805" s="887"/>
      <c r="L805" s="887"/>
      <c r="M805" s="887"/>
      <c r="N805" s="888"/>
      <c r="O805" s="888"/>
      <c r="P805" s="888"/>
      <c r="Q805" s="888"/>
      <c r="R805" s="888"/>
      <c r="S805" s="888"/>
      <c r="T805" s="888"/>
      <c r="U805" s="888"/>
      <c r="V805" s="888"/>
      <c r="W805" s="889"/>
    </row>
    <row r="806" spans="2:24" ht="12.6" customHeight="1" x14ac:dyDescent="0.2">
      <c r="B806" s="193"/>
      <c r="C806" s="193"/>
      <c r="D806" s="193"/>
      <c r="E806" s="193"/>
      <c r="F806" s="193"/>
      <c r="G806" s="193"/>
      <c r="H806" s="193"/>
      <c r="I806" s="193"/>
      <c r="J806" s="193"/>
      <c r="K806" s="193"/>
      <c r="L806" s="193"/>
      <c r="M806" s="194"/>
      <c r="N806" s="59"/>
      <c r="O806" s="59"/>
      <c r="P806" s="59"/>
      <c r="Q806" s="59"/>
      <c r="R806" s="59"/>
      <c r="S806" s="59"/>
      <c r="T806" s="59"/>
      <c r="U806" s="59"/>
      <c r="V806" s="59"/>
      <c r="W806" s="59"/>
    </row>
    <row r="807" spans="2:24" x14ac:dyDescent="0.2">
      <c r="B807" s="890" t="s">
        <v>289</v>
      </c>
      <c r="C807" s="891"/>
      <c r="D807" s="891"/>
      <c r="E807" s="891"/>
      <c r="F807" s="891"/>
      <c r="G807" s="891"/>
      <c r="H807" s="891"/>
      <c r="I807" s="891"/>
      <c r="J807" s="891"/>
      <c r="K807" s="891"/>
      <c r="L807" s="891"/>
      <c r="M807" s="891"/>
      <c r="N807" s="891"/>
      <c r="O807" s="891"/>
      <c r="P807" s="891"/>
      <c r="Q807" s="891"/>
      <c r="R807" s="891"/>
      <c r="S807" s="891"/>
      <c r="T807" s="891"/>
      <c r="U807" s="891"/>
      <c r="V807" s="891"/>
      <c r="W807" s="891"/>
    </row>
    <row r="808" spans="2:24" x14ac:dyDescent="0.2">
      <c r="B808" s="891"/>
      <c r="C808" s="891"/>
      <c r="D808" s="891"/>
      <c r="E808" s="891"/>
      <c r="F808" s="891"/>
      <c r="G808" s="891"/>
      <c r="H808" s="891"/>
      <c r="I808" s="891"/>
      <c r="J808" s="891"/>
      <c r="K808" s="891"/>
      <c r="L808" s="891"/>
      <c r="M808" s="891"/>
      <c r="N808" s="891"/>
      <c r="O808" s="891"/>
      <c r="P808" s="891"/>
      <c r="Q808" s="891"/>
      <c r="R808" s="891"/>
      <c r="S808" s="891"/>
      <c r="T808" s="891"/>
      <c r="U808" s="891"/>
      <c r="V808" s="891"/>
      <c r="W808" s="891"/>
    </row>
    <row r="809" spans="2:24" x14ac:dyDescent="0.2">
      <c r="B809" s="880" t="s">
        <v>290</v>
      </c>
      <c r="C809" s="859"/>
      <c r="D809" s="859"/>
      <c r="E809" s="859"/>
      <c r="F809" s="859"/>
      <c r="G809" s="859"/>
      <c r="H809" s="859"/>
      <c r="I809" s="859"/>
      <c r="J809" s="859"/>
      <c r="K809" s="859"/>
      <c r="L809" s="859"/>
      <c r="M809" s="859"/>
      <c r="N809" s="859"/>
      <c r="O809" s="859"/>
      <c r="P809" s="859"/>
      <c r="Q809" s="859"/>
      <c r="R809" s="859"/>
      <c r="S809" s="859"/>
      <c r="T809" s="859"/>
      <c r="U809" s="859"/>
      <c r="V809" s="859"/>
      <c r="W809" s="859"/>
    </row>
    <row r="810" spans="2:24" ht="14.25" customHeight="1" x14ac:dyDescent="0.2">
      <c r="B810" s="469"/>
      <c r="C810" s="468"/>
      <c r="D810" s="468"/>
      <c r="E810" s="468"/>
      <c r="F810" s="468"/>
      <c r="G810" s="468"/>
      <c r="H810" s="468"/>
      <c r="I810" s="468"/>
      <c r="J810" s="468"/>
      <c r="K810" s="468"/>
      <c r="L810" s="468"/>
      <c r="M810" s="468"/>
      <c r="N810" s="468"/>
      <c r="O810" s="468"/>
      <c r="P810" s="468"/>
      <c r="Q810" s="468"/>
      <c r="R810" s="468"/>
      <c r="S810" s="468"/>
      <c r="T810" s="468"/>
      <c r="U810" s="468"/>
      <c r="V810" s="468"/>
      <c r="W810" s="468"/>
    </row>
    <row r="811" spans="2:24" ht="16.5" customHeight="1" x14ac:dyDescent="0.2">
      <c r="B811" s="879" t="s">
        <v>880</v>
      </c>
      <c r="C811" s="633"/>
      <c r="D811" s="633"/>
      <c r="E811" s="633"/>
      <c r="F811" s="633"/>
      <c r="G811" s="633"/>
      <c r="H811" s="633"/>
      <c r="I811" s="633"/>
      <c r="J811" s="633"/>
      <c r="K811" s="633"/>
      <c r="L811" s="633"/>
      <c r="M811" s="633"/>
      <c r="N811" s="633"/>
      <c r="O811" s="633"/>
      <c r="P811" s="633"/>
      <c r="Q811" s="633"/>
      <c r="R811" s="633"/>
      <c r="S811" s="633"/>
      <c r="T811" s="633"/>
      <c r="U811" s="633"/>
      <c r="V811" s="633"/>
      <c r="W811" s="633"/>
    </row>
    <row r="812" spans="2:24" ht="11.25" customHeight="1" x14ac:dyDescent="0.2">
      <c r="B812" s="216"/>
      <c r="C812" s="216"/>
      <c r="D812" s="216"/>
      <c r="E812" s="216"/>
      <c r="F812" s="216"/>
      <c r="G812" s="216"/>
      <c r="H812" s="216"/>
      <c r="I812" s="216"/>
      <c r="J812" s="216"/>
      <c r="K812" s="216"/>
      <c r="L812" s="216"/>
      <c r="M812" s="216"/>
      <c r="N812" s="216"/>
      <c r="O812" s="216"/>
      <c r="P812" s="216"/>
      <c r="Q812" s="216"/>
      <c r="R812" s="216"/>
      <c r="S812" s="216"/>
      <c r="T812" s="216"/>
      <c r="U812" s="216"/>
      <c r="V812" s="216"/>
      <c r="W812" s="216"/>
      <c r="X812" s="62"/>
    </row>
    <row r="813" spans="2:24" ht="8.25" customHeight="1" x14ac:dyDescent="0.2">
      <c r="B813" s="863" t="s">
        <v>875</v>
      </c>
      <c r="C813" s="864"/>
      <c r="D813" s="864"/>
      <c r="E813" s="864"/>
      <c r="F813" s="864"/>
      <c r="G813" s="864"/>
      <c r="H813" s="864"/>
      <c r="I813" s="864"/>
      <c r="J813" s="864"/>
      <c r="K813" s="865"/>
      <c r="L813" s="865"/>
      <c r="M813" s="865"/>
      <c r="N813" s="865"/>
      <c r="O813" s="865"/>
      <c r="P813" s="865"/>
      <c r="Q813" s="865"/>
      <c r="R813" s="865"/>
      <c r="S813" s="865"/>
      <c r="T813" s="865"/>
      <c r="U813" s="865"/>
      <c r="V813" s="865"/>
      <c r="W813" s="866"/>
    </row>
    <row r="814" spans="2:24" ht="12.75" customHeight="1" x14ac:dyDescent="0.2">
      <c r="B814" s="867"/>
      <c r="C814" s="868"/>
      <c r="D814" s="868"/>
      <c r="E814" s="868"/>
      <c r="F814" s="868"/>
      <c r="G814" s="868"/>
      <c r="H814" s="868"/>
      <c r="I814" s="868"/>
      <c r="J814" s="868"/>
      <c r="K814" s="869"/>
      <c r="L814" s="869"/>
      <c r="M814" s="869"/>
      <c r="N814" s="869"/>
      <c r="O814" s="869"/>
      <c r="P814" s="869"/>
      <c r="Q814" s="869"/>
      <c r="R814" s="869"/>
      <c r="S814" s="869"/>
      <c r="T814" s="869"/>
      <c r="U814" s="869"/>
      <c r="V814" s="869"/>
      <c r="W814" s="870"/>
    </row>
    <row r="815" spans="2:24" x14ac:dyDescent="0.2">
      <c r="B815" s="871"/>
      <c r="C815" s="872"/>
      <c r="D815" s="872"/>
      <c r="E815" s="872"/>
      <c r="F815" s="872"/>
      <c r="G815" s="872"/>
      <c r="H815" s="872"/>
      <c r="I815" s="872"/>
      <c r="J815" s="872"/>
      <c r="K815" s="869"/>
      <c r="L815" s="869"/>
      <c r="M815" s="869"/>
      <c r="N815" s="869"/>
      <c r="O815" s="869"/>
      <c r="P815" s="869"/>
      <c r="Q815" s="869"/>
      <c r="R815" s="869"/>
      <c r="S815" s="869"/>
      <c r="T815" s="869"/>
      <c r="U815" s="869"/>
      <c r="V815" s="869"/>
      <c r="W815" s="870"/>
    </row>
    <row r="816" spans="2:24" x14ac:dyDescent="0.2">
      <c r="B816" s="871"/>
      <c r="C816" s="872"/>
      <c r="D816" s="872"/>
      <c r="E816" s="872"/>
      <c r="F816" s="872"/>
      <c r="G816" s="872"/>
      <c r="H816" s="872"/>
      <c r="I816" s="872"/>
      <c r="J816" s="872"/>
      <c r="K816" s="869"/>
      <c r="L816" s="869"/>
      <c r="M816" s="869"/>
      <c r="N816" s="869"/>
      <c r="O816" s="869"/>
      <c r="P816" s="869"/>
      <c r="Q816" s="869"/>
      <c r="R816" s="869"/>
      <c r="S816" s="869"/>
      <c r="T816" s="869"/>
      <c r="U816" s="869"/>
      <c r="V816" s="869"/>
      <c r="W816" s="870"/>
    </row>
    <row r="817" spans="2:23" x14ac:dyDescent="0.2">
      <c r="B817" s="871"/>
      <c r="C817" s="872"/>
      <c r="D817" s="872"/>
      <c r="E817" s="872"/>
      <c r="F817" s="872"/>
      <c r="G817" s="872"/>
      <c r="H817" s="872"/>
      <c r="I817" s="872"/>
      <c r="J817" s="872"/>
      <c r="K817" s="869"/>
      <c r="L817" s="869"/>
      <c r="M817" s="869"/>
      <c r="N817" s="869"/>
      <c r="O817" s="869"/>
      <c r="P817" s="869"/>
      <c r="Q817" s="869"/>
      <c r="R817" s="869"/>
      <c r="S817" s="869"/>
      <c r="T817" s="869"/>
      <c r="U817" s="869"/>
      <c r="V817" s="869"/>
      <c r="W817" s="870"/>
    </row>
    <row r="818" spans="2:23" x14ac:dyDescent="0.2">
      <c r="B818" s="871"/>
      <c r="C818" s="872"/>
      <c r="D818" s="872"/>
      <c r="E818" s="872"/>
      <c r="F818" s="872"/>
      <c r="G818" s="872"/>
      <c r="H818" s="872"/>
      <c r="I818" s="872"/>
      <c r="J818" s="872"/>
      <c r="K818" s="869"/>
      <c r="L818" s="869"/>
      <c r="M818" s="869"/>
      <c r="N818" s="869"/>
      <c r="O818" s="869"/>
      <c r="P818" s="869"/>
      <c r="Q818" s="869"/>
      <c r="R818" s="869"/>
      <c r="S818" s="869"/>
      <c r="T818" s="869"/>
      <c r="U818" s="869"/>
      <c r="V818" s="869"/>
      <c r="W818" s="870"/>
    </row>
    <row r="819" spans="2:23" x14ac:dyDescent="0.2">
      <c r="B819" s="873"/>
      <c r="C819" s="874"/>
      <c r="D819" s="874"/>
      <c r="E819" s="874"/>
      <c r="F819" s="874"/>
      <c r="G819" s="874"/>
      <c r="H819" s="874"/>
      <c r="I819" s="874"/>
      <c r="J819" s="874"/>
      <c r="K819" s="874"/>
      <c r="L819" s="874"/>
      <c r="M819" s="874"/>
      <c r="N819" s="874"/>
      <c r="O819" s="874"/>
      <c r="P819" s="874"/>
      <c r="Q819" s="874"/>
      <c r="R819" s="874"/>
      <c r="S819" s="874"/>
      <c r="T819" s="874"/>
      <c r="U819" s="874"/>
      <c r="V819" s="874"/>
      <c r="W819" s="875"/>
    </row>
    <row r="820" spans="2:23" ht="15" customHeight="1" x14ac:dyDescent="0.2">
      <c r="B820" s="876"/>
      <c r="C820" s="877"/>
      <c r="D820" s="877"/>
      <c r="E820" s="877"/>
      <c r="F820" s="877"/>
      <c r="G820" s="877"/>
      <c r="H820" s="877"/>
      <c r="I820" s="877"/>
      <c r="J820" s="877"/>
      <c r="K820" s="877"/>
      <c r="L820" s="877"/>
      <c r="M820" s="877"/>
      <c r="N820" s="877"/>
      <c r="O820" s="877"/>
      <c r="P820" s="877"/>
      <c r="Q820" s="877"/>
      <c r="R820" s="877"/>
      <c r="S820" s="877"/>
      <c r="T820" s="877"/>
      <c r="U820" s="877"/>
      <c r="V820" s="877"/>
      <c r="W820" s="878"/>
    </row>
    <row r="821" spans="2:23" ht="12.6" customHeight="1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7"/>
      <c r="W821" s="7"/>
    </row>
    <row r="822" spans="2:23" ht="18.75" customHeight="1" x14ac:dyDescent="0.2">
      <c r="B822" s="855" t="s">
        <v>291</v>
      </c>
      <c r="C822" s="856"/>
      <c r="D822" s="856"/>
      <c r="E822" s="856"/>
      <c r="F822" s="856"/>
      <c r="G822" s="856"/>
      <c r="H822" s="856"/>
      <c r="I822" s="856"/>
      <c r="J822" s="856"/>
      <c r="K822" s="856"/>
      <c r="L822" s="856"/>
      <c r="M822" s="856"/>
      <c r="N822" s="856"/>
      <c r="O822" s="856"/>
      <c r="P822" s="856"/>
      <c r="Q822" s="856"/>
      <c r="R822" s="856"/>
      <c r="S822" s="856"/>
      <c r="T822" s="856"/>
      <c r="U822" s="856"/>
      <c r="V822" s="856"/>
      <c r="W822" s="857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"/>
      <c r="W823" s="7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7"/>
      <c r="W824" s="7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"/>
      <c r="W825" s="7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"/>
      <c r="W826" s="7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"/>
      <c r="W828" s="7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ht="12.75" customHeight="1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7"/>
      <c r="W1118" s="7"/>
    </row>
    <row r="1119" spans="2:23" x14ac:dyDescent="0.2">
      <c r="B1119" s="3"/>
      <c r="C1119" s="3"/>
      <c r="D1119" s="3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7"/>
      <c r="W1119" s="7"/>
    </row>
    <row r="1120" spans="2:23" x14ac:dyDescent="0.2">
      <c r="B1120" s="3"/>
      <c r="C1120" s="3"/>
      <c r="D1120" s="3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7"/>
      <c r="W1120" s="7"/>
    </row>
    <row r="1121" spans="2:23" x14ac:dyDescent="0.2">
      <c r="B1121" s="3"/>
      <c r="C1121" s="3"/>
      <c r="D1121" s="3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7"/>
      <c r="W1121" s="7"/>
    </row>
    <row r="1122" spans="2:23" x14ac:dyDescent="0.2">
      <c r="B1122" s="3"/>
      <c r="C1122" s="3"/>
      <c r="D1122" s="3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7"/>
      <c r="W1122" s="7"/>
    </row>
    <row r="1123" spans="2:23" x14ac:dyDescent="0.2">
      <c r="B1123" s="3"/>
      <c r="C1123" s="3"/>
      <c r="D1123" s="3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7"/>
      <c r="W1123" s="7"/>
    </row>
    <row r="1124" spans="2:23" x14ac:dyDescent="0.2">
      <c r="B1124" s="3"/>
      <c r="C1124" s="3"/>
      <c r="D1124" s="3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7"/>
      <c r="W1124" s="7"/>
    </row>
    <row r="1125" spans="2:23" x14ac:dyDescent="0.2">
      <c r="B1125" s="3"/>
      <c r="C1125" s="3"/>
      <c r="D1125" s="3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7"/>
      <c r="W1125" s="7"/>
    </row>
    <row r="1126" spans="2:23" x14ac:dyDescent="0.2">
      <c r="B1126" s="3"/>
      <c r="C1126" s="3"/>
      <c r="D1126" s="3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7"/>
      <c r="W1126" s="7"/>
    </row>
    <row r="1127" spans="2:23" x14ac:dyDescent="0.2">
      <c r="B1127" s="3"/>
      <c r="C1127" s="3"/>
      <c r="D1127" s="3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7"/>
      <c r="W1127" s="7"/>
    </row>
    <row r="1128" spans="2:23" x14ac:dyDescent="0.2">
      <c r="B1128" s="3"/>
      <c r="C1128" s="3"/>
      <c r="D1128" s="3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7"/>
      <c r="W1128" s="7"/>
    </row>
    <row r="1129" spans="2:23" x14ac:dyDescent="0.2">
      <c r="B1129" s="3"/>
      <c r="C1129" s="3"/>
      <c r="D1129" s="3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7"/>
      <c r="W1129" s="7"/>
    </row>
    <row r="1130" spans="2:23" x14ac:dyDescent="0.2">
      <c r="B1130" s="3"/>
      <c r="C1130" s="3"/>
      <c r="D1130" s="3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7"/>
      <c r="W1130" s="7"/>
    </row>
    <row r="1131" spans="2:23" x14ac:dyDescent="0.2">
      <c r="B1131" s="3"/>
      <c r="C1131" s="3"/>
      <c r="D1131" s="3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7"/>
      <c r="W1131" s="7"/>
    </row>
    <row r="1132" spans="2:23" x14ac:dyDescent="0.2">
      <c r="B1132" s="3"/>
      <c r="C1132" s="3"/>
      <c r="D1132" s="3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7"/>
      <c r="W1132" s="7"/>
    </row>
    <row r="1133" spans="2:23" x14ac:dyDescent="0.2">
      <c r="B1133" s="3"/>
      <c r="C1133" s="3"/>
      <c r="D1133" s="3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7"/>
      <c r="W1133" s="7"/>
    </row>
    <row r="1134" spans="2:23" x14ac:dyDescent="0.2">
      <c r="B1134" s="3"/>
      <c r="C1134" s="3"/>
      <c r="D1134" s="3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7"/>
      <c r="W1134" s="7"/>
    </row>
    <row r="1135" spans="2:23" x14ac:dyDescent="0.2">
      <c r="B1135" s="3"/>
      <c r="C1135" s="3"/>
      <c r="D1135" s="3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7"/>
      <c r="W1135" s="7"/>
    </row>
    <row r="1136" spans="2:23" x14ac:dyDescent="0.2">
      <c r="B1136" s="3"/>
      <c r="C1136" s="3"/>
      <c r="D1136" s="3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7"/>
      <c r="W1136" s="7"/>
    </row>
    <row r="1137" spans="2:23" x14ac:dyDescent="0.2">
      <c r="B1137" s="3"/>
      <c r="C1137" s="3"/>
      <c r="D1137" s="3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7"/>
      <c r="W1137" s="7"/>
    </row>
    <row r="1138" spans="2:23" x14ac:dyDescent="0.2">
      <c r="B1138" s="3"/>
      <c r="C1138" s="3"/>
      <c r="D1138" s="3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7"/>
      <c r="W1138" s="7"/>
    </row>
    <row r="1139" spans="2:23" x14ac:dyDescent="0.2">
      <c r="B1139" s="3"/>
      <c r="C1139" s="3"/>
      <c r="D1139" s="3"/>
      <c r="E1139" s="4"/>
      <c r="F1139" s="4"/>
      <c r="G1139" s="4"/>
      <c r="H1139" s="4"/>
      <c r="I1139" s="4"/>
      <c r="J1139" s="4"/>
      <c r="K1139" s="4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7"/>
      <c r="W1139" s="7"/>
    </row>
    <row r="1140" spans="2:23" x14ac:dyDescent="0.2">
      <c r="B1140" s="3"/>
      <c r="C1140" s="3"/>
      <c r="D1140" s="3"/>
      <c r="E1140" s="4"/>
      <c r="F1140" s="4"/>
      <c r="G1140" s="4"/>
      <c r="H1140" s="4"/>
      <c r="I1140" s="4"/>
      <c r="J1140" s="4"/>
      <c r="K1140" s="4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7"/>
      <c r="W1140" s="7"/>
    </row>
    <row r="1141" spans="2:23" x14ac:dyDescent="0.2">
      <c r="B1141" s="3"/>
      <c r="C1141" s="3"/>
      <c r="D1141" s="3"/>
      <c r="E1141" s="4"/>
      <c r="F1141" s="4"/>
      <c r="G1141" s="4"/>
      <c r="H1141" s="4"/>
      <c r="I1141" s="4"/>
      <c r="J1141" s="4"/>
      <c r="K1141" s="4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7"/>
      <c r="W1141" s="7"/>
    </row>
    <row r="1142" spans="2:23" x14ac:dyDescent="0.2">
      <c r="B1142" s="3"/>
      <c r="C1142" s="3"/>
      <c r="D1142" s="3"/>
      <c r="E1142" s="4"/>
      <c r="F1142" s="4"/>
      <c r="G1142" s="4"/>
      <c r="H1142" s="4"/>
      <c r="I1142" s="4"/>
      <c r="J1142" s="4"/>
      <c r="K1142" s="4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7"/>
      <c r="W1142" s="7"/>
    </row>
    <row r="1143" spans="2:23" x14ac:dyDescent="0.2">
      <c r="B1143" s="3"/>
      <c r="C1143" s="3"/>
      <c r="D1143" s="3"/>
      <c r="E1143" s="4"/>
      <c r="F1143" s="4"/>
      <c r="G1143" s="4"/>
      <c r="H1143" s="4"/>
      <c r="I1143" s="4"/>
      <c r="J1143" s="4"/>
      <c r="K1143" s="4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7"/>
      <c r="W1143" s="7"/>
    </row>
    <row r="1144" spans="2:23" x14ac:dyDescent="0.2">
      <c r="B1144" s="3"/>
      <c r="C1144" s="3"/>
      <c r="D1144" s="3"/>
      <c r="E1144" s="4"/>
      <c r="F1144" s="4"/>
      <c r="G1144" s="4"/>
      <c r="H1144" s="4"/>
      <c r="I1144" s="4"/>
      <c r="J1144" s="4"/>
      <c r="K1144" s="4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7"/>
      <c r="W1144" s="7"/>
    </row>
    <row r="1145" spans="2:23" x14ac:dyDescent="0.2">
      <c r="B1145" s="3"/>
      <c r="C1145" s="3"/>
      <c r="D1145" s="3"/>
      <c r="E1145" s="4"/>
      <c r="F1145" s="4"/>
      <c r="G1145" s="4"/>
      <c r="H1145" s="4"/>
      <c r="I1145" s="4"/>
      <c r="J1145" s="4"/>
      <c r="K1145" s="4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7"/>
      <c r="W1145" s="7"/>
    </row>
    <row r="1146" spans="2:23" x14ac:dyDescent="0.2">
      <c r="B1146" s="3"/>
      <c r="C1146" s="3"/>
      <c r="D1146" s="3"/>
      <c r="E1146" s="4"/>
      <c r="F1146" s="4"/>
      <c r="G1146" s="4"/>
      <c r="H1146" s="4"/>
      <c r="I1146" s="4"/>
      <c r="J1146" s="4"/>
      <c r="K1146" s="4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7"/>
      <c r="W1146" s="7"/>
    </row>
    <row r="1147" spans="2:23" x14ac:dyDescent="0.2">
      <c r="B1147" s="3"/>
      <c r="C1147" s="3"/>
      <c r="D1147" s="3"/>
      <c r="E1147" s="4"/>
      <c r="F1147" s="4"/>
      <c r="G1147" s="4"/>
      <c r="H1147" s="4"/>
      <c r="I1147" s="4"/>
      <c r="J1147" s="4"/>
      <c r="K1147" s="4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7"/>
      <c r="W1147" s="7"/>
    </row>
    <row r="1148" spans="2:23" x14ac:dyDescent="0.2">
      <c r="B1148" s="3"/>
      <c r="C1148" s="3"/>
      <c r="D1148" s="3"/>
      <c r="E1148" s="4"/>
      <c r="F1148" s="4"/>
      <c r="G1148" s="4"/>
      <c r="H1148" s="4"/>
      <c r="I1148" s="4"/>
      <c r="J1148" s="4"/>
      <c r="K1148" s="4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7"/>
      <c r="W1148" s="7"/>
    </row>
    <row r="1149" spans="2:23" x14ac:dyDescent="0.2">
      <c r="B1149" s="3"/>
      <c r="C1149" s="3"/>
      <c r="D1149" s="3"/>
      <c r="E1149" s="4"/>
      <c r="F1149" s="4"/>
      <c r="G1149" s="4"/>
      <c r="H1149" s="4"/>
      <c r="I1149" s="4"/>
      <c r="J1149" s="4"/>
      <c r="K1149" s="4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7"/>
      <c r="W1149" s="7"/>
    </row>
    <row r="1150" spans="2:23" x14ac:dyDescent="0.2">
      <c r="B1150" s="3"/>
      <c r="C1150" s="3"/>
      <c r="D1150" s="3"/>
      <c r="E1150" s="4"/>
      <c r="F1150" s="4"/>
      <c r="G1150" s="4"/>
      <c r="H1150" s="4"/>
      <c r="I1150" s="4"/>
      <c r="J1150" s="4"/>
      <c r="K1150" s="4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7"/>
      <c r="W1150" s="7"/>
    </row>
    <row r="1151" spans="2:23" x14ac:dyDescent="0.2">
      <c r="B1151" s="3"/>
      <c r="C1151" s="3"/>
      <c r="D1151" s="3"/>
      <c r="E1151" s="4"/>
      <c r="F1151" s="4"/>
      <c r="G1151" s="4"/>
      <c r="H1151" s="4"/>
      <c r="I1151" s="4"/>
      <c r="J1151" s="4"/>
      <c r="K1151" s="4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7"/>
      <c r="W1151" s="7"/>
    </row>
    <row r="1152" spans="2:23" x14ac:dyDescent="0.2">
      <c r="B1152" s="3"/>
      <c r="C1152" s="3"/>
      <c r="D1152" s="3"/>
      <c r="E1152" s="4"/>
      <c r="F1152" s="4"/>
      <c r="G1152" s="4"/>
      <c r="H1152" s="4"/>
      <c r="I1152" s="4"/>
      <c r="J1152" s="4"/>
      <c r="K1152" s="4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7"/>
      <c r="W1152" s="7"/>
    </row>
    <row r="1153" spans="2:23" x14ac:dyDescent="0.2">
      <c r="B1153" s="3"/>
      <c r="C1153" s="3"/>
      <c r="D1153" s="3"/>
      <c r="E1153" s="4"/>
      <c r="F1153" s="4"/>
      <c r="G1153" s="4"/>
      <c r="H1153" s="4"/>
      <c r="I1153" s="4"/>
      <c r="J1153" s="4"/>
      <c r="K1153" s="4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7"/>
      <c r="W1153" s="7"/>
    </row>
    <row r="1154" spans="2:23" x14ac:dyDescent="0.2">
      <c r="B1154" s="3"/>
      <c r="C1154" s="3"/>
      <c r="D1154" s="3"/>
      <c r="E1154" s="4"/>
      <c r="F1154" s="4"/>
      <c r="G1154" s="4"/>
      <c r="H1154" s="4"/>
      <c r="I1154" s="4"/>
      <c r="J1154" s="4"/>
      <c r="K1154" s="4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7"/>
      <c r="W1154" s="7"/>
    </row>
    <row r="1155" spans="2:23" x14ac:dyDescent="0.2">
      <c r="B1155" s="3"/>
      <c r="C1155" s="3"/>
      <c r="D1155" s="3"/>
      <c r="E1155" s="4"/>
      <c r="F1155" s="4"/>
      <c r="G1155" s="4"/>
      <c r="H1155" s="4"/>
      <c r="I1155" s="4"/>
      <c r="J1155" s="4"/>
      <c r="K1155" s="4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7"/>
      <c r="W1155" s="7"/>
    </row>
    <row r="1156" spans="2:23" x14ac:dyDescent="0.2">
      <c r="B1156" s="3"/>
      <c r="C1156" s="3"/>
      <c r="D1156" s="3"/>
      <c r="E1156" s="4"/>
      <c r="F1156" s="4"/>
      <c r="G1156" s="4"/>
      <c r="H1156" s="4"/>
      <c r="I1156" s="4"/>
      <c r="J1156" s="4"/>
      <c r="K1156" s="4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7"/>
      <c r="W1156" s="7"/>
    </row>
    <row r="1157" spans="2:23" x14ac:dyDescent="0.2">
      <c r="B1157" s="3"/>
      <c r="C1157" s="3"/>
      <c r="D1157" s="3"/>
      <c r="E1157" s="4"/>
      <c r="F1157" s="4"/>
      <c r="G1157" s="4"/>
      <c r="H1157" s="4"/>
      <c r="I1157" s="4"/>
      <c r="J1157" s="4"/>
      <c r="K1157" s="4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7"/>
      <c r="W1157" s="7"/>
    </row>
    <row r="1158" spans="2:23" x14ac:dyDescent="0.2">
      <c r="B1158" s="3"/>
      <c r="C1158" s="3"/>
      <c r="D1158" s="3"/>
      <c r="E1158" s="4"/>
      <c r="F1158" s="4"/>
      <c r="G1158" s="4"/>
      <c r="H1158" s="4"/>
      <c r="I1158" s="4"/>
      <c r="J1158" s="4"/>
      <c r="K1158" s="4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7"/>
      <c r="W1158" s="7"/>
    </row>
    <row r="1159" spans="2:23" x14ac:dyDescent="0.2">
      <c r="B1159" s="3"/>
      <c r="C1159" s="3"/>
      <c r="D1159" s="3"/>
      <c r="E1159" s="4"/>
      <c r="F1159" s="4"/>
      <c r="G1159" s="4"/>
      <c r="H1159" s="4"/>
      <c r="I1159" s="4"/>
      <c r="J1159" s="4"/>
      <c r="K1159" s="4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7"/>
      <c r="W1159" s="7"/>
    </row>
    <row r="1160" spans="2:23" x14ac:dyDescent="0.2">
      <c r="B1160" s="3"/>
      <c r="C1160" s="3"/>
      <c r="D1160" s="3"/>
      <c r="E1160" s="4"/>
      <c r="F1160" s="4"/>
      <c r="G1160" s="4"/>
      <c r="H1160" s="4"/>
      <c r="I1160" s="4"/>
      <c r="J1160" s="4"/>
      <c r="K1160" s="4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7"/>
      <c r="W1160" s="7"/>
    </row>
    <row r="1161" spans="2:23" x14ac:dyDescent="0.2">
      <c r="B1161" s="3"/>
      <c r="C1161" s="3"/>
      <c r="D1161" s="3"/>
      <c r="E1161" s="4"/>
      <c r="F1161" s="4"/>
      <c r="G1161" s="4"/>
      <c r="H1161" s="4"/>
      <c r="I1161" s="4"/>
      <c r="J1161" s="4"/>
      <c r="K1161" s="4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7"/>
      <c r="W1161" s="7"/>
    </row>
    <row r="1162" spans="2:23" x14ac:dyDescent="0.2">
      <c r="B1162" s="3"/>
      <c r="C1162" s="3"/>
      <c r="D1162" s="3"/>
      <c r="E1162" s="4"/>
      <c r="F1162" s="4"/>
      <c r="G1162" s="4"/>
      <c r="H1162" s="4"/>
      <c r="I1162" s="4"/>
      <c r="J1162" s="4"/>
      <c r="K1162" s="4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7"/>
      <c r="W1162" s="7"/>
    </row>
    <row r="1163" spans="2:23" x14ac:dyDescent="0.2">
      <c r="B1163" s="3"/>
      <c r="C1163" s="3"/>
      <c r="D1163" s="3"/>
      <c r="E1163" s="4"/>
      <c r="F1163" s="4"/>
      <c r="G1163" s="4"/>
      <c r="H1163" s="4"/>
      <c r="I1163" s="4"/>
      <c r="J1163" s="4"/>
      <c r="K1163" s="4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7"/>
      <c r="W1163" s="7"/>
    </row>
    <row r="1164" spans="2:23" x14ac:dyDescent="0.2">
      <c r="B1164" s="3"/>
      <c r="C1164" s="3"/>
      <c r="D1164" s="3"/>
      <c r="E1164" s="4"/>
      <c r="F1164" s="4"/>
      <c r="G1164" s="4"/>
      <c r="H1164" s="4"/>
      <c r="I1164" s="4"/>
      <c r="J1164" s="4"/>
      <c r="K1164" s="4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7"/>
      <c r="W1164" s="7"/>
    </row>
    <row r="1165" spans="2:23" x14ac:dyDescent="0.2">
      <c r="B1165" s="3"/>
      <c r="C1165" s="3"/>
      <c r="D1165" s="3"/>
      <c r="E1165" s="4"/>
      <c r="F1165" s="4"/>
      <c r="G1165" s="4"/>
      <c r="H1165" s="4"/>
      <c r="I1165" s="4"/>
      <c r="J1165" s="4"/>
      <c r="K1165" s="4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7"/>
      <c r="W1165" s="7"/>
    </row>
    <row r="1166" spans="2:23" x14ac:dyDescent="0.2">
      <c r="B1166" s="3"/>
      <c r="C1166" s="3"/>
      <c r="D1166" s="3"/>
      <c r="E1166" s="4"/>
      <c r="F1166" s="4"/>
      <c r="G1166" s="4"/>
      <c r="H1166" s="4"/>
      <c r="I1166" s="4"/>
      <c r="J1166" s="4"/>
      <c r="K1166" s="4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7"/>
      <c r="W1166" s="7"/>
    </row>
    <row r="1167" spans="2:23" x14ac:dyDescent="0.2">
      <c r="B1167" s="3"/>
      <c r="C1167" s="3"/>
      <c r="D1167" s="3"/>
      <c r="E1167" s="4"/>
      <c r="F1167" s="4"/>
      <c r="G1167" s="4"/>
      <c r="H1167" s="4"/>
      <c r="I1167" s="4"/>
      <c r="J1167" s="4"/>
      <c r="K1167" s="4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7"/>
      <c r="W1167" s="7"/>
    </row>
    <row r="1168" spans="2:23" x14ac:dyDescent="0.2">
      <c r="B1168" s="3"/>
      <c r="C1168" s="3"/>
      <c r="D1168" s="3"/>
      <c r="E1168" s="4"/>
      <c r="F1168" s="4"/>
      <c r="G1168" s="4"/>
      <c r="H1168" s="4"/>
      <c r="I1168" s="4"/>
      <c r="J1168" s="4"/>
      <c r="K1168" s="4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7"/>
      <c r="W1168" s="7"/>
    </row>
    <row r="1169" spans="2:23" x14ac:dyDescent="0.2">
      <c r="B1169" s="3"/>
      <c r="C1169" s="3"/>
      <c r="D1169" s="3"/>
      <c r="E1169" s="4"/>
      <c r="F1169" s="4"/>
      <c r="G1169" s="4"/>
      <c r="H1169" s="4"/>
      <c r="I1169" s="4"/>
      <c r="J1169" s="4"/>
      <c r="K1169" s="4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7"/>
      <c r="W1169" s="7"/>
    </row>
    <row r="1170" spans="2:23" x14ac:dyDescent="0.2">
      <c r="B1170" s="3"/>
      <c r="C1170" s="3"/>
      <c r="D1170" s="3"/>
      <c r="E1170" s="4"/>
      <c r="F1170" s="4"/>
      <c r="G1170" s="4"/>
      <c r="H1170" s="4"/>
      <c r="I1170" s="4"/>
      <c r="J1170" s="4"/>
      <c r="K1170" s="4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7"/>
      <c r="W1170" s="7"/>
    </row>
    <row r="1171" spans="2:23" x14ac:dyDescent="0.2">
      <c r="B1171" s="3"/>
      <c r="C1171" s="3"/>
      <c r="D1171" s="3"/>
      <c r="E1171" s="4"/>
      <c r="F1171" s="4"/>
      <c r="G1171" s="4"/>
      <c r="H1171" s="4"/>
      <c r="I1171" s="4"/>
      <c r="J1171" s="4"/>
      <c r="K1171" s="4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7"/>
      <c r="W1171" s="7"/>
    </row>
    <row r="1172" spans="2:23" x14ac:dyDescent="0.2">
      <c r="B1172" s="3"/>
      <c r="C1172" s="3"/>
      <c r="D1172" s="3"/>
      <c r="E1172" s="4"/>
      <c r="F1172" s="4"/>
      <c r="G1172" s="4"/>
      <c r="H1172" s="4"/>
      <c r="I1172" s="4"/>
      <c r="J1172" s="4"/>
      <c r="K1172" s="4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7"/>
      <c r="W1172" s="7"/>
    </row>
    <row r="1173" spans="2:23" x14ac:dyDescent="0.2">
      <c r="B1173" s="3"/>
      <c r="C1173" s="3"/>
      <c r="D1173" s="3"/>
      <c r="E1173" s="4"/>
      <c r="F1173" s="4"/>
      <c r="G1173" s="4"/>
      <c r="H1173" s="4"/>
      <c r="I1173" s="4"/>
      <c r="J1173" s="4"/>
      <c r="K1173" s="4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7"/>
      <c r="W1173" s="7"/>
    </row>
    <row r="1174" spans="2:23" x14ac:dyDescent="0.2">
      <c r="B1174" s="3"/>
      <c r="C1174" s="3"/>
      <c r="D1174" s="3"/>
      <c r="E1174" s="4"/>
      <c r="F1174" s="4"/>
      <c r="G1174" s="4"/>
      <c r="H1174" s="4"/>
      <c r="I1174" s="4"/>
      <c r="J1174" s="4"/>
      <c r="K1174" s="4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7"/>
      <c r="W1174" s="7"/>
    </row>
    <row r="1175" spans="2:23" x14ac:dyDescent="0.2">
      <c r="B1175" s="3"/>
      <c r="C1175" s="3"/>
      <c r="D1175" s="3"/>
      <c r="E1175" s="4"/>
      <c r="F1175" s="4"/>
      <c r="G1175" s="4"/>
      <c r="H1175" s="4"/>
      <c r="I1175" s="4"/>
      <c r="J1175" s="4"/>
      <c r="K1175" s="4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7"/>
      <c r="W1175" s="7"/>
    </row>
    <row r="1176" spans="2:23" x14ac:dyDescent="0.2">
      <c r="B1176" s="3"/>
      <c r="C1176" s="3"/>
      <c r="D1176" s="3"/>
      <c r="E1176" s="4"/>
      <c r="F1176" s="4"/>
      <c r="G1176" s="4"/>
      <c r="H1176" s="4"/>
      <c r="I1176" s="4"/>
      <c r="J1176" s="4"/>
      <c r="K1176" s="4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7"/>
      <c r="W1176" s="7"/>
    </row>
    <row r="1177" spans="2:23" x14ac:dyDescent="0.2">
      <c r="B1177" s="3"/>
      <c r="C1177" s="3"/>
      <c r="D1177" s="3"/>
      <c r="E1177" s="4"/>
      <c r="F1177" s="4"/>
      <c r="G1177" s="4"/>
      <c r="H1177" s="4"/>
      <c r="I1177" s="4"/>
      <c r="J1177" s="4"/>
      <c r="K1177" s="4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7"/>
      <c r="W1177" s="7"/>
    </row>
    <row r="1178" spans="2:23" x14ac:dyDescent="0.2">
      <c r="B1178" s="3"/>
      <c r="C1178" s="3"/>
      <c r="D1178" s="3"/>
      <c r="E1178" s="4"/>
      <c r="F1178" s="4"/>
      <c r="G1178" s="4"/>
      <c r="H1178" s="4"/>
      <c r="I1178" s="4"/>
      <c r="J1178" s="4"/>
      <c r="K1178" s="4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7"/>
      <c r="W1178" s="7"/>
    </row>
    <row r="1179" spans="2:23" x14ac:dyDescent="0.2">
      <c r="B1179" s="3"/>
      <c r="C1179" s="3"/>
      <c r="D1179" s="3"/>
      <c r="E1179" s="4"/>
      <c r="F1179" s="4"/>
      <c r="G1179" s="4"/>
      <c r="H1179" s="4"/>
      <c r="I1179" s="4"/>
      <c r="J1179" s="4"/>
      <c r="K1179" s="4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7"/>
      <c r="W1179" s="7"/>
    </row>
    <row r="1180" spans="2:23" x14ac:dyDescent="0.2">
      <c r="B1180" s="3"/>
      <c r="C1180" s="3"/>
      <c r="D1180" s="3"/>
      <c r="E1180" s="4"/>
      <c r="F1180" s="4"/>
      <c r="G1180" s="4"/>
      <c r="H1180" s="4"/>
      <c r="I1180" s="4"/>
      <c r="J1180" s="4"/>
      <c r="K1180" s="4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7"/>
      <c r="W1180" s="7"/>
    </row>
    <row r="1181" spans="2:23" x14ac:dyDescent="0.2">
      <c r="B1181" s="3"/>
      <c r="C1181" s="3"/>
      <c r="D1181" s="3"/>
      <c r="E1181" s="4"/>
      <c r="F1181" s="4"/>
      <c r="G1181" s="4"/>
      <c r="H1181" s="4"/>
      <c r="I1181" s="4"/>
      <c r="J1181" s="4"/>
      <c r="K1181" s="4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7"/>
      <c r="W1181" s="7"/>
    </row>
    <row r="1182" spans="2:23" x14ac:dyDescent="0.2">
      <c r="B1182" s="3"/>
      <c r="C1182" s="3"/>
      <c r="D1182" s="3"/>
      <c r="E1182" s="4"/>
      <c r="F1182" s="4"/>
      <c r="G1182" s="4"/>
      <c r="H1182" s="4"/>
      <c r="I1182" s="4"/>
      <c r="J1182" s="4"/>
      <c r="K1182" s="4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7"/>
      <c r="W1182" s="7"/>
    </row>
    <row r="1183" spans="2:23" x14ac:dyDescent="0.2">
      <c r="B1183" s="3"/>
      <c r="C1183" s="3"/>
      <c r="D1183" s="3"/>
      <c r="E1183" s="4"/>
      <c r="F1183" s="4"/>
      <c r="G1183" s="4"/>
      <c r="H1183" s="4"/>
      <c r="I1183" s="4"/>
      <c r="J1183" s="4"/>
      <c r="K1183" s="4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7"/>
      <c r="W1183" s="7"/>
    </row>
    <row r="1184" spans="2:23" x14ac:dyDescent="0.2">
      <c r="B1184" s="3"/>
      <c r="C1184" s="3"/>
      <c r="D1184" s="3"/>
      <c r="E1184" s="4"/>
      <c r="F1184" s="4"/>
      <c r="G1184" s="4"/>
      <c r="H1184" s="4"/>
      <c r="I1184" s="4"/>
      <c r="J1184" s="4"/>
      <c r="K1184" s="4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7"/>
      <c r="W1184" s="7"/>
    </row>
    <row r="1185" spans="2:23" x14ac:dyDescent="0.2">
      <c r="B1185" s="3"/>
      <c r="C1185" s="3"/>
      <c r="D1185" s="3"/>
      <c r="E1185" s="4"/>
      <c r="F1185" s="4"/>
      <c r="G1185" s="4"/>
      <c r="H1185" s="4"/>
      <c r="I1185" s="4"/>
      <c r="J1185" s="4"/>
      <c r="K1185" s="4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7"/>
      <c r="W1185" s="7"/>
    </row>
    <row r="1186" spans="2:23" x14ac:dyDescent="0.2">
      <c r="B1186" s="3"/>
      <c r="C1186" s="3"/>
      <c r="D1186" s="3"/>
      <c r="E1186" s="4"/>
      <c r="F1186" s="4"/>
      <c r="G1186" s="4"/>
      <c r="H1186" s="4"/>
      <c r="I1186" s="4"/>
      <c r="J1186" s="4"/>
      <c r="K1186" s="4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7"/>
      <c r="W1186" s="7"/>
    </row>
    <row r="1187" spans="2:23" x14ac:dyDescent="0.2">
      <c r="B1187" s="3"/>
      <c r="C1187" s="3"/>
      <c r="D1187" s="3"/>
      <c r="E1187" s="4"/>
      <c r="F1187" s="4"/>
      <c r="G1187" s="4"/>
      <c r="H1187" s="4"/>
      <c r="I1187" s="4"/>
      <c r="J1187" s="4"/>
      <c r="K1187" s="4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7"/>
      <c r="W1187" s="7"/>
    </row>
    <row r="1188" spans="2:23" x14ac:dyDescent="0.2">
      <c r="B1188" s="3"/>
      <c r="C1188" s="3"/>
      <c r="D1188" s="3"/>
      <c r="E1188" s="4"/>
      <c r="F1188" s="4"/>
      <c r="G1188" s="4"/>
      <c r="H1188" s="4"/>
      <c r="I1188" s="4"/>
      <c r="J1188" s="4"/>
      <c r="K1188" s="4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7"/>
      <c r="W1188" s="7"/>
    </row>
    <row r="1189" spans="2:23" x14ac:dyDescent="0.2">
      <c r="B1189" s="3"/>
      <c r="C1189" s="3"/>
      <c r="D1189" s="3"/>
      <c r="E1189" s="4"/>
      <c r="F1189" s="4"/>
      <c r="G1189" s="4"/>
      <c r="H1189" s="4"/>
      <c r="I1189" s="4"/>
      <c r="J1189" s="4"/>
      <c r="K1189" s="4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7"/>
      <c r="W1189" s="7"/>
    </row>
    <row r="1190" spans="2:23" x14ac:dyDescent="0.2">
      <c r="B1190" s="3"/>
      <c r="C1190" s="3"/>
      <c r="D1190" s="3"/>
      <c r="E1190" s="4"/>
      <c r="F1190" s="4"/>
      <c r="G1190" s="4"/>
      <c r="H1190" s="4"/>
      <c r="I1190" s="4"/>
      <c r="J1190" s="4"/>
      <c r="K1190" s="4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7"/>
      <c r="W1190" s="7"/>
    </row>
    <row r="1191" spans="2:23" x14ac:dyDescent="0.2">
      <c r="B1191" s="3"/>
      <c r="C1191" s="3"/>
      <c r="D1191" s="3"/>
      <c r="E1191" s="4"/>
      <c r="F1191" s="4"/>
      <c r="G1191" s="4"/>
      <c r="H1191" s="4"/>
      <c r="I1191" s="4"/>
      <c r="J1191" s="4"/>
      <c r="K1191" s="4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7"/>
      <c r="W1191" s="7"/>
    </row>
    <row r="1192" spans="2:23" x14ac:dyDescent="0.2">
      <c r="B1192" s="3"/>
      <c r="C1192" s="3"/>
      <c r="D1192" s="3"/>
      <c r="E1192" s="4"/>
      <c r="F1192" s="4"/>
      <c r="G1192" s="4"/>
      <c r="H1192" s="4"/>
      <c r="I1192" s="4"/>
      <c r="J1192" s="4"/>
      <c r="K1192" s="4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7"/>
      <c r="W1192" s="7"/>
    </row>
    <row r="1193" spans="2:23" x14ac:dyDescent="0.2">
      <c r="B1193" s="3"/>
      <c r="C1193" s="3"/>
      <c r="D1193" s="3"/>
      <c r="E1193" s="4"/>
      <c r="F1193" s="4"/>
      <c r="G1193" s="4"/>
      <c r="H1193" s="4"/>
      <c r="I1193" s="4"/>
      <c r="J1193" s="4"/>
      <c r="K1193" s="4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7"/>
      <c r="W1193" s="7"/>
    </row>
    <row r="1194" spans="2:23" x14ac:dyDescent="0.2">
      <c r="B1194" s="3"/>
      <c r="C1194" s="3"/>
      <c r="D1194" s="3"/>
      <c r="E1194" s="4"/>
      <c r="F1194" s="4"/>
      <c r="G1194" s="4"/>
      <c r="H1194" s="4"/>
      <c r="I1194" s="4"/>
      <c r="J1194" s="4"/>
      <c r="K1194" s="4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7"/>
      <c r="W1194" s="7"/>
    </row>
    <row r="1195" spans="2:23" x14ac:dyDescent="0.2">
      <c r="B1195" s="3"/>
      <c r="C1195" s="3"/>
      <c r="D1195" s="3"/>
      <c r="E1195" s="4"/>
      <c r="F1195" s="4"/>
      <c r="G1195" s="4"/>
      <c r="H1195" s="4"/>
      <c r="I1195" s="4"/>
      <c r="J1195" s="4"/>
      <c r="K1195" s="4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7"/>
      <c r="W1195" s="7"/>
    </row>
    <row r="1196" spans="2:23" x14ac:dyDescent="0.2">
      <c r="B1196" s="3"/>
      <c r="C1196" s="3"/>
      <c r="D1196" s="3"/>
      <c r="E1196" s="4"/>
      <c r="F1196" s="4"/>
      <c r="G1196" s="4"/>
      <c r="H1196" s="4"/>
      <c r="I1196" s="4"/>
      <c r="J1196" s="4"/>
      <c r="K1196" s="4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7"/>
      <c r="W1196" s="7"/>
    </row>
    <row r="1197" spans="2:23" x14ac:dyDescent="0.2">
      <c r="B1197" s="3"/>
      <c r="C1197" s="3"/>
      <c r="D1197" s="3"/>
      <c r="E1197" s="4"/>
      <c r="F1197" s="4"/>
      <c r="G1197" s="4"/>
      <c r="H1197" s="4"/>
      <c r="I1197" s="4"/>
      <c r="J1197" s="4"/>
      <c r="K1197" s="4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7"/>
      <c r="W1197" s="7"/>
    </row>
    <row r="1198" spans="2:23" x14ac:dyDescent="0.2">
      <c r="B1198" s="3"/>
      <c r="C1198" s="3"/>
      <c r="D1198" s="3"/>
      <c r="E1198" s="4"/>
      <c r="F1198" s="4"/>
      <c r="G1198" s="4"/>
      <c r="H1198" s="4"/>
      <c r="I1198" s="4"/>
      <c r="J1198" s="4"/>
      <c r="K1198" s="4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7"/>
      <c r="W1198" s="7"/>
    </row>
    <row r="1199" spans="2:23" x14ac:dyDescent="0.2">
      <c r="B1199" s="3"/>
      <c r="C1199" s="3"/>
      <c r="D1199" s="3"/>
      <c r="E1199" s="4"/>
      <c r="F1199" s="4"/>
      <c r="G1199" s="4"/>
      <c r="H1199" s="4"/>
      <c r="I1199" s="4"/>
      <c r="J1199" s="4"/>
      <c r="K1199" s="4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7"/>
      <c r="W1199" s="7"/>
    </row>
    <row r="1200" spans="2:23" x14ac:dyDescent="0.2">
      <c r="B1200" s="3"/>
      <c r="C1200" s="3"/>
      <c r="D1200" s="3"/>
      <c r="E1200" s="4"/>
      <c r="F1200" s="4"/>
      <c r="G1200" s="4"/>
      <c r="H1200" s="4"/>
      <c r="I1200" s="4"/>
      <c r="J1200" s="4"/>
      <c r="K1200" s="4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7"/>
      <c r="W1200" s="7"/>
    </row>
    <row r="1201" spans="2:23" x14ac:dyDescent="0.2">
      <c r="B1201" s="3"/>
      <c r="C1201" s="3"/>
      <c r="D1201" s="3"/>
      <c r="E1201" s="4"/>
      <c r="F1201" s="4"/>
      <c r="G1201" s="4"/>
      <c r="H1201" s="4"/>
      <c r="I1201" s="4"/>
      <c r="J1201" s="4"/>
      <c r="K1201" s="4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7"/>
      <c r="W1201" s="7"/>
    </row>
    <row r="1202" spans="2:23" x14ac:dyDescent="0.2">
      <c r="B1202" s="3"/>
      <c r="C1202" s="3"/>
      <c r="D1202" s="3"/>
      <c r="E1202" s="4"/>
      <c r="F1202" s="4"/>
      <c r="G1202" s="4"/>
      <c r="H1202" s="4"/>
      <c r="I1202" s="4"/>
      <c r="J1202" s="4"/>
      <c r="K1202" s="4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7"/>
      <c r="W1202" s="7"/>
    </row>
    <row r="1203" spans="2:23" x14ac:dyDescent="0.2">
      <c r="B1203" s="3"/>
      <c r="C1203" s="3"/>
      <c r="D1203" s="3"/>
      <c r="E1203" s="4"/>
      <c r="F1203" s="4"/>
      <c r="G1203" s="4"/>
      <c r="H1203" s="4"/>
      <c r="I1203" s="4"/>
      <c r="J1203" s="4"/>
      <c r="K1203" s="4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7"/>
      <c r="W1203" s="7"/>
    </row>
    <row r="1204" spans="2:23" x14ac:dyDescent="0.2">
      <c r="B1204" s="3"/>
      <c r="C1204" s="3"/>
      <c r="D1204" s="3"/>
      <c r="E1204" s="4"/>
      <c r="F1204" s="4"/>
      <c r="G1204" s="4"/>
      <c r="H1204" s="4"/>
      <c r="I1204" s="4"/>
      <c r="J1204" s="4"/>
      <c r="K1204" s="4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7"/>
      <c r="W1204" s="7"/>
    </row>
    <row r="1205" spans="2:23" x14ac:dyDescent="0.2">
      <c r="B1205" s="3"/>
      <c r="C1205" s="3"/>
      <c r="D1205" s="3"/>
      <c r="E1205" s="4"/>
      <c r="F1205" s="4"/>
      <c r="G1205" s="4"/>
      <c r="H1205" s="4"/>
      <c r="I1205" s="4"/>
      <c r="J1205" s="4"/>
      <c r="K1205" s="4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7"/>
      <c r="W1205" s="7"/>
    </row>
    <row r="1206" spans="2:23" x14ac:dyDescent="0.2">
      <c r="B1206" s="3"/>
      <c r="C1206" s="3"/>
      <c r="D1206" s="3"/>
      <c r="E1206" s="4"/>
      <c r="F1206" s="4"/>
      <c r="G1206" s="4"/>
      <c r="H1206" s="4"/>
      <c r="I1206" s="4"/>
      <c r="J1206" s="4"/>
      <c r="K1206" s="4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7"/>
      <c r="W1206" s="7"/>
    </row>
    <row r="1207" spans="2:23" x14ac:dyDescent="0.2">
      <c r="B1207" s="3"/>
      <c r="C1207" s="3"/>
      <c r="D1207" s="3"/>
      <c r="E1207" s="4"/>
      <c r="F1207" s="4"/>
      <c r="G1207" s="4"/>
      <c r="H1207" s="4"/>
      <c r="I1207" s="4"/>
      <c r="J1207" s="4"/>
      <c r="K1207" s="4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7"/>
      <c r="W1207" s="7"/>
    </row>
    <row r="1208" spans="2:23" x14ac:dyDescent="0.2">
      <c r="B1208" s="3"/>
      <c r="C1208" s="3"/>
      <c r="D1208" s="3"/>
      <c r="E1208" s="4"/>
      <c r="F1208" s="4"/>
      <c r="G1208" s="4"/>
      <c r="H1208" s="4"/>
      <c r="I1208" s="4"/>
      <c r="J1208" s="4"/>
      <c r="K1208" s="4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7"/>
      <c r="W1208" s="7"/>
    </row>
    <row r="1209" spans="2:23" x14ac:dyDescent="0.2">
      <c r="B1209" s="3"/>
      <c r="C1209" s="3"/>
      <c r="D1209" s="3"/>
      <c r="E1209" s="4"/>
      <c r="F1209" s="4"/>
      <c r="G1209" s="4"/>
      <c r="H1209" s="4"/>
      <c r="I1209" s="4"/>
      <c r="J1209" s="4"/>
      <c r="K1209" s="4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7"/>
      <c r="W1209" s="7"/>
    </row>
    <row r="1210" spans="2:23" x14ac:dyDescent="0.2">
      <c r="B1210" s="3"/>
      <c r="C1210" s="3"/>
      <c r="D1210" s="3"/>
      <c r="E1210" s="4"/>
      <c r="F1210" s="4"/>
      <c r="G1210" s="4"/>
      <c r="H1210" s="4"/>
      <c r="I1210" s="4"/>
      <c r="J1210" s="4"/>
      <c r="K1210" s="4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7"/>
      <c r="W1210" s="7"/>
    </row>
    <row r="1211" spans="2:23" x14ac:dyDescent="0.2">
      <c r="B1211" s="3"/>
      <c r="C1211" s="3"/>
      <c r="D1211" s="3"/>
      <c r="E1211" s="4"/>
      <c r="F1211" s="4"/>
      <c r="G1211" s="4"/>
      <c r="H1211" s="4"/>
      <c r="I1211" s="4"/>
      <c r="J1211" s="4"/>
      <c r="K1211" s="4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7"/>
      <c r="W1211" s="7"/>
    </row>
    <row r="1212" spans="2:23" x14ac:dyDescent="0.2">
      <c r="B1212" s="3"/>
      <c r="C1212" s="3"/>
      <c r="D1212" s="3"/>
      <c r="E1212" s="4"/>
      <c r="F1212" s="4"/>
      <c r="G1212" s="4"/>
      <c r="H1212" s="4"/>
      <c r="I1212" s="4"/>
      <c r="J1212" s="4"/>
      <c r="K1212" s="4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7"/>
      <c r="W1212" s="7"/>
    </row>
    <row r="1213" spans="2:23" x14ac:dyDescent="0.2">
      <c r="B1213" s="3"/>
      <c r="C1213" s="3"/>
      <c r="D1213" s="3"/>
      <c r="E1213" s="4"/>
      <c r="F1213" s="4"/>
      <c r="G1213" s="4"/>
      <c r="H1213" s="4"/>
      <c r="I1213" s="4"/>
      <c r="J1213" s="4"/>
      <c r="K1213" s="4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7"/>
      <c r="W1213" s="7"/>
    </row>
    <row r="1214" spans="2:23" x14ac:dyDescent="0.2">
      <c r="B1214" s="3"/>
      <c r="C1214" s="3"/>
      <c r="D1214" s="3"/>
      <c r="E1214" s="4"/>
      <c r="F1214" s="4"/>
      <c r="G1214" s="4"/>
      <c r="H1214" s="4"/>
      <c r="I1214" s="4"/>
      <c r="J1214" s="4"/>
      <c r="K1214" s="4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7"/>
      <c r="W1214" s="7"/>
    </row>
    <row r="1215" spans="2:23" x14ac:dyDescent="0.2">
      <c r="B1215" s="3"/>
      <c r="C1215" s="3"/>
      <c r="D1215" s="3"/>
      <c r="E1215" s="4"/>
      <c r="F1215" s="4"/>
      <c r="G1215" s="4"/>
      <c r="H1215" s="4"/>
      <c r="I1215" s="4"/>
      <c r="J1215" s="4"/>
      <c r="K1215" s="4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7"/>
      <c r="W1215" s="7"/>
    </row>
    <row r="1216" spans="2:23" x14ac:dyDescent="0.2">
      <c r="B1216" s="3"/>
      <c r="C1216" s="3"/>
      <c r="D1216" s="3"/>
      <c r="E1216" s="4"/>
      <c r="F1216" s="4"/>
      <c r="G1216" s="4"/>
      <c r="H1216" s="4"/>
      <c r="I1216" s="4"/>
      <c r="J1216" s="4"/>
      <c r="K1216" s="4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7"/>
      <c r="W1216" s="7"/>
    </row>
    <row r="1217" spans="2:23" x14ac:dyDescent="0.2">
      <c r="B1217" s="3"/>
      <c r="C1217" s="3"/>
      <c r="D1217" s="3"/>
      <c r="E1217" s="4"/>
      <c r="F1217" s="4"/>
      <c r="G1217" s="4"/>
      <c r="H1217" s="4"/>
      <c r="I1217" s="4"/>
      <c r="J1217" s="4"/>
      <c r="K1217" s="4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7"/>
      <c r="W1217" s="7"/>
    </row>
    <row r="1218" spans="2:23" x14ac:dyDescent="0.2">
      <c r="B1218" s="3"/>
      <c r="C1218" s="3"/>
      <c r="D1218" s="3"/>
      <c r="E1218" s="4"/>
      <c r="F1218" s="4"/>
      <c r="G1218" s="4"/>
      <c r="H1218" s="4"/>
      <c r="I1218" s="4"/>
      <c r="J1218" s="4"/>
      <c r="K1218" s="4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7"/>
      <c r="W1218" s="7"/>
    </row>
    <row r="1219" spans="2:23" x14ac:dyDescent="0.2">
      <c r="B1219" s="3"/>
      <c r="C1219" s="3"/>
      <c r="D1219" s="3"/>
      <c r="E1219" s="4"/>
      <c r="F1219" s="4"/>
      <c r="G1219" s="4"/>
      <c r="H1219" s="4"/>
      <c r="I1219" s="4"/>
      <c r="J1219" s="4"/>
      <c r="K1219" s="4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7"/>
      <c r="W1219" s="7"/>
    </row>
    <row r="1220" spans="2:23" x14ac:dyDescent="0.2">
      <c r="B1220" s="3"/>
      <c r="C1220" s="3"/>
      <c r="D1220" s="3"/>
      <c r="E1220" s="4"/>
      <c r="F1220" s="4"/>
      <c r="G1220" s="4"/>
      <c r="H1220" s="4"/>
      <c r="I1220" s="4"/>
      <c r="J1220" s="4"/>
      <c r="K1220" s="4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7"/>
      <c r="W1220" s="7"/>
    </row>
    <row r="1221" spans="2:23" x14ac:dyDescent="0.2">
      <c r="B1221" s="3"/>
      <c r="C1221" s="3"/>
      <c r="D1221" s="3"/>
      <c r="E1221" s="4"/>
      <c r="F1221" s="4"/>
      <c r="G1221" s="4"/>
      <c r="H1221" s="4"/>
      <c r="I1221" s="4"/>
      <c r="J1221" s="4"/>
      <c r="K1221" s="4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7"/>
      <c r="W1221" s="7"/>
    </row>
    <row r="1222" spans="2:23" x14ac:dyDescent="0.2">
      <c r="B1222" s="3"/>
      <c r="C1222" s="3"/>
      <c r="D1222" s="3"/>
      <c r="E1222" s="4"/>
      <c r="F1222" s="4"/>
      <c r="G1222" s="4"/>
      <c r="H1222" s="4"/>
      <c r="I1222" s="4"/>
      <c r="J1222" s="4"/>
      <c r="K1222" s="4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7"/>
      <c r="W1222" s="7"/>
    </row>
    <row r="1223" spans="2:23" x14ac:dyDescent="0.2">
      <c r="B1223" s="3"/>
      <c r="C1223" s="3"/>
      <c r="D1223" s="3"/>
      <c r="E1223" s="4"/>
      <c r="F1223" s="4"/>
      <c r="G1223" s="4"/>
      <c r="H1223" s="4"/>
      <c r="I1223" s="4"/>
      <c r="J1223" s="4"/>
      <c r="K1223" s="4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7"/>
      <c r="W1223" s="7"/>
    </row>
    <row r="1224" spans="2:23" x14ac:dyDescent="0.2">
      <c r="B1224" s="3"/>
      <c r="C1224" s="3"/>
      <c r="D1224" s="3"/>
      <c r="E1224" s="4"/>
      <c r="F1224" s="4"/>
      <c r="G1224" s="4"/>
      <c r="H1224" s="4"/>
      <c r="I1224" s="4"/>
      <c r="J1224" s="4"/>
      <c r="K1224" s="4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7"/>
      <c r="W1224" s="7"/>
    </row>
    <row r="1225" spans="2:23" x14ac:dyDescent="0.2">
      <c r="B1225" s="3"/>
      <c r="C1225" s="3"/>
      <c r="D1225" s="3"/>
      <c r="E1225" s="4"/>
      <c r="F1225" s="4"/>
      <c r="G1225" s="4"/>
      <c r="H1225" s="4"/>
      <c r="I1225" s="4"/>
      <c r="J1225" s="4"/>
      <c r="K1225" s="4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7"/>
      <c r="W1225" s="7"/>
    </row>
    <row r="1226" spans="2:23" x14ac:dyDescent="0.2">
      <c r="B1226" s="3"/>
      <c r="C1226" s="3"/>
      <c r="D1226" s="3"/>
      <c r="E1226" s="4"/>
      <c r="F1226" s="4"/>
      <c r="G1226" s="4"/>
      <c r="H1226" s="4"/>
      <c r="I1226" s="4"/>
      <c r="J1226" s="4"/>
      <c r="K1226" s="4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7"/>
      <c r="W1226" s="7"/>
    </row>
    <row r="1227" spans="2:23" x14ac:dyDescent="0.2">
      <c r="B1227" s="3"/>
      <c r="C1227" s="3"/>
      <c r="D1227" s="3"/>
      <c r="E1227" s="4"/>
      <c r="F1227" s="4"/>
      <c r="G1227" s="4"/>
      <c r="H1227" s="4"/>
      <c r="I1227" s="4"/>
      <c r="J1227" s="4"/>
      <c r="K1227" s="4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7"/>
      <c r="W1227" s="7"/>
    </row>
    <row r="1228" spans="2:23" x14ac:dyDescent="0.2">
      <c r="B1228" s="3"/>
      <c r="C1228" s="3"/>
      <c r="D1228" s="3"/>
      <c r="E1228" s="4"/>
      <c r="F1228" s="4"/>
      <c r="G1228" s="4"/>
      <c r="H1228" s="4"/>
      <c r="I1228" s="4"/>
      <c r="J1228" s="4"/>
      <c r="K1228" s="4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7"/>
      <c r="W1228" s="7"/>
    </row>
    <row r="1229" spans="2:23" x14ac:dyDescent="0.2">
      <c r="B1229" s="3"/>
      <c r="C1229" s="3"/>
      <c r="D1229" s="3"/>
      <c r="E1229" s="4"/>
      <c r="F1229" s="4"/>
      <c r="G1229" s="4"/>
      <c r="H1229" s="4"/>
      <c r="I1229" s="4"/>
      <c r="J1229" s="4"/>
      <c r="K1229" s="4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7"/>
      <c r="W1229" s="7"/>
    </row>
    <row r="1230" spans="2:23" x14ac:dyDescent="0.2">
      <c r="B1230" s="3"/>
      <c r="C1230" s="3"/>
      <c r="D1230" s="3"/>
      <c r="E1230" s="4"/>
      <c r="F1230" s="4"/>
      <c r="G1230" s="4"/>
      <c r="H1230" s="4"/>
      <c r="I1230" s="4"/>
      <c r="J1230" s="4"/>
      <c r="K1230" s="4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7"/>
      <c r="W1230" s="7"/>
    </row>
    <row r="1231" spans="2:23" x14ac:dyDescent="0.2">
      <c r="B1231" s="3"/>
      <c r="C1231" s="3"/>
      <c r="D1231" s="3"/>
      <c r="E1231" s="4"/>
      <c r="F1231" s="4"/>
      <c r="G1231" s="4"/>
      <c r="H1231" s="4"/>
      <c r="I1231" s="4"/>
      <c r="J1231" s="4"/>
      <c r="K1231" s="4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7"/>
      <c r="W1231" s="7"/>
    </row>
    <row r="1232" spans="2:23" x14ac:dyDescent="0.2">
      <c r="B1232" s="3"/>
      <c r="C1232" s="3"/>
      <c r="D1232" s="3"/>
      <c r="E1232" s="4"/>
      <c r="F1232" s="4"/>
      <c r="G1232" s="4"/>
      <c r="H1232" s="4"/>
      <c r="I1232" s="4"/>
      <c r="J1232" s="4"/>
      <c r="K1232" s="4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7"/>
      <c r="W1232" s="7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  <row r="1534" spans="5:11" x14ac:dyDescent="0.2">
      <c r="E1534" s="1"/>
      <c r="F1534" s="1"/>
      <c r="H1534" s="1"/>
      <c r="I1534" s="1"/>
      <c r="J1534" s="1"/>
      <c r="K1534" s="1"/>
    </row>
    <row r="1535" spans="5:11" x14ac:dyDescent="0.2">
      <c r="E1535" s="1"/>
      <c r="F1535" s="1"/>
      <c r="H1535" s="1"/>
      <c r="I1535" s="1"/>
      <c r="J1535" s="1"/>
      <c r="K1535" s="1"/>
    </row>
    <row r="1536" spans="5:11" x14ac:dyDescent="0.2">
      <c r="E1536" s="1"/>
      <c r="F1536" s="1"/>
      <c r="H1536" s="1"/>
      <c r="I1536" s="1"/>
      <c r="J1536" s="1"/>
      <c r="K1536" s="1"/>
    </row>
    <row r="1537" spans="5:11" x14ac:dyDescent="0.2">
      <c r="E1537" s="1"/>
      <c r="F1537" s="1"/>
      <c r="H1537" s="1"/>
      <c r="I1537" s="1"/>
      <c r="J1537" s="1"/>
      <c r="K1537" s="1"/>
    </row>
    <row r="1538" spans="5:11" x14ac:dyDescent="0.2">
      <c r="E1538" s="1"/>
      <c r="F1538" s="1"/>
      <c r="H1538" s="1"/>
      <c r="I1538" s="1"/>
      <c r="J1538" s="1"/>
      <c r="K1538" s="1"/>
    </row>
    <row r="1539" spans="5:11" x14ac:dyDescent="0.2">
      <c r="E1539" s="1"/>
      <c r="F1539" s="1"/>
      <c r="H1539" s="1"/>
      <c r="I1539" s="1"/>
      <c r="J1539" s="1"/>
      <c r="K1539" s="1"/>
    </row>
    <row r="1540" spans="5:11" x14ac:dyDescent="0.2">
      <c r="E1540" s="1"/>
      <c r="F1540" s="1"/>
      <c r="H1540" s="1"/>
      <c r="I1540" s="1"/>
      <c r="J1540" s="1"/>
      <c r="K1540" s="1"/>
    </row>
    <row r="1541" spans="5:11" x14ac:dyDescent="0.2">
      <c r="E1541" s="1"/>
      <c r="F1541" s="1"/>
      <c r="H1541" s="1"/>
      <c r="I1541" s="1"/>
      <c r="J1541" s="1"/>
      <c r="K1541" s="1"/>
    </row>
    <row r="1542" spans="5:11" x14ac:dyDescent="0.2">
      <c r="E1542" s="1"/>
      <c r="F1542" s="1"/>
      <c r="H1542" s="1"/>
      <c r="I1542" s="1"/>
      <c r="J1542" s="1"/>
      <c r="K1542" s="1"/>
    </row>
    <row r="1543" spans="5:11" x14ac:dyDescent="0.2">
      <c r="E1543" s="1"/>
      <c r="F1543" s="1"/>
      <c r="H1543" s="1"/>
      <c r="I1543" s="1"/>
      <c r="J1543" s="1"/>
      <c r="K1543" s="1"/>
    </row>
    <row r="1544" spans="5:11" x14ac:dyDescent="0.2">
      <c r="E1544" s="1"/>
      <c r="F1544" s="1"/>
      <c r="H1544" s="1"/>
      <c r="I1544" s="1"/>
      <c r="J1544" s="1"/>
      <c r="K1544" s="1"/>
    </row>
    <row r="1545" spans="5:11" x14ac:dyDescent="0.2">
      <c r="E1545" s="1"/>
      <c r="F1545" s="1"/>
      <c r="H1545" s="1"/>
      <c r="I1545" s="1"/>
      <c r="J1545" s="1"/>
      <c r="K1545" s="1"/>
    </row>
    <row r="1546" spans="5:11" x14ac:dyDescent="0.2">
      <c r="E1546" s="1"/>
      <c r="F1546" s="1"/>
      <c r="H1546" s="1"/>
      <c r="I1546" s="1"/>
      <c r="J1546" s="1"/>
      <c r="K1546" s="1"/>
    </row>
    <row r="1547" spans="5:11" x14ac:dyDescent="0.2">
      <c r="E1547" s="1"/>
      <c r="F1547" s="1"/>
      <c r="H1547" s="1"/>
      <c r="I1547" s="1"/>
      <c r="J1547" s="1"/>
      <c r="K1547" s="1"/>
    </row>
    <row r="1548" spans="5:11" x14ac:dyDescent="0.2">
      <c r="E1548" s="1"/>
      <c r="F1548" s="1"/>
      <c r="H1548" s="1"/>
      <c r="I1548" s="1"/>
      <c r="J1548" s="1"/>
      <c r="K1548" s="1"/>
    </row>
    <row r="1549" spans="5:11" x14ac:dyDescent="0.2">
      <c r="E1549" s="1"/>
      <c r="F1549" s="1"/>
      <c r="H1549" s="1"/>
      <c r="I1549" s="1"/>
      <c r="J1549" s="1"/>
      <c r="K1549" s="1"/>
    </row>
    <row r="1550" spans="5:11" x14ac:dyDescent="0.2">
      <c r="E1550" s="1"/>
      <c r="F1550" s="1"/>
      <c r="H1550" s="1"/>
      <c r="I1550" s="1"/>
      <c r="J1550" s="1"/>
      <c r="K1550" s="1"/>
    </row>
    <row r="1551" spans="5:11" x14ac:dyDescent="0.2">
      <c r="E1551" s="1"/>
      <c r="F1551" s="1"/>
      <c r="H1551" s="1"/>
      <c r="I1551" s="1"/>
      <c r="J1551" s="1"/>
      <c r="K1551" s="1"/>
    </row>
    <row r="1552" spans="5:11" x14ac:dyDescent="0.2">
      <c r="E1552" s="1"/>
      <c r="F1552" s="1"/>
      <c r="H1552" s="1"/>
      <c r="I1552" s="1"/>
      <c r="J1552" s="1"/>
      <c r="K1552" s="1"/>
    </row>
    <row r="1553" spans="5:11" x14ac:dyDescent="0.2">
      <c r="E1553" s="1"/>
      <c r="F1553" s="1"/>
      <c r="H1553" s="1"/>
      <c r="I1553" s="1"/>
      <c r="J1553" s="1"/>
      <c r="K1553" s="1"/>
    </row>
    <row r="1554" spans="5:11" x14ac:dyDescent="0.2">
      <c r="E1554" s="1"/>
      <c r="F1554" s="1"/>
      <c r="H1554" s="1"/>
      <c r="I1554" s="1"/>
      <c r="J1554" s="1"/>
      <c r="K1554" s="1"/>
    </row>
    <row r="1555" spans="5:11" x14ac:dyDescent="0.2">
      <c r="E1555" s="1"/>
      <c r="F1555" s="1"/>
      <c r="H1555" s="1"/>
      <c r="I1555" s="1"/>
      <c r="J1555" s="1"/>
      <c r="K1555" s="1"/>
    </row>
    <row r="1556" spans="5:11" x14ac:dyDescent="0.2">
      <c r="E1556" s="1"/>
      <c r="F1556" s="1"/>
      <c r="H1556" s="1"/>
      <c r="I1556" s="1"/>
      <c r="J1556" s="1"/>
      <c r="K1556" s="1"/>
    </row>
    <row r="1557" spans="5:11" x14ac:dyDescent="0.2">
      <c r="E1557" s="1"/>
      <c r="F1557" s="1"/>
      <c r="H1557" s="1"/>
      <c r="I1557" s="1"/>
      <c r="J1557" s="1"/>
      <c r="K1557" s="1"/>
    </row>
    <row r="1558" spans="5:11" x14ac:dyDescent="0.2">
      <c r="E1558" s="1"/>
      <c r="F1558" s="1"/>
      <c r="H1558" s="1"/>
      <c r="I1558" s="1"/>
      <c r="J1558" s="1"/>
      <c r="K1558" s="1"/>
    </row>
    <row r="1559" spans="5:11" x14ac:dyDescent="0.2">
      <c r="E1559" s="1"/>
      <c r="F1559" s="1"/>
      <c r="H1559" s="1"/>
      <c r="I1559" s="1"/>
      <c r="J1559" s="1"/>
      <c r="K1559" s="1"/>
    </row>
    <row r="1560" spans="5:11" x14ac:dyDescent="0.2">
      <c r="E1560" s="1"/>
      <c r="F1560" s="1"/>
      <c r="H1560" s="1"/>
      <c r="I1560" s="1"/>
      <c r="J1560" s="1"/>
      <c r="K1560" s="1"/>
    </row>
    <row r="1561" spans="5:11" x14ac:dyDescent="0.2">
      <c r="E1561" s="1"/>
      <c r="F1561" s="1"/>
      <c r="H1561" s="1"/>
      <c r="I1561" s="1"/>
      <c r="J1561" s="1"/>
      <c r="K1561" s="1"/>
    </row>
    <row r="1562" spans="5:11" x14ac:dyDescent="0.2">
      <c r="E1562" s="1"/>
      <c r="F1562" s="1"/>
      <c r="H1562" s="1"/>
      <c r="I1562" s="1"/>
      <c r="J1562" s="1"/>
      <c r="K1562" s="1"/>
    </row>
    <row r="1563" spans="5:11" x14ac:dyDescent="0.2">
      <c r="E1563" s="1"/>
      <c r="F1563" s="1"/>
      <c r="H1563" s="1"/>
      <c r="I1563" s="1"/>
      <c r="J1563" s="1"/>
      <c r="K1563" s="1"/>
    </row>
    <row r="1564" spans="5:11" x14ac:dyDescent="0.2">
      <c r="E1564" s="1"/>
      <c r="F1564" s="1"/>
      <c r="H1564" s="1"/>
      <c r="I1564" s="1"/>
      <c r="J1564" s="1"/>
      <c r="K1564" s="1"/>
    </row>
    <row r="1565" spans="5:11" x14ac:dyDescent="0.2">
      <c r="E1565" s="1"/>
      <c r="F1565" s="1"/>
      <c r="H1565" s="1"/>
      <c r="I1565" s="1"/>
      <c r="J1565" s="1"/>
      <c r="K1565" s="1"/>
    </row>
    <row r="1566" spans="5:11" x14ac:dyDescent="0.2">
      <c r="E1566" s="1"/>
      <c r="F1566" s="1"/>
      <c r="H1566" s="1"/>
      <c r="I1566" s="1"/>
      <c r="J1566" s="1"/>
      <c r="K1566" s="1"/>
    </row>
    <row r="1567" spans="5:11" x14ac:dyDescent="0.2">
      <c r="E1567" s="1"/>
      <c r="F1567" s="1"/>
      <c r="H1567" s="1"/>
      <c r="I1567" s="1"/>
      <c r="J1567" s="1"/>
      <c r="K1567" s="1"/>
    </row>
    <row r="1568" spans="5:11" x14ac:dyDescent="0.2">
      <c r="E1568" s="1"/>
      <c r="F1568" s="1"/>
      <c r="H1568" s="1"/>
      <c r="I1568" s="1"/>
      <c r="J1568" s="1"/>
      <c r="K1568" s="1"/>
    </row>
    <row r="1569" spans="5:11" x14ac:dyDescent="0.2">
      <c r="E1569" s="1"/>
      <c r="F1569" s="1"/>
      <c r="H1569" s="1"/>
      <c r="I1569" s="1"/>
      <c r="J1569" s="1"/>
      <c r="K1569" s="1"/>
    </row>
    <row r="1570" spans="5:11" x14ac:dyDescent="0.2">
      <c r="E1570" s="1"/>
      <c r="F1570" s="1"/>
      <c r="H1570" s="1"/>
      <c r="I1570" s="1"/>
      <c r="J1570" s="1"/>
      <c r="K1570" s="1"/>
    </row>
    <row r="1571" spans="5:11" x14ac:dyDescent="0.2">
      <c r="E1571" s="1"/>
      <c r="F1571" s="1"/>
      <c r="H1571" s="1"/>
      <c r="I1571" s="1"/>
      <c r="J1571" s="1"/>
      <c r="K1571" s="1"/>
    </row>
    <row r="1572" spans="5:11" x14ac:dyDescent="0.2">
      <c r="E1572" s="1"/>
      <c r="F1572" s="1"/>
      <c r="H1572" s="1"/>
      <c r="I1572" s="1"/>
      <c r="J1572" s="1"/>
      <c r="K1572" s="1"/>
    </row>
    <row r="1573" spans="5:11" x14ac:dyDescent="0.2">
      <c r="E1573" s="1"/>
      <c r="F1573" s="1"/>
      <c r="H1573" s="1"/>
      <c r="I1573" s="1"/>
      <c r="J1573" s="1"/>
      <c r="K1573" s="1"/>
    </row>
    <row r="1574" spans="5:11" x14ac:dyDescent="0.2">
      <c r="E1574" s="1"/>
      <c r="F1574" s="1"/>
      <c r="H1574" s="1"/>
      <c r="I1574" s="1"/>
      <c r="J1574" s="1"/>
      <c r="K1574" s="1"/>
    </row>
    <row r="1575" spans="5:11" x14ac:dyDescent="0.2">
      <c r="E1575" s="1"/>
      <c r="F1575" s="1"/>
      <c r="H1575" s="1"/>
      <c r="I1575" s="1"/>
      <c r="J1575" s="1"/>
      <c r="K1575" s="1"/>
    </row>
    <row r="1576" spans="5:11" x14ac:dyDescent="0.2">
      <c r="E1576" s="1"/>
      <c r="F1576" s="1"/>
      <c r="H1576" s="1"/>
      <c r="I1576" s="1"/>
      <c r="J1576" s="1"/>
      <c r="K1576" s="1"/>
    </row>
    <row r="1577" spans="5:11" x14ac:dyDescent="0.2">
      <c r="E1577" s="1"/>
      <c r="F1577" s="1"/>
      <c r="H1577" s="1"/>
      <c r="I1577" s="1"/>
      <c r="J1577" s="1"/>
      <c r="K1577" s="1"/>
    </row>
    <row r="1578" spans="5:11" x14ac:dyDescent="0.2">
      <c r="E1578" s="1"/>
      <c r="F1578" s="1"/>
      <c r="H1578" s="1"/>
      <c r="I1578" s="1"/>
      <c r="J1578" s="1"/>
      <c r="K1578" s="1"/>
    </row>
    <row r="1579" spans="5:11" x14ac:dyDescent="0.2">
      <c r="E1579" s="1"/>
      <c r="F1579" s="1"/>
      <c r="H1579" s="1"/>
      <c r="I1579" s="1"/>
      <c r="J1579" s="1"/>
      <c r="K1579" s="1"/>
    </row>
    <row r="1580" spans="5:11" x14ac:dyDescent="0.2">
      <c r="E1580" s="1"/>
      <c r="F1580" s="1"/>
      <c r="H1580" s="1"/>
      <c r="I1580" s="1"/>
      <c r="J1580" s="1"/>
      <c r="K1580" s="1"/>
    </row>
    <row r="1581" spans="5:11" x14ac:dyDescent="0.2">
      <c r="E1581" s="1"/>
      <c r="F1581" s="1"/>
      <c r="H1581" s="1"/>
      <c r="I1581" s="1"/>
      <c r="J1581" s="1"/>
      <c r="K1581" s="1"/>
    </row>
    <row r="1582" spans="5:11" x14ac:dyDescent="0.2">
      <c r="E1582" s="1"/>
      <c r="F1582" s="1"/>
      <c r="H1582" s="1"/>
      <c r="I1582" s="1"/>
      <c r="J1582" s="1"/>
      <c r="K1582" s="1"/>
    </row>
    <row r="1583" spans="5:11" x14ac:dyDescent="0.2">
      <c r="E1583" s="1"/>
      <c r="F1583" s="1"/>
      <c r="H1583" s="1"/>
      <c r="I1583" s="1"/>
      <c r="J1583" s="1"/>
      <c r="K1583" s="1"/>
    </row>
    <row r="1584" spans="5:11" x14ac:dyDescent="0.2">
      <c r="E1584" s="1"/>
      <c r="F1584" s="1"/>
      <c r="H1584" s="1"/>
      <c r="I1584" s="1"/>
      <c r="J1584" s="1"/>
      <c r="K1584" s="1"/>
    </row>
    <row r="1585" spans="5:11" x14ac:dyDescent="0.2">
      <c r="E1585" s="1"/>
      <c r="F1585" s="1"/>
      <c r="H1585" s="1"/>
      <c r="I1585" s="1"/>
      <c r="J1585" s="1"/>
      <c r="K1585" s="1"/>
    </row>
    <row r="1586" spans="5:11" x14ac:dyDescent="0.2">
      <c r="E1586" s="1"/>
      <c r="F1586" s="1"/>
      <c r="H1586" s="1"/>
      <c r="I1586" s="1"/>
      <c r="J1586" s="1"/>
      <c r="K1586" s="1"/>
    </row>
    <row r="1587" spans="5:11" x14ac:dyDescent="0.2">
      <c r="E1587" s="1"/>
      <c r="F1587" s="1"/>
      <c r="H1587" s="1"/>
      <c r="I1587" s="1"/>
      <c r="J1587" s="1"/>
      <c r="K1587" s="1"/>
    </row>
    <row r="1588" spans="5:11" x14ac:dyDescent="0.2">
      <c r="E1588" s="1"/>
      <c r="F1588" s="1"/>
      <c r="H1588" s="1"/>
      <c r="I1588" s="1"/>
      <c r="J1588" s="1"/>
      <c r="K1588" s="1"/>
    </row>
    <row r="1589" spans="5:11" x14ac:dyDescent="0.2">
      <c r="E1589" s="1"/>
      <c r="F1589" s="1"/>
      <c r="H1589" s="1"/>
      <c r="I1589" s="1"/>
      <c r="J1589" s="1"/>
      <c r="K1589" s="1"/>
    </row>
    <row r="1590" spans="5:11" x14ac:dyDescent="0.2">
      <c r="E1590" s="1"/>
      <c r="F1590" s="1"/>
      <c r="H1590" s="1"/>
      <c r="I1590" s="1"/>
      <c r="J1590" s="1"/>
      <c r="K1590" s="1"/>
    </row>
    <row r="1591" spans="5:11" x14ac:dyDescent="0.2">
      <c r="E1591" s="1"/>
      <c r="F1591" s="1"/>
      <c r="H1591" s="1"/>
      <c r="I1591" s="1"/>
      <c r="J1591" s="1"/>
      <c r="K1591" s="1"/>
    </row>
    <row r="1592" spans="5:11" x14ac:dyDescent="0.2">
      <c r="E1592" s="1"/>
      <c r="F1592" s="1"/>
      <c r="H1592" s="1"/>
      <c r="I1592" s="1"/>
      <c r="J1592" s="1"/>
      <c r="K1592" s="1"/>
    </row>
    <row r="1593" spans="5:11" x14ac:dyDescent="0.2">
      <c r="E1593" s="1"/>
      <c r="F1593" s="1"/>
      <c r="H1593" s="1"/>
      <c r="I1593" s="1"/>
      <c r="J1593" s="1"/>
      <c r="K1593" s="1"/>
    </row>
    <row r="1594" spans="5:11" x14ac:dyDescent="0.2">
      <c r="E1594" s="1"/>
      <c r="F1594" s="1"/>
      <c r="H1594" s="1"/>
      <c r="I1594" s="1"/>
      <c r="J1594" s="1"/>
      <c r="K1594" s="1"/>
    </row>
    <row r="1595" spans="5:11" x14ac:dyDescent="0.2">
      <c r="E1595" s="1"/>
      <c r="F1595" s="1"/>
      <c r="H1595" s="1"/>
      <c r="I1595" s="1"/>
      <c r="J1595" s="1"/>
      <c r="K1595" s="1"/>
    </row>
    <row r="1596" spans="5:11" x14ac:dyDescent="0.2">
      <c r="E1596" s="1"/>
      <c r="F1596" s="1"/>
      <c r="H1596" s="1"/>
      <c r="I1596" s="1"/>
      <c r="J1596" s="1"/>
      <c r="K1596" s="1"/>
    </row>
    <row r="1597" spans="5:11" x14ac:dyDescent="0.2">
      <c r="E1597" s="1"/>
      <c r="F1597" s="1"/>
      <c r="H1597" s="1"/>
      <c r="I1597" s="1"/>
      <c r="J1597" s="1"/>
      <c r="K1597" s="1"/>
    </row>
    <row r="1598" spans="5:11" x14ac:dyDescent="0.2">
      <c r="E1598" s="1"/>
      <c r="F1598" s="1"/>
      <c r="H1598" s="1"/>
      <c r="I1598" s="1"/>
      <c r="J1598" s="1"/>
      <c r="K1598" s="1"/>
    </row>
    <row r="1599" spans="5:11" x14ac:dyDescent="0.2">
      <c r="E1599" s="1"/>
      <c r="F1599" s="1"/>
      <c r="H1599" s="1"/>
      <c r="I1599" s="1"/>
      <c r="J1599" s="1"/>
      <c r="K1599" s="1"/>
    </row>
    <row r="1600" spans="5:11" x14ac:dyDescent="0.2">
      <c r="E1600" s="1"/>
      <c r="F1600" s="1"/>
      <c r="H1600" s="1"/>
      <c r="I1600" s="1"/>
      <c r="J1600" s="1"/>
      <c r="K1600" s="1"/>
    </row>
    <row r="1601" spans="5:11" x14ac:dyDescent="0.2">
      <c r="E1601" s="1"/>
      <c r="F1601" s="1"/>
      <c r="H1601" s="1"/>
      <c r="I1601" s="1"/>
      <c r="J1601" s="1"/>
      <c r="K1601" s="1"/>
    </row>
    <row r="1602" spans="5:11" x14ac:dyDescent="0.2">
      <c r="E1602" s="1"/>
      <c r="F1602" s="1"/>
      <c r="H1602" s="1"/>
      <c r="I1602" s="1"/>
      <c r="J1602" s="1"/>
      <c r="K1602" s="1"/>
    </row>
    <row r="1603" spans="5:11" x14ac:dyDescent="0.2">
      <c r="E1603" s="1"/>
      <c r="F1603" s="1"/>
      <c r="H1603" s="1"/>
      <c r="I1603" s="1"/>
      <c r="J1603" s="1"/>
      <c r="K1603" s="1"/>
    </row>
    <row r="1604" spans="5:11" x14ac:dyDescent="0.2">
      <c r="E1604" s="1"/>
      <c r="F1604" s="1"/>
      <c r="H1604" s="1"/>
      <c r="I1604" s="1"/>
      <c r="J1604" s="1"/>
      <c r="K1604" s="1"/>
    </row>
    <row r="1605" spans="5:11" x14ac:dyDescent="0.2">
      <c r="E1605" s="1"/>
      <c r="F1605" s="1"/>
      <c r="H1605" s="1"/>
      <c r="I1605" s="1"/>
      <c r="J1605" s="1"/>
      <c r="K1605" s="1"/>
    </row>
    <row r="1606" spans="5:11" x14ac:dyDescent="0.2">
      <c r="E1606" s="1"/>
      <c r="F1606" s="1"/>
      <c r="H1606" s="1"/>
      <c r="I1606" s="1"/>
      <c r="J1606" s="1"/>
      <c r="K1606" s="1"/>
    </row>
    <row r="1607" spans="5:11" x14ac:dyDescent="0.2">
      <c r="E1607" s="1"/>
      <c r="F1607" s="1"/>
      <c r="H1607" s="1"/>
      <c r="I1607" s="1"/>
      <c r="J1607" s="1"/>
      <c r="K1607" s="1"/>
    </row>
    <row r="1608" spans="5:11" x14ac:dyDescent="0.2">
      <c r="E1608" s="1"/>
      <c r="F1608" s="1"/>
      <c r="H1608" s="1"/>
      <c r="I1608" s="1"/>
      <c r="J1608" s="1"/>
      <c r="K1608" s="1"/>
    </row>
    <row r="1609" spans="5:11" x14ac:dyDescent="0.2">
      <c r="E1609" s="1"/>
      <c r="F1609" s="1"/>
      <c r="H1609" s="1"/>
      <c r="I1609" s="1"/>
      <c r="J1609" s="1"/>
      <c r="K1609" s="1"/>
    </row>
    <row r="1610" spans="5:11" x14ac:dyDescent="0.2">
      <c r="E1610" s="1"/>
      <c r="F1610" s="1"/>
      <c r="H1610" s="1"/>
      <c r="I1610" s="1"/>
      <c r="J1610" s="1"/>
      <c r="K1610" s="1"/>
    </row>
    <row r="1611" spans="5:11" x14ac:dyDescent="0.2">
      <c r="E1611" s="1"/>
      <c r="F1611" s="1"/>
      <c r="H1611" s="1"/>
      <c r="I1611" s="1"/>
      <c r="J1611" s="1"/>
      <c r="K1611" s="1"/>
    </row>
    <row r="1612" spans="5:11" x14ac:dyDescent="0.2">
      <c r="E1612" s="1"/>
      <c r="F1612" s="1"/>
      <c r="H1612" s="1"/>
      <c r="I1612" s="1"/>
      <c r="J1612" s="1"/>
      <c r="K1612" s="1"/>
    </row>
    <row r="1613" spans="5:11" x14ac:dyDescent="0.2">
      <c r="E1613" s="1"/>
      <c r="F1613" s="1"/>
      <c r="H1613" s="1"/>
      <c r="I1613" s="1"/>
      <c r="J1613" s="1"/>
      <c r="K1613" s="1"/>
    </row>
    <row r="1614" spans="5:11" x14ac:dyDescent="0.2">
      <c r="E1614" s="1"/>
      <c r="F1614" s="1"/>
      <c r="H1614" s="1"/>
      <c r="I1614" s="1"/>
      <c r="J1614" s="1"/>
      <c r="K1614" s="1"/>
    </row>
    <row r="1615" spans="5:11" x14ac:dyDescent="0.2">
      <c r="E1615" s="1"/>
      <c r="F1615" s="1"/>
      <c r="H1615" s="1"/>
      <c r="I1615" s="1"/>
      <c r="J1615" s="1"/>
      <c r="K1615" s="1"/>
    </row>
    <row r="1616" spans="5:11" x14ac:dyDescent="0.2">
      <c r="E1616" s="1"/>
      <c r="F1616" s="1"/>
      <c r="H1616" s="1"/>
      <c r="I1616" s="1"/>
      <c r="J1616" s="1"/>
      <c r="K1616" s="1"/>
    </row>
    <row r="1617" spans="5:11" x14ac:dyDescent="0.2">
      <c r="E1617" s="1"/>
      <c r="F1617" s="1"/>
      <c r="H1617" s="1"/>
      <c r="I1617" s="1"/>
      <c r="J1617" s="1"/>
      <c r="K1617" s="1"/>
    </row>
    <row r="1618" spans="5:11" x14ac:dyDescent="0.2">
      <c r="E1618" s="1"/>
      <c r="F1618" s="1"/>
      <c r="H1618" s="1"/>
      <c r="I1618" s="1"/>
      <c r="J1618" s="1"/>
      <c r="K1618" s="1"/>
    </row>
    <row r="1619" spans="5:11" x14ac:dyDescent="0.2">
      <c r="E1619" s="1"/>
      <c r="F1619" s="1"/>
      <c r="H1619" s="1"/>
      <c r="I1619" s="1"/>
      <c r="J1619" s="1"/>
      <c r="K1619" s="1"/>
    </row>
    <row r="1620" spans="5:11" x14ac:dyDescent="0.2">
      <c r="E1620" s="1"/>
      <c r="F1620" s="1"/>
      <c r="H1620" s="1"/>
      <c r="I1620" s="1"/>
      <c r="J1620" s="1"/>
      <c r="K1620" s="1"/>
    </row>
    <row r="1621" spans="5:11" x14ac:dyDescent="0.2">
      <c r="E1621" s="1"/>
      <c r="F1621" s="1"/>
      <c r="H1621" s="1"/>
      <c r="I1621" s="1"/>
      <c r="J1621" s="1"/>
      <c r="K1621" s="1"/>
    </row>
    <row r="1622" spans="5:11" x14ac:dyDescent="0.2">
      <c r="E1622" s="1"/>
      <c r="F1622" s="1"/>
      <c r="H1622" s="1"/>
      <c r="I1622" s="1"/>
      <c r="J1622" s="1"/>
      <c r="K1622" s="1"/>
    </row>
    <row r="1623" spans="5:11" x14ac:dyDescent="0.2">
      <c r="E1623" s="1"/>
      <c r="F1623" s="1"/>
      <c r="H1623" s="1"/>
      <c r="I1623" s="1"/>
      <c r="J1623" s="1"/>
      <c r="K1623" s="1"/>
    </row>
    <row r="1624" spans="5:11" x14ac:dyDescent="0.2">
      <c r="E1624" s="1"/>
      <c r="F1624" s="1"/>
      <c r="H1624" s="1"/>
      <c r="I1624" s="1"/>
      <c r="J1624" s="1"/>
      <c r="K1624" s="1"/>
    </row>
    <row r="1625" spans="5:11" x14ac:dyDescent="0.2">
      <c r="E1625" s="1"/>
      <c r="F1625" s="1"/>
      <c r="H1625" s="1"/>
      <c r="I1625" s="1"/>
      <c r="J1625" s="1"/>
      <c r="K1625" s="1"/>
    </row>
    <row r="1626" spans="5:11" x14ac:dyDescent="0.2">
      <c r="E1626" s="1"/>
      <c r="F1626" s="1"/>
      <c r="H1626" s="1"/>
      <c r="I1626" s="1"/>
      <c r="J1626" s="1"/>
      <c r="K1626" s="1"/>
    </row>
    <row r="1627" spans="5:11" x14ac:dyDescent="0.2">
      <c r="E1627" s="1"/>
      <c r="F1627" s="1"/>
      <c r="H1627" s="1"/>
      <c r="I1627" s="1"/>
      <c r="J1627" s="1"/>
      <c r="K1627" s="1"/>
    </row>
    <row r="1628" spans="5:11" x14ac:dyDescent="0.2">
      <c r="E1628" s="1"/>
      <c r="F1628" s="1"/>
      <c r="H1628" s="1"/>
      <c r="I1628" s="1"/>
      <c r="J1628" s="1"/>
      <c r="K1628" s="1"/>
    </row>
    <row r="1629" spans="5:11" x14ac:dyDescent="0.2">
      <c r="E1629" s="1"/>
      <c r="F1629" s="1"/>
      <c r="H1629" s="1"/>
      <c r="I1629" s="1"/>
      <c r="J1629" s="1"/>
      <c r="K1629" s="1"/>
    </row>
    <row r="1630" spans="5:11" x14ac:dyDescent="0.2">
      <c r="E1630" s="1"/>
      <c r="F1630" s="1"/>
      <c r="H1630" s="1"/>
      <c r="I1630" s="1"/>
      <c r="J1630" s="1"/>
      <c r="K1630" s="1"/>
    </row>
    <row r="1631" spans="5:11" x14ac:dyDescent="0.2">
      <c r="E1631" s="1"/>
      <c r="F1631" s="1"/>
      <c r="H1631" s="1"/>
      <c r="I1631" s="1"/>
      <c r="J1631" s="1"/>
      <c r="K1631" s="1"/>
    </row>
    <row r="1632" spans="5:11" x14ac:dyDescent="0.2">
      <c r="E1632" s="1"/>
      <c r="F1632" s="1"/>
      <c r="H1632" s="1"/>
      <c r="I1632" s="1"/>
      <c r="J1632" s="1"/>
      <c r="K1632" s="1"/>
    </row>
    <row r="1633" spans="5:11" x14ac:dyDescent="0.2">
      <c r="E1633" s="1"/>
      <c r="F1633" s="1"/>
      <c r="H1633" s="1"/>
      <c r="I1633" s="1"/>
      <c r="J1633" s="1"/>
      <c r="K1633" s="1"/>
    </row>
    <row r="1634" spans="5:11" x14ac:dyDescent="0.2">
      <c r="E1634" s="1"/>
      <c r="F1634" s="1"/>
      <c r="H1634" s="1"/>
      <c r="I1634" s="1"/>
      <c r="J1634" s="1"/>
      <c r="K1634" s="1"/>
    </row>
    <row r="1635" spans="5:11" x14ac:dyDescent="0.2">
      <c r="E1635" s="1"/>
      <c r="F1635" s="1"/>
      <c r="H1635" s="1"/>
      <c r="I1635" s="1"/>
      <c r="J1635" s="1"/>
      <c r="K1635" s="1"/>
    </row>
    <row r="1636" spans="5:11" x14ac:dyDescent="0.2">
      <c r="E1636" s="1"/>
      <c r="F1636" s="1"/>
      <c r="H1636" s="1"/>
      <c r="I1636" s="1"/>
      <c r="J1636" s="1"/>
      <c r="K1636" s="1"/>
    </row>
    <row r="1637" spans="5:11" x14ac:dyDescent="0.2">
      <c r="E1637" s="1"/>
      <c r="F1637" s="1"/>
      <c r="H1637" s="1"/>
      <c r="I1637" s="1"/>
      <c r="J1637" s="1"/>
      <c r="K1637" s="1"/>
    </row>
    <row r="1638" spans="5:11" x14ac:dyDescent="0.2">
      <c r="E1638" s="1"/>
      <c r="F1638" s="1"/>
      <c r="H1638" s="1"/>
      <c r="I1638" s="1"/>
      <c r="J1638" s="1"/>
      <c r="K1638" s="1"/>
    </row>
    <row r="1639" spans="5:11" x14ac:dyDescent="0.2">
      <c r="E1639" s="1"/>
      <c r="F1639" s="1"/>
      <c r="H1639" s="1"/>
      <c r="I1639" s="1"/>
      <c r="J1639" s="1"/>
      <c r="K1639" s="1"/>
    </row>
    <row r="1640" spans="5:11" x14ac:dyDescent="0.2">
      <c r="E1640" s="1"/>
      <c r="F1640" s="1"/>
      <c r="H1640" s="1"/>
      <c r="I1640" s="1"/>
      <c r="J1640" s="1"/>
      <c r="K1640" s="1"/>
    </row>
    <row r="1641" spans="5:11" x14ac:dyDescent="0.2">
      <c r="E1641" s="1"/>
      <c r="F1641" s="1"/>
      <c r="H1641" s="1"/>
      <c r="I1641" s="1"/>
      <c r="J1641" s="1"/>
      <c r="K1641" s="1"/>
    </row>
    <row r="1642" spans="5:11" x14ac:dyDescent="0.2">
      <c r="E1642" s="1"/>
      <c r="F1642" s="1"/>
      <c r="H1642" s="1"/>
      <c r="I1642" s="1"/>
      <c r="J1642" s="1"/>
      <c r="K1642" s="1"/>
    </row>
    <row r="1643" spans="5:11" x14ac:dyDescent="0.2">
      <c r="E1643" s="1"/>
      <c r="F1643" s="1"/>
      <c r="H1643" s="1"/>
      <c r="I1643" s="1"/>
      <c r="J1643" s="1"/>
      <c r="K1643" s="1"/>
    </row>
    <row r="1644" spans="5:11" x14ac:dyDescent="0.2">
      <c r="E1644" s="1"/>
      <c r="F1644" s="1"/>
      <c r="H1644" s="1"/>
      <c r="I1644" s="1"/>
      <c r="J1644" s="1"/>
      <c r="K1644" s="1"/>
    </row>
    <row r="1645" spans="5:11" x14ac:dyDescent="0.2">
      <c r="E1645" s="1"/>
      <c r="F1645" s="1"/>
      <c r="H1645" s="1"/>
      <c r="I1645" s="1"/>
      <c r="J1645" s="1"/>
      <c r="K1645" s="1"/>
    </row>
    <row r="1646" spans="5:11" x14ac:dyDescent="0.2">
      <c r="E1646" s="1"/>
      <c r="F1646" s="1"/>
      <c r="H1646" s="1"/>
      <c r="I1646" s="1"/>
      <c r="J1646" s="1"/>
      <c r="K1646" s="1"/>
    </row>
    <row r="1647" spans="5:11" x14ac:dyDescent="0.2">
      <c r="E1647" s="1"/>
      <c r="F1647" s="1"/>
      <c r="H1647" s="1"/>
      <c r="I1647" s="1"/>
      <c r="J1647" s="1"/>
      <c r="K1647" s="1"/>
    </row>
  </sheetData>
  <mergeCells count="1221">
    <mergeCell ref="B625:E625"/>
    <mergeCell ref="AF722:AH722"/>
    <mergeCell ref="AB641:AB642"/>
    <mergeCell ref="AF641:AH641"/>
    <mergeCell ref="B462:E462"/>
    <mergeCell ref="X497:AA497"/>
    <mergeCell ref="AF598:AH598"/>
    <mergeCell ref="B501:E501"/>
    <mergeCell ref="X539:AA539"/>
    <mergeCell ref="F479:F480"/>
    <mergeCell ref="B475:E475"/>
    <mergeCell ref="X475:AA475"/>
    <mergeCell ref="B483:E483"/>
    <mergeCell ref="X472:AA472"/>
    <mergeCell ref="X498:AA498"/>
    <mergeCell ref="X483:AA483"/>
    <mergeCell ref="B464:E464"/>
    <mergeCell ref="B465:E465"/>
    <mergeCell ref="B466:E466"/>
    <mergeCell ref="B468:E468"/>
    <mergeCell ref="X500:AA500"/>
    <mergeCell ref="B488:E488"/>
    <mergeCell ref="B494:E494"/>
    <mergeCell ref="X494:AA494"/>
    <mergeCell ref="X540:AA540"/>
    <mergeCell ref="B655:E655"/>
    <mergeCell ref="B633:E633"/>
    <mergeCell ref="B603:E603"/>
    <mergeCell ref="B568:E568"/>
    <mergeCell ref="B570:E570"/>
    <mergeCell ref="B595:G595"/>
    <mergeCell ref="B596:G596"/>
    <mergeCell ref="B563:E563"/>
    <mergeCell ref="AF239:AH239"/>
    <mergeCell ref="AB319:AB320"/>
    <mergeCell ref="AB239:AB240"/>
    <mergeCell ref="B365:E365"/>
    <mergeCell ref="B251:E251"/>
    <mergeCell ref="F239:F240"/>
    <mergeCell ref="B244:E244"/>
    <mergeCell ref="B362:E362"/>
    <mergeCell ref="B312:E312"/>
    <mergeCell ref="B349:E349"/>
    <mergeCell ref="B313:E313"/>
    <mergeCell ref="B460:E460"/>
    <mergeCell ref="B461:E461"/>
    <mergeCell ref="X438:AA438"/>
    <mergeCell ref="B213:E213"/>
    <mergeCell ref="X262:AA262"/>
    <mergeCell ref="B232:E232"/>
    <mergeCell ref="B235:E235"/>
    <mergeCell ref="B266:E266"/>
    <mergeCell ref="B298:E298"/>
    <mergeCell ref="B380:E380"/>
    <mergeCell ref="B415:E415"/>
    <mergeCell ref="B333:E333"/>
    <mergeCell ref="B328:E328"/>
    <mergeCell ref="X328:AA328"/>
    <mergeCell ref="B427:E427"/>
    <mergeCell ref="B422:E422"/>
    <mergeCell ref="AF399:AH399"/>
    <mergeCell ref="AB399:AB400"/>
    <mergeCell ref="AF319:AH319"/>
    <mergeCell ref="B384:E384"/>
    <mergeCell ref="B383:E383"/>
    <mergeCell ref="AB479:AB480"/>
    <mergeCell ref="B417:E417"/>
    <mergeCell ref="B528:E528"/>
    <mergeCell ref="B584:E584"/>
    <mergeCell ref="B231:E231"/>
    <mergeCell ref="B271:E271"/>
    <mergeCell ref="B215:E215"/>
    <mergeCell ref="X282:AA282"/>
    <mergeCell ref="X252:AA252"/>
    <mergeCell ref="B257:E257"/>
    <mergeCell ref="B245:E245"/>
    <mergeCell ref="B65:E65"/>
    <mergeCell ref="B209:E209"/>
    <mergeCell ref="B212:E212"/>
    <mergeCell ref="B641:B642"/>
    <mergeCell ref="AF159:AH159"/>
    <mergeCell ref="G131:K131"/>
    <mergeCell ref="B264:E264"/>
    <mergeCell ref="B252:E252"/>
    <mergeCell ref="B265:E265"/>
    <mergeCell ref="B254:E254"/>
    <mergeCell ref="B258:E258"/>
    <mergeCell ref="B263:E263"/>
    <mergeCell ref="X251:AA251"/>
    <mergeCell ref="B431:E431"/>
    <mergeCell ref="B449:E449"/>
    <mergeCell ref="B335:E335"/>
    <mergeCell ref="X153:AA153"/>
    <mergeCell ref="AB599:AB600"/>
    <mergeCell ref="AF599:AH599"/>
    <mergeCell ref="B330:E330"/>
    <mergeCell ref="X527:AA527"/>
    <mergeCell ref="B687:E687"/>
    <mergeCell ref="B208:E208"/>
    <mergeCell ref="B262:E262"/>
    <mergeCell ref="B217:E217"/>
    <mergeCell ref="Q231:W231"/>
    <mergeCell ref="B278:E278"/>
    <mergeCell ref="B121:E121"/>
    <mergeCell ref="X121:AA121"/>
    <mergeCell ref="I119:W121"/>
    <mergeCell ref="X247:AA247"/>
    <mergeCell ref="B618:E618"/>
    <mergeCell ref="B670:E670"/>
    <mergeCell ref="B586:E586"/>
    <mergeCell ref="H479:W479"/>
    <mergeCell ref="B660:E660"/>
    <mergeCell ref="B628:E628"/>
    <mergeCell ref="G641:G642"/>
    <mergeCell ref="H641:W641"/>
    <mergeCell ref="X641:AA642"/>
    <mergeCell ref="B519:E519"/>
    <mergeCell ref="X516:AA516"/>
    <mergeCell ref="X264:AA264"/>
    <mergeCell ref="X257:AA257"/>
    <mergeCell ref="B405:E405"/>
    <mergeCell ref="B325:E325"/>
    <mergeCell ref="B327:E327"/>
    <mergeCell ref="B374:E374"/>
    <mergeCell ref="B416:E416"/>
    <mergeCell ref="B430:E430"/>
    <mergeCell ref="X319:AA320"/>
    <mergeCell ref="B678:E678"/>
    <mergeCell ref="X371:AA371"/>
    <mergeCell ref="B337:E337"/>
    <mergeCell ref="B410:E410"/>
    <mergeCell ref="B403:E403"/>
    <mergeCell ref="X333:AA333"/>
    <mergeCell ref="X455:AA455"/>
    <mergeCell ref="B447:E447"/>
    <mergeCell ref="B499:E499"/>
    <mergeCell ref="B500:E500"/>
    <mergeCell ref="B433:E433"/>
    <mergeCell ref="B493:E493"/>
    <mergeCell ref="B450:E450"/>
    <mergeCell ref="X486:AA486"/>
    <mergeCell ref="B497:E497"/>
    <mergeCell ref="B413:E413"/>
    <mergeCell ref="B470:E470"/>
    <mergeCell ref="B496:E496"/>
    <mergeCell ref="B458:E458"/>
    <mergeCell ref="B459:E459"/>
    <mergeCell ref="B471:E471"/>
    <mergeCell ref="X479:AA480"/>
    <mergeCell ref="B439:E439"/>
    <mergeCell ref="B437:E437"/>
    <mergeCell ref="X487:AA487"/>
    <mergeCell ref="B440:E440"/>
    <mergeCell ref="X436:AA436"/>
    <mergeCell ref="X404:AA404"/>
    <mergeCell ref="X430:AA430"/>
    <mergeCell ref="B421:E421"/>
    <mergeCell ref="B473:E473"/>
    <mergeCell ref="X528:AA528"/>
    <mergeCell ref="X434:AA434"/>
    <mergeCell ref="B404:E404"/>
    <mergeCell ref="B424:E424"/>
    <mergeCell ref="X432:AA432"/>
    <mergeCell ref="B495:E495"/>
    <mergeCell ref="X492:AA492"/>
    <mergeCell ref="B485:E485"/>
    <mergeCell ref="B506:E506"/>
    <mergeCell ref="B453:E453"/>
    <mergeCell ref="B512:E512"/>
    <mergeCell ref="B481:E481"/>
    <mergeCell ref="X515:AA515"/>
    <mergeCell ref="X508:AA508"/>
    <mergeCell ref="X474:AA474"/>
    <mergeCell ref="B491:E491"/>
    <mergeCell ref="X491:AA491"/>
    <mergeCell ref="B429:E429"/>
    <mergeCell ref="B418:E418"/>
    <mergeCell ref="X499:AA499"/>
    <mergeCell ref="X493:AA493"/>
    <mergeCell ref="B411:E411"/>
    <mergeCell ref="B409:E409"/>
    <mergeCell ref="B502:E502"/>
    <mergeCell ref="B498:E498"/>
    <mergeCell ref="B489:E489"/>
    <mergeCell ref="X489:AA489"/>
    <mergeCell ref="X518:AA518"/>
    <mergeCell ref="B518:E518"/>
    <mergeCell ref="B452:E452"/>
    <mergeCell ref="B241:E241"/>
    <mergeCell ref="B256:E256"/>
    <mergeCell ref="AF479:AH479"/>
    <mergeCell ref="B319:B320"/>
    <mergeCell ref="B441:E441"/>
    <mergeCell ref="B443:E443"/>
    <mergeCell ref="B446:E446"/>
    <mergeCell ref="B435:E435"/>
    <mergeCell ref="B436:E436"/>
    <mergeCell ref="X496:AA496"/>
    <mergeCell ref="B428:E428"/>
    <mergeCell ref="X435:AA435"/>
    <mergeCell ref="X433:AA433"/>
    <mergeCell ref="B438:E438"/>
    <mergeCell ref="B457:E457"/>
    <mergeCell ref="B378:E378"/>
    <mergeCell ref="B490:E490"/>
    <mergeCell ref="B486:E486"/>
    <mergeCell ref="B426:E426"/>
    <mergeCell ref="B425:E425"/>
    <mergeCell ref="X429:AA429"/>
    <mergeCell ref="X437:AA437"/>
    <mergeCell ref="X431:AA431"/>
    <mergeCell ref="B442:E442"/>
    <mergeCell ref="B434:E434"/>
    <mergeCell ref="B423:E423"/>
    <mergeCell ref="B412:E412"/>
    <mergeCell ref="X453:AA453"/>
    <mergeCell ref="B482:E482"/>
    <mergeCell ref="B353:E353"/>
    <mergeCell ref="X399:AA400"/>
    <mergeCell ref="X343:AA343"/>
    <mergeCell ref="X250:AA250"/>
    <mergeCell ref="B323:E323"/>
    <mergeCell ref="X280:AA280"/>
    <mergeCell ref="X308:AA308"/>
    <mergeCell ref="B274:E274"/>
    <mergeCell ref="B281:E281"/>
    <mergeCell ref="X255:AA255"/>
    <mergeCell ref="X309:AA309"/>
    <mergeCell ref="B287:E287"/>
    <mergeCell ref="X312:AA312"/>
    <mergeCell ref="X321:AA321"/>
    <mergeCell ref="B276:E276"/>
    <mergeCell ref="B268:E268"/>
    <mergeCell ref="B315:E315"/>
    <mergeCell ref="B293:E293"/>
    <mergeCell ref="B291:E291"/>
    <mergeCell ref="X307:AA307"/>
    <mergeCell ref="X253:AA253"/>
    <mergeCell ref="X260:AA260"/>
    <mergeCell ref="X254:AA254"/>
    <mergeCell ref="B304:E304"/>
    <mergeCell ref="X256:AA256"/>
    <mergeCell ref="B261:E261"/>
    <mergeCell ref="B221:E221"/>
    <mergeCell ref="B222:E222"/>
    <mergeCell ref="X342:AA342"/>
    <mergeCell ref="X275:AA275"/>
    <mergeCell ref="B273:E273"/>
    <mergeCell ref="X278:AA278"/>
    <mergeCell ref="B279:E279"/>
    <mergeCell ref="B387:E387"/>
    <mergeCell ref="B340:E340"/>
    <mergeCell ref="X324:AA324"/>
    <mergeCell ref="B275:E275"/>
    <mergeCell ref="B338:E338"/>
    <mergeCell ref="B306:E306"/>
    <mergeCell ref="B326:E326"/>
    <mergeCell ref="X403:AA403"/>
    <mergeCell ref="B393:E393"/>
    <mergeCell ref="B285:E285"/>
    <mergeCell ref="B294:E294"/>
    <mergeCell ref="B359:E359"/>
    <mergeCell ref="B402:E402"/>
    <mergeCell ref="X367:AA367"/>
    <mergeCell ref="X366:AA366"/>
    <mergeCell ref="B367:E367"/>
    <mergeCell ref="B309:E309"/>
    <mergeCell ref="X334:AA334"/>
    <mergeCell ref="X341:AA341"/>
    <mergeCell ref="X336:AA336"/>
    <mergeCell ref="X331:AA331"/>
    <mergeCell ref="X335:AA335"/>
    <mergeCell ref="B311:E311"/>
    <mergeCell ref="B303:E303"/>
    <mergeCell ref="C239:E240"/>
    <mergeCell ref="B361:E361"/>
    <mergeCell ref="B366:E366"/>
    <mergeCell ref="B356:E356"/>
    <mergeCell ref="B343:E343"/>
    <mergeCell ref="B363:E363"/>
    <mergeCell ref="B308:E308"/>
    <mergeCell ref="B272:E272"/>
    <mergeCell ref="X273:AA273"/>
    <mergeCell ref="B299:E299"/>
    <mergeCell ref="B277:E277"/>
    <mergeCell ref="B296:E296"/>
    <mergeCell ref="B331:E331"/>
    <mergeCell ref="X272:AA272"/>
    <mergeCell ref="X274:AA274"/>
    <mergeCell ref="X276:AA276"/>
    <mergeCell ref="X261:AA261"/>
    <mergeCell ref="B324:E324"/>
    <mergeCell ref="X330:AA330"/>
    <mergeCell ref="B307:E307"/>
    <mergeCell ref="X263:AA263"/>
    <mergeCell ref="X306:AA306"/>
    <mergeCell ref="B310:E310"/>
    <mergeCell ref="B289:E289"/>
    <mergeCell ref="X279:AA279"/>
    <mergeCell ref="C319:E320"/>
    <mergeCell ref="X325:AA325"/>
    <mergeCell ref="B347:E347"/>
    <mergeCell ref="B207:E207"/>
    <mergeCell ref="B98:E98"/>
    <mergeCell ref="B112:E112"/>
    <mergeCell ref="X129:AA129"/>
    <mergeCell ref="G108:M108"/>
    <mergeCell ref="X296:AA296"/>
    <mergeCell ref="B164:E164"/>
    <mergeCell ref="B248:E248"/>
    <mergeCell ref="X248:AA248"/>
    <mergeCell ref="B259:E259"/>
    <mergeCell ref="B290:E290"/>
    <mergeCell ref="X270:AA270"/>
    <mergeCell ref="B239:B240"/>
    <mergeCell ref="B246:E246"/>
    <mergeCell ref="B249:E249"/>
    <mergeCell ref="B247:E247"/>
    <mergeCell ref="B288:E288"/>
    <mergeCell ref="B280:E280"/>
    <mergeCell ref="X265:AA265"/>
    <mergeCell ref="B250:E250"/>
    <mergeCell ref="X259:AA259"/>
    <mergeCell ref="B167:E167"/>
    <mergeCell ref="B211:E211"/>
    <mergeCell ref="B255:E255"/>
    <mergeCell ref="B219:E219"/>
    <mergeCell ref="B228:E228"/>
    <mergeCell ref="B227:E227"/>
    <mergeCell ref="B223:E223"/>
    <mergeCell ref="B295:E295"/>
    <mergeCell ref="X277:AA277"/>
    <mergeCell ref="B214:E214"/>
    <mergeCell ref="B243:E243"/>
    <mergeCell ref="AF79:AH79"/>
    <mergeCell ref="AC147:AF147"/>
    <mergeCell ref="X133:AA133"/>
    <mergeCell ref="B127:E127"/>
    <mergeCell ref="G128:K128"/>
    <mergeCell ref="X109:AA109"/>
    <mergeCell ref="B110:E110"/>
    <mergeCell ref="G110:M110"/>
    <mergeCell ref="X110:AA110"/>
    <mergeCell ref="B111:E111"/>
    <mergeCell ref="G111:M111"/>
    <mergeCell ref="B101:E101"/>
    <mergeCell ref="B119:E119"/>
    <mergeCell ref="X88:Z88"/>
    <mergeCell ref="X135:AA135"/>
    <mergeCell ref="AB79:AB80"/>
    <mergeCell ref="G118:M118"/>
    <mergeCell ref="X139:AA139"/>
    <mergeCell ref="B100:E100"/>
    <mergeCell ref="X134:AA134"/>
    <mergeCell ref="B93:E93"/>
    <mergeCell ref="B105:E105"/>
    <mergeCell ref="B96:E96"/>
    <mergeCell ref="X105:AA105"/>
    <mergeCell ref="X111:AA111"/>
    <mergeCell ref="G115:M115"/>
    <mergeCell ref="X115:AA115"/>
    <mergeCell ref="B116:E116"/>
    <mergeCell ref="G116:M116"/>
    <mergeCell ref="X116:AA116"/>
    <mergeCell ref="X118:AA118"/>
    <mergeCell ref="X106:AA106"/>
    <mergeCell ref="AB159:AB160"/>
    <mergeCell ref="B166:E166"/>
    <mergeCell ref="B94:E94"/>
    <mergeCell ref="B90:E90"/>
    <mergeCell ref="X159:AA160"/>
    <mergeCell ref="G126:K126"/>
    <mergeCell ref="B102:E102"/>
    <mergeCell ref="B155:E155"/>
    <mergeCell ref="B136:E136"/>
    <mergeCell ref="B146:E146"/>
    <mergeCell ref="B54:E54"/>
    <mergeCell ref="X72:AA72"/>
    <mergeCell ref="X123:AA123"/>
    <mergeCell ref="B122:E122"/>
    <mergeCell ref="B55:E55"/>
    <mergeCell ref="I73:M73"/>
    <mergeCell ref="B87:E87"/>
    <mergeCell ref="X84:Z84"/>
    <mergeCell ref="X127:AA127"/>
    <mergeCell ref="X150:AA150"/>
    <mergeCell ref="G113:M113"/>
    <mergeCell ref="B113:E113"/>
    <mergeCell ref="X113:AA113"/>
    <mergeCell ref="B114:E114"/>
    <mergeCell ref="G114:M114"/>
    <mergeCell ref="X114:AA114"/>
    <mergeCell ref="G107:M107"/>
    <mergeCell ref="X120:AA120"/>
    <mergeCell ref="B50:E50"/>
    <mergeCell ref="B52:E52"/>
    <mergeCell ref="B73:E73"/>
    <mergeCell ref="B104:E104"/>
    <mergeCell ref="X107:AA107"/>
    <mergeCell ref="G124:K124"/>
    <mergeCell ref="G117:M117"/>
    <mergeCell ref="X117:AA117"/>
    <mergeCell ref="B118:E118"/>
    <mergeCell ref="G112:M112"/>
    <mergeCell ref="X144:AA144"/>
    <mergeCell ref="B143:E143"/>
    <mergeCell ref="X138:AA138"/>
    <mergeCell ref="B142:E142"/>
    <mergeCell ref="G130:K130"/>
    <mergeCell ref="G125:K125"/>
    <mergeCell ref="B91:E91"/>
    <mergeCell ref="B128:E128"/>
    <mergeCell ref="B131:E131"/>
    <mergeCell ref="X124:AA124"/>
    <mergeCell ref="X122:AA122"/>
    <mergeCell ref="B123:E123"/>
    <mergeCell ref="G123:K123"/>
    <mergeCell ref="B51:E51"/>
    <mergeCell ref="B57:E57"/>
    <mergeCell ref="B99:E99"/>
    <mergeCell ref="X75:AA75"/>
    <mergeCell ref="B72:E72"/>
    <mergeCell ref="B70:E70"/>
    <mergeCell ref="B140:E140"/>
    <mergeCell ref="B117:E117"/>
    <mergeCell ref="B107:E107"/>
    <mergeCell ref="H48:K48"/>
    <mergeCell ref="B60:E60"/>
    <mergeCell ref="B66:E66"/>
    <mergeCell ref="B68:E68"/>
    <mergeCell ref="B64:E64"/>
    <mergeCell ref="B81:E81"/>
    <mergeCell ref="B86:E86"/>
    <mergeCell ref="B83:E83"/>
    <mergeCell ref="B82:E82"/>
    <mergeCell ref="B45:E45"/>
    <mergeCell ref="B85:E85"/>
    <mergeCell ref="B84:E84"/>
    <mergeCell ref="X49:AA49"/>
    <mergeCell ref="X112:AA112"/>
    <mergeCell ref="B79:B80"/>
    <mergeCell ref="B88:E88"/>
    <mergeCell ref="B97:E97"/>
    <mergeCell ref="B58:E58"/>
    <mergeCell ref="H45:K45"/>
    <mergeCell ref="X47:AA47"/>
    <mergeCell ref="X87:Z87"/>
    <mergeCell ref="F81:I91"/>
    <mergeCell ref="X48:AA48"/>
    <mergeCell ref="B75:E75"/>
    <mergeCell ref="X73:AA73"/>
    <mergeCell ref="B92:E92"/>
    <mergeCell ref="B95:E95"/>
    <mergeCell ref="B108:E108"/>
    <mergeCell ref="O95:W95"/>
    <mergeCell ref="H79:W79"/>
    <mergeCell ref="B103:E103"/>
    <mergeCell ref="B49:E49"/>
    <mergeCell ref="B43:E43"/>
    <mergeCell ref="B120:E120"/>
    <mergeCell ref="G122:K122"/>
    <mergeCell ref="X119:AA119"/>
    <mergeCell ref="AF25:AI25"/>
    <mergeCell ref="AF28:AJ28"/>
    <mergeCell ref="AF18:AJ18"/>
    <mergeCell ref="X18:AA18"/>
    <mergeCell ref="Q18:W18"/>
    <mergeCell ref="B32:E32"/>
    <mergeCell ref="H40:K40"/>
    <mergeCell ref="B44:E44"/>
    <mergeCell ref="H44:K44"/>
    <mergeCell ref="X40:AA40"/>
    <mergeCell ref="H32:K32"/>
    <mergeCell ref="H43:K43"/>
    <mergeCell ref="B34:E34"/>
    <mergeCell ref="B38:E38"/>
    <mergeCell ref="X33:AA33"/>
    <mergeCell ref="G105:M105"/>
    <mergeCell ref="G106:M106"/>
    <mergeCell ref="B109:E109"/>
    <mergeCell ref="G109:M109"/>
    <mergeCell ref="H39:K39"/>
    <mergeCell ref="X43:AA43"/>
    <mergeCell ref="X42:AA42"/>
    <mergeCell ref="B89:E89"/>
    <mergeCell ref="B48:E48"/>
    <mergeCell ref="X108:AA108"/>
    <mergeCell ref="B106:E106"/>
    <mergeCell ref="X83:Z83"/>
    <mergeCell ref="B61:E61"/>
    <mergeCell ref="X14:AA14"/>
    <mergeCell ref="B7:W7"/>
    <mergeCell ref="B12:E12"/>
    <mergeCell ref="AE5:AI7"/>
    <mergeCell ref="AF10:AH10"/>
    <mergeCell ref="B10:E10"/>
    <mergeCell ref="B11:E11"/>
    <mergeCell ref="AF21:AI21"/>
    <mergeCell ref="AF22:AJ22"/>
    <mergeCell ref="B14:E14"/>
    <mergeCell ref="B26:E26"/>
    <mergeCell ref="G8:G9"/>
    <mergeCell ref="X35:AA35"/>
    <mergeCell ref="X20:AA20"/>
    <mergeCell ref="B23:E23"/>
    <mergeCell ref="AF24:AI24"/>
    <mergeCell ref="AF23:AI23"/>
    <mergeCell ref="AF26:AJ26"/>
    <mergeCell ref="B27:E27"/>
    <mergeCell ref="AF19:AJ19"/>
    <mergeCell ref="B20:E20"/>
    <mergeCell ref="AF16:AI16"/>
    <mergeCell ref="AF20:AJ20"/>
    <mergeCell ref="AF13:AH13"/>
    <mergeCell ref="B21:E21"/>
    <mergeCell ref="B18:E18"/>
    <mergeCell ref="B19:E19"/>
    <mergeCell ref="X21:AA21"/>
    <mergeCell ref="X22:AA22"/>
    <mergeCell ref="AF17:AJ17"/>
    <mergeCell ref="AF27:AJ27"/>
    <mergeCell ref="X5:AD7"/>
    <mergeCell ref="H38:K38"/>
    <mergeCell ref="H36:K36"/>
    <mergeCell ref="B37:E37"/>
    <mergeCell ref="H33:K33"/>
    <mergeCell ref="H35:K35"/>
    <mergeCell ref="B24:E24"/>
    <mergeCell ref="H30:K30"/>
    <mergeCell ref="AF15:AI15"/>
    <mergeCell ref="X38:AA38"/>
    <mergeCell ref="H31:K31"/>
    <mergeCell ref="B16:E16"/>
    <mergeCell ref="AF29:AJ29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AC8:AI9"/>
    <mergeCell ref="B3:D5"/>
    <mergeCell ref="E5:W5"/>
    <mergeCell ref="B6:W6"/>
    <mergeCell ref="E3:W3"/>
    <mergeCell ref="E4:W4"/>
    <mergeCell ref="B2:W2"/>
    <mergeCell ref="B47:E47"/>
    <mergeCell ref="H47:K47"/>
    <mergeCell ref="B41:E41"/>
    <mergeCell ref="B46:E46"/>
    <mergeCell ref="X79:AA80"/>
    <mergeCell ref="B28:E28"/>
    <mergeCell ref="H49:K49"/>
    <mergeCell ref="AB8:AB9"/>
    <mergeCell ref="C8:E9"/>
    <mergeCell ref="B17:E17"/>
    <mergeCell ref="X36:AA36"/>
    <mergeCell ref="X32:AA32"/>
    <mergeCell ref="B56:E56"/>
    <mergeCell ref="X27:AA27"/>
    <mergeCell ref="H42:K42"/>
    <mergeCell ref="F79:F80"/>
    <mergeCell ref="X46:AA46"/>
    <mergeCell ref="X41:AA41"/>
    <mergeCell ref="H46:K46"/>
    <mergeCell ref="B40:E40"/>
    <mergeCell ref="X44:AA44"/>
    <mergeCell ref="X37:AA37"/>
    <mergeCell ref="X39:AA39"/>
    <mergeCell ref="C79:E80"/>
    <mergeCell ref="B74:E74"/>
    <mergeCell ref="B59:E59"/>
    <mergeCell ref="I71:M71"/>
    <mergeCell ref="I72:M72"/>
    <mergeCell ref="B71:E71"/>
    <mergeCell ref="B25:E25"/>
    <mergeCell ref="X45:AA45"/>
    <mergeCell ref="B36:E36"/>
    <mergeCell ref="X146:AA146"/>
    <mergeCell ref="X171:AA171"/>
    <mergeCell ref="B192:E192"/>
    <mergeCell ref="B198:E198"/>
    <mergeCell ref="B170:E170"/>
    <mergeCell ref="X181:AA181"/>
    <mergeCell ref="X154:AA154"/>
    <mergeCell ref="Q19:W19"/>
    <mergeCell ref="X30:AA30"/>
    <mergeCell ref="B30:E30"/>
    <mergeCell ref="H37:K37"/>
    <mergeCell ref="X34:AA34"/>
    <mergeCell ref="G79:G80"/>
    <mergeCell ref="B53:E53"/>
    <mergeCell ref="X71:AA71"/>
    <mergeCell ref="B67:E67"/>
    <mergeCell ref="B62:E62"/>
    <mergeCell ref="B35:E35"/>
    <mergeCell ref="B29:E29"/>
    <mergeCell ref="B33:E33"/>
    <mergeCell ref="H34:K34"/>
    <mergeCell ref="H41:K41"/>
    <mergeCell ref="B42:E42"/>
    <mergeCell ref="X26:AA26"/>
    <mergeCell ref="B69:E69"/>
    <mergeCell ref="B63:E63"/>
    <mergeCell ref="X31:AA31"/>
    <mergeCell ref="B22:E22"/>
    <mergeCell ref="B39:E39"/>
    <mergeCell ref="X145:AA145"/>
    <mergeCell ref="X168:AA168"/>
    <mergeCell ref="B186:E186"/>
    <mergeCell ref="B197:E197"/>
    <mergeCell ref="B180:E180"/>
    <mergeCell ref="X140:AA140"/>
    <mergeCell ref="B31:E31"/>
    <mergeCell ref="B205:E205"/>
    <mergeCell ref="X174:AA174"/>
    <mergeCell ref="B193:E193"/>
    <mergeCell ref="X200:AA200"/>
    <mergeCell ref="B195:E195"/>
    <mergeCell ref="X189:AA189"/>
    <mergeCell ref="X186:AA186"/>
    <mergeCell ref="X155:AA155"/>
    <mergeCell ref="B154:E154"/>
    <mergeCell ref="X152:AA152"/>
    <mergeCell ref="B196:E196"/>
    <mergeCell ref="B175:E175"/>
    <mergeCell ref="X175:AA175"/>
    <mergeCell ref="B173:E173"/>
    <mergeCell ref="B169:E169"/>
    <mergeCell ref="X195:AA195"/>
    <mergeCell ref="X148:AA148"/>
    <mergeCell ref="G159:G160"/>
    <mergeCell ref="B191:E191"/>
    <mergeCell ref="B179:E179"/>
    <mergeCell ref="X179:AA179"/>
    <mergeCell ref="B190:E190"/>
    <mergeCell ref="I190:M193"/>
    <mergeCell ref="X173:AA173"/>
    <mergeCell ref="B188:E188"/>
    <mergeCell ref="B233:E233"/>
    <mergeCell ref="B147:E147"/>
    <mergeCell ref="B168:E168"/>
    <mergeCell ref="B229:E229"/>
    <mergeCell ref="B138:E138"/>
    <mergeCell ref="B202:E202"/>
    <mergeCell ref="X196:AA196"/>
    <mergeCell ref="X126:AA126"/>
    <mergeCell ref="G129:K129"/>
    <mergeCell ref="X142:AA142"/>
    <mergeCell ref="B134:E134"/>
    <mergeCell ref="B133:E133"/>
    <mergeCell ref="X128:AA128"/>
    <mergeCell ref="X197:AA197"/>
    <mergeCell ref="B172:E172"/>
    <mergeCell ref="B177:E177"/>
    <mergeCell ref="B145:E145"/>
    <mergeCell ref="B148:E148"/>
    <mergeCell ref="B153:E153"/>
    <mergeCell ref="B184:E184"/>
    <mergeCell ref="X176:AA176"/>
    <mergeCell ref="X188:AA188"/>
    <mergeCell ref="B137:E137"/>
    <mergeCell ref="X137:AA137"/>
    <mergeCell ref="X151:AA151"/>
    <mergeCell ref="B187:E187"/>
    <mergeCell ref="B135:E135"/>
    <mergeCell ref="X177:AA177"/>
    <mergeCell ref="X187:AA187"/>
    <mergeCell ref="X131:AA131"/>
    <mergeCell ref="B151:E151"/>
    <mergeCell ref="X130:AA130"/>
    <mergeCell ref="B176:E176"/>
    <mergeCell ref="B181:E181"/>
    <mergeCell ref="B129:E129"/>
    <mergeCell ref="G127:K127"/>
    <mergeCell ref="B182:E182"/>
    <mergeCell ref="B203:E203"/>
    <mergeCell ref="B185:E185"/>
    <mergeCell ref="B126:E126"/>
    <mergeCell ref="B139:E139"/>
    <mergeCell ref="G132:K132"/>
    <mergeCell ref="H195:K200"/>
    <mergeCell ref="B206:E206"/>
    <mergeCell ref="B199:E199"/>
    <mergeCell ref="B189:E189"/>
    <mergeCell ref="B194:E194"/>
    <mergeCell ref="B174:E174"/>
    <mergeCell ref="B125:E125"/>
    <mergeCell ref="B171:E171"/>
    <mergeCell ref="B178:E178"/>
    <mergeCell ref="B162:E162"/>
    <mergeCell ref="H159:W159"/>
    <mergeCell ref="C159:E160"/>
    <mergeCell ref="B165:E165"/>
    <mergeCell ref="X599:AA600"/>
    <mergeCell ref="B507:E507"/>
    <mergeCell ref="B582:E582"/>
    <mergeCell ref="B124:E124"/>
    <mergeCell ref="B130:E130"/>
    <mergeCell ref="B132:E132"/>
    <mergeCell ref="X136:AA136"/>
    <mergeCell ref="X132:AA132"/>
    <mergeCell ref="X147:AA147"/>
    <mergeCell ref="X143:AA143"/>
    <mergeCell ref="X149:AA149"/>
    <mergeCell ref="X199:AA199"/>
    <mergeCell ref="X180:AA180"/>
    <mergeCell ref="B149:E149"/>
    <mergeCell ref="B144:E144"/>
    <mergeCell ref="X194:AA194"/>
    <mergeCell ref="X125:AA125"/>
    <mergeCell ref="B141:E141"/>
    <mergeCell ref="X543:AA543"/>
    <mergeCell ref="X529:AA529"/>
    <mergeCell ref="B571:E571"/>
    <mergeCell ref="B538:E538"/>
    <mergeCell ref="X544:AA544"/>
    <mergeCell ref="B200:E200"/>
    <mergeCell ref="X488:AA488"/>
    <mergeCell ref="B345:E345"/>
    <mergeCell ref="B456:E456"/>
    <mergeCell ref="X198:AA198"/>
    <mergeCell ref="F159:F160"/>
    <mergeCell ref="B159:B160"/>
    <mergeCell ref="B161:E161"/>
    <mergeCell ref="X170:AA170"/>
    <mergeCell ref="F399:F400"/>
    <mergeCell ref="B334:E334"/>
    <mergeCell ref="A757:A767"/>
    <mergeCell ref="B765:G765"/>
    <mergeCell ref="B746:E746"/>
    <mergeCell ref="B766:G766"/>
    <mergeCell ref="B747:E747"/>
    <mergeCell ref="B750:E750"/>
    <mergeCell ref="B767:G767"/>
    <mergeCell ref="B756:G756"/>
    <mergeCell ref="B759:G759"/>
    <mergeCell ref="X439:AA439"/>
    <mergeCell ref="B487:E487"/>
    <mergeCell ref="B484:E484"/>
    <mergeCell ref="F560:F561"/>
    <mergeCell ref="B748:E748"/>
    <mergeCell ref="F693:F694"/>
    <mergeCell ref="B686:E686"/>
    <mergeCell ref="X495:AA495"/>
    <mergeCell ref="B451:E451"/>
    <mergeCell ref="X454:AA454"/>
    <mergeCell ref="G479:G480"/>
    <mergeCell ref="X473:AA473"/>
    <mergeCell ref="X471:AA471"/>
    <mergeCell ref="B455:E455"/>
    <mergeCell ref="B472:E472"/>
    <mergeCell ref="X517:AA517"/>
    <mergeCell ref="B656:E656"/>
    <mergeCell ref="B705:E705"/>
    <mergeCell ref="B716:E716"/>
    <mergeCell ref="B615:E615"/>
    <mergeCell ref="X727:AA727"/>
    <mergeCell ref="B574:E574"/>
    <mergeCell ref="B564:E564"/>
    <mergeCell ref="B578:E578"/>
    <mergeCell ref="X184:AA184"/>
    <mergeCell ref="B389:E389"/>
    <mergeCell ref="B399:B400"/>
    <mergeCell ref="B394:E394"/>
    <mergeCell ref="B375:E375"/>
    <mergeCell ref="B270:E270"/>
    <mergeCell ref="B322:E322"/>
    <mergeCell ref="B225:E225"/>
    <mergeCell ref="B371:E371"/>
    <mergeCell ref="B226:E226"/>
    <mergeCell ref="B267:E267"/>
    <mergeCell ref="B242:E242"/>
    <mergeCell ref="B224:E224"/>
    <mergeCell ref="X183:AA183"/>
    <mergeCell ref="B183:E183"/>
    <mergeCell ref="X305:AA305"/>
    <mergeCell ref="X322:AA322"/>
    <mergeCell ref="X311:AA311"/>
    <mergeCell ref="X269:AA269"/>
    <mergeCell ref="B201:E201"/>
    <mergeCell ref="B332:E332"/>
    <mergeCell ref="B339:E339"/>
    <mergeCell ref="B301:E301"/>
    <mergeCell ref="B370:E370"/>
    <mergeCell ref="B300:E300"/>
    <mergeCell ref="B305:E305"/>
    <mergeCell ref="B373:E373"/>
    <mergeCell ref="B376:E376"/>
    <mergeCell ref="Q232:W232"/>
    <mergeCell ref="X541:AA541"/>
    <mergeCell ref="B540:E540"/>
    <mergeCell ref="B537:E537"/>
    <mergeCell ref="B543:E543"/>
    <mergeCell ref="B533:E533"/>
    <mergeCell ref="B534:E534"/>
    <mergeCell ref="X530:AA530"/>
    <mergeCell ref="B530:E530"/>
    <mergeCell ref="B531:E531"/>
    <mergeCell ref="B529:E529"/>
    <mergeCell ref="B536:E536"/>
    <mergeCell ref="B539:E539"/>
    <mergeCell ref="X531:AA531"/>
    <mergeCell ref="B513:E513"/>
    <mergeCell ref="B505:E505"/>
    <mergeCell ref="B511:E511"/>
    <mergeCell ref="B520:E520"/>
    <mergeCell ref="B521:E521"/>
    <mergeCell ref="B522:E522"/>
    <mergeCell ref="B541:E541"/>
    <mergeCell ref="B542:E542"/>
    <mergeCell ref="B525:E525"/>
    <mergeCell ref="I503:M505"/>
    <mergeCell ref="B535:E535"/>
    <mergeCell ref="B532:E532"/>
    <mergeCell ref="B509:E509"/>
    <mergeCell ref="X542:AA542"/>
    <mergeCell ref="B526:E526"/>
    <mergeCell ref="X506:AA506"/>
    <mergeCell ref="X507:AA507"/>
    <mergeCell ref="H599:W599"/>
    <mergeCell ref="B544:E544"/>
    <mergeCell ref="F319:F320"/>
    <mergeCell ref="B377:E377"/>
    <mergeCell ref="B357:E357"/>
    <mergeCell ref="B342:E342"/>
    <mergeCell ref="H319:W319"/>
    <mergeCell ref="B669:E669"/>
    <mergeCell ref="B573:E573"/>
    <mergeCell ref="B572:E572"/>
    <mergeCell ref="B560:B561"/>
    <mergeCell ref="B648:E648"/>
    <mergeCell ref="B621:E621"/>
    <mergeCell ref="B504:E504"/>
    <mergeCell ref="B492:E492"/>
    <mergeCell ref="B592:E592"/>
    <mergeCell ref="B654:E654"/>
    <mergeCell ref="B667:E667"/>
    <mergeCell ref="B626:E626"/>
    <mergeCell ref="B627:E627"/>
    <mergeCell ref="B629:E629"/>
    <mergeCell ref="B623:E623"/>
    <mergeCell ref="B607:E607"/>
    <mergeCell ref="B604:E604"/>
    <mergeCell ref="B612:E612"/>
    <mergeCell ref="B401:E401"/>
    <mergeCell ref="B388:E388"/>
    <mergeCell ref="B634:E634"/>
    <mergeCell ref="B645:E645"/>
    <mergeCell ref="B575:E575"/>
    <mergeCell ref="B590:E590"/>
    <mergeCell ref="B583:E583"/>
    <mergeCell ref="B527:E527"/>
    <mergeCell ref="B562:E562"/>
    <mergeCell ref="B510:E510"/>
    <mergeCell ref="B589:E589"/>
    <mergeCell ref="B598:W598"/>
    <mergeCell ref="B588:E588"/>
    <mergeCell ref="B653:E653"/>
    <mergeCell ref="B620:E620"/>
    <mergeCell ref="B579:E579"/>
    <mergeCell ref="B632:E632"/>
    <mergeCell ref="B503:E503"/>
    <mergeCell ref="B559:W559"/>
    <mergeCell ref="B566:E566"/>
    <mergeCell ref="B524:E524"/>
    <mergeCell ref="B698:E698"/>
    <mergeCell ref="F641:F642"/>
    <mergeCell ref="C693:E694"/>
    <mergeCell ref="B647:E647"/>
    <mergeCell ref="B646:E646"/>
    <mergeCell ref="B680:E680"/>
    <mergeCell ref="G674:G675"/>
    <mergeCell ref="H674:W674"/>
    <mergeCell ref="B681:E681"/>
    <mergeCell ref="B631:E631"/>
    <mergeCell ref="B637:E637"/>
    <mergeCell ref="B689:E689"/>
    <mergeCell ref="B671:E671"/>
    <mergeCell ref="B665:E665"/>
    <mergeCell ref="B682:E682"/>
    <mergeCell ref="H560:W560"/>
    <mergeCell ref="F599:F600"/>
    <mergeCell ref="G599:G600"/>
    <mergeCell ref="B822:W822"/>
    <mergeCell ref="B797:W797"/>
    <mergeCell ref="B793:W793"/>
    <mergeCell ref="B813:W820"/>
    <mergeCell ref="B798:W798"/>
    <mergeCell ref="B811:W811"/>
    <mergeCell ref="B809:W809"/>
    <mergeCell ref="B802:W805"/>
    <mergeCell ref="B807:W808"/>
    <mergeCell ref="B801:W801"/>
    <mergeCell ref="B799:W799"/>
    <mergeCell ref="S762:S763"/>
    <mergeCell ref="C772:G772"/>
    <mergeCell ref="B745:E745"/>
    <mergeCell ref="N762:N763"/>
    <mergeCell ref="H762:H763"/>
    <mergeCell ref="B734:E734"/>
    <mergeCell ref="I762:I763"/>
    <mergeCell ref="B758:G758"/>
    <mergeCell ref="B755:W755"/>
    <mergeCell ref="B738:E738"/>
    <mergeCell ref="C773:G773"/>
    <mergeCell ref="B744:E744"/>
    <mergeCell ref="AF798:AH798"/>
    <mergeCell ref="O762:O763"/>
    <mergeCell ref="L762:L763"/>
    <mergeCell ref="P762:P763"/>
    <mergeCell ref="C782:I782"/>
    <mergeCell ref="C790:G790"/>
    <mergeCell ref="C791:G791"/>
    <mergeCell ref="M762:M763"/>
    <mergeCell ref="B753:E753"/>
    <mergeCell ref="B751:E751"/>
    <mergeCell ref="B761:W761"/>
    <mergeCell ref="G560:G561"/>
    <mergeCell ref="B576:E576"/>
    <mergeCell ref="B577:E577"/>
    <mergeCell ref="B599:B600"/>
    <mergeCell ref="C599:E600"/>
    <mergeCell ref="B593:E593"/>
    <mergeCell ref="B587:E587"/>
    <mergeCell ref="B676:E676"/>
    <mergeCell ref="B644:E644"/>
    <mergeCell ref="B613:E613"/>
    <mergeCell ref="B594:E594"/>
    <mergeCell ref="B602:E602"/>
    <mergeCell ref="B630:E630"/>
    <mergeCell ref="B624:E624"/>
    <mergeCell ref="C641:E642"/>
    <mergeCell ref="B601:E601"/>
    <mergeCell ref="B697:E697"/>
    <mergeCell ref="J762:J763"/>
    <mergeCell ref="B764:G764"/>
    <mergeCell ref="C775:I776"/>
    <mergeCell ref="C783:I789"/>
    <mergeCell ref="X707:AA707"/>
    <mergeCell ref="B724:E724"/>
    <mergeCell ref="AF782:AH782"/>
    <mergeCell ref="B778:W780"/>
    <mergeCell ref="AB693:AB694"/>
    <mergeCell ref="Q762:Q763"/>
    <mergeCell ref="G693:G694"/>
    <mergeCell ref="B727:E727"/>
    <mergeCell ref="X729:AA729"/>
    <mergeCell ref="X710:AA710"/>
    <mergeCell ref="AF693:AH693"/>
    <mergeCell ref="AF755:AH755"/>
    <mergeCell ref="B708:E708"/>
    <mergeCell ref="B710:E710"/>
    <mergeCell ref="V762:V763"/>
    <mergeCell ref="B696:E696"/>
    <mergeCell ref="B741:E741"/>
    <mergeCell ref="B714:E714"/>
    <mergeCell ref="B701:E701"/>
    <mergeCell ref="X733:AA733"/>
    <mergeCell ref="X738:AA738"/>
    <mergeCell ref="B742:E742"/>
    <mergeCell ref="B752:E752"/>
    <mergeCell ref="C774:G774"/>
    <mergeCell ref="U762:U763"/>
    <mergeCell ref="C771:I771"/>
    <mergeCell ref="B769:J769"/>
    <mergeCell ref="B683:E683"/>
    <mergeCell ref="B733:E733"/>
    <mergeCell ref="B679:E679"/>
    <mergeCell ref="B709:E709"/>
    <mergeCell ref="X726:AA726"/>
    <mergeCell ref="X731:AA731"/>
    <mergeCell ref="B712:E712"/>
    <mergeCell ref="B706:E706"/>
    <mergeCell ref="X716:AA716"/>
    <mergeCell ref="X715:AA715"/>
    <mergeCell ref="B731:E731"/>
    <mergeCell ref="B762:G763"/>
    <mergeCell ref="T762:T763"/>
    <mergeCell ref="B725:E725"/>
    <mergeCell ref="H693:W693"/>
    <mergeCell ref="B703:E703"/>
    <mergeCell ref="B690:E690"/>
    <mergeCell ref="B713:E713"/>
    <mergeCell ref="B735:E735"/>
    <mergeCell ref="X706:AA706"/>
    <mergeCell ref="X737:AA737"/>
    <mergeCell ref="B707:E707"/>
    <mergeCell ref="G722:G723"/>
    <mergeCell ref="H722:W722"/>
    <mergeCell ref="X722:AA723"/>
    <mergeCell ref="X744:AA744"/>
    <mergeCell ref="B685:E685"/>
    <mergeCell ref="B736:E736"/>
    <mergeCell ref="B695:E695"/>
    <mergeCell ref="B692:W692"/>
    <mergeCell ref="B693:B694"/>
    <mergeCell ref="B702:E702"/>
    <mergeCell ref="B718:E718"/>
    <mergeCell ref="F722:F723"/>
    <mergeCell ref="X724:AA724"/>
    <mergeCell ref="X732:AA732"/>
    <mergeCell ref="B700:E700"/>
    <mergeCell ref="B704:E704"/>
    <mergeCell ref="B699:E699"/>
    <mergeCell ref="X713:AA713"/>
    <mergeCell ref="X714:AA714"/>
    <mergeCell ref="X712:AA712"/>
    <mergeCell ref="B722:B723"/>
    <mergeCell ref="X709:AA709"/>
    <mergeCell ref="X734:AA734"/>
    <mergeCell ref="X717:AA717"/>
    <mergeCell ref="X730:AA730"/>
    <mergeCell ref="R762:R763"/>
    <mergeCell ref="B730:E730"/>
    <mergeCell ref="B729:E729"/>
    <mergeCell ref="X728:AA728"/>
    <mergeCell ref="B739:E739"/>
    <mergeCell ref="X739:AA739"/>
    <mergeCell ref="C722:E723"/>
    <mergeCell ref="B743:E743"/>
    <mergeCell ref="K762:K763"/>
    <mergeCell ref="B757:G757"/>
    <mergeCell ref="B760:G760"/>
    <mergeCell ref="B749:E749"/>
    <mergeCell ref="X704:AA704"/>
    <mergeCell ref="B740:E740"/>
    <mergeCell ref="X740:AA740"/>
    <mergeCell ref="B737:E737"/>
    <mergeCell ref="W762:W763"/>
    <mergeCell ref="B617:E617"/>
    <mergeCell ref="AF559:AH559"/>
    <mergeCell ref="AB560:AB561"/>
    <mergeCell ref="AF560:AH560"/>
    <mergeCell ref="B585:E585"/>
    <mergeCell ref="B622:E622"/>
    <mergeCell ref="B581:E581"/>
    <mergeCell ref="B619:E619"/>
    <mergeCell ref="B635:E635"/>
    <mergeCell ref="B688:E688"/>
    <mergeCell ref="AB674:AB675"/>
    <mergeCell ref="X743:AA743"/>
    <mergeCell ref="X693:AA694"/>
    <mergeCell ref="B732:E732"/>
    <mergeCell ref="B715:E715"/>
    <mergeCell ref="B717:E717"/>
    <mergeCell ref="B726:E726"/>
    <mergeCell ref="B711:E711"/>
    <mergeCell ref="B677:E677"/>
    <mergeCell ref="B668:E668"/>
    <mergeCell ref="B684:E684"/>
    <mergeCell ref="B649:E649"/>
    <mergeCell ref="B643:E643"/>
    <mergeCell ref="B728:E728"/>
    <mergeCell ref="B650:E650"/>
    <mergeCell ref="X718:AA718"/>
    <mergeCell ref="C674:E675"/>
    <mergeCell ref="B616:E616"/>
    <mergeCell ref="B651:E651"/>
    <mergeCell ref="B569:E569"/>
    <mergeCell ref="X674:AA675"/>
    <mergeCell ref="AB722:AB723"/>
    <mergeCell ref="X402:AA402"/>
    <mergeCell ref="B381:E381"/>
    <mergeCell ref="B346:E346"/>
    <mergeCell ref="X340:AA340"/>
    <mergeCell ref="B674:B675"/>
    <mergeCell ref="F674:F675"/>
    <mergeCell ref="B673:W673"/>
    <mergeCell ref="B652:E652"/>
    <mergeCell ref="B580:E580"/>
    <mergeCell ref="AF673:AH673"/>
    <mergeCell ref="B565:E565"/>
    <mergeCell ref="B608:E608"/>
    <mergeCell ref="X560:AA561"/>
    <mergeCell ref="C560:E561"/>
    <mergeCell ref="B614:E614"/>
    <mergeCell ref="B609:E609"/>
    <mergeCell ref="B611:E611"/>
    <mergeCell ref="B606:E606"/>
    <mergeCell ref="B657:E657"/>
    <mergeCell ref="B664:E664"/>
    <mergeCell ref="B666:E666"/>
    <mergeCell ref="B636:E636"/>
    <mergeCell ref="B663:E663"/>
    <mergeCell ref="B591:E591"/>
    <mergeCell ref="B567:E567"/>
    <mergeCell ref="B610:E610"/>
    <mergeCell ref="B661:E661"/>
    <mergeCell ref="B662:E662"/>
    <mergeCell ref="B658:E658"/>
    <mergeCell ref="B659:E659"/>
    <mergeCell ref="AF674:AH674"/>
    <mergeCell ref="B605:E605"/>
    <mergeCell ref="B516:E516"/>
    <mergeCell ref="B523:E523"/>
    <mergeCell ref="B517:E517"/>
    <mergeCell ref="B514:E514"/>
    <mergeCell ref="X481:AA481"/>
    <mergeCell ref="B508:E508"/>
    <mergeCell ref="X526:AA526"/>
    <mergeCell ref="B467:E467"/>
    <mergeCell ref="G467:M467"/>
    <mergeCell ref="G468:M468"/>
    <mergeCell ref="X490:AA490"/>
    <mergeCell ref="I509:M514"/>
    <mergeCell ref="B515:E515"/>
    <mergeCell ref="B454:E454"/>
    <mergeCell ref="B469:E469"/>
    <mergeCell ref="X501:AA501"/>
    <mergeCell ref="B479:B480"/>
    <mergeCell ref="C479:E480"/>
    <mergeCell ref="X482:AA482"/>
    <mergeCell ref="X502:AA502"/>
    <mergeCell ref="B463:E463"/>
    <mergeCell ref="X315:AA315"/>
    <mergeCell ref="X310:AA310"/>
    <mergeCell ref="H399:W399"/>
    <mergeCell ref="C399:E400"/>
    <mergeCell ref="B341:E341"/>
    <mergeCell ref="B390:E390"/>
    <mergeCell ref="Q371:W371"/>
    <mergeCell ref="B314:E314"/>
    <mergeCell ref="B385:E385"/>
    <mergeCell ref="B368:E368"/>
    <mergeCell ref="B382:E382"/>
    <mergeCell ref="X338:AA338"/>
    <mergeCell ref="B336:E336"/>
    <mergeCell ref="G399:G400"/>
    <mergeCell ref="B432:E432"/>
    <mergeCell ref="B445:E445"/>
    <mergeCell ref="B448:E448"/>
    <mergeCell ref="B354:E354"/>
    <mergeCell ref="B348:E348"/>
    <mergeCell ref="X327:AA327"/>
    <mergeCell ref="B386:E386"/>
    <mergeCell ref="B358:E358"/>
    <mergeCell ref="B364:E364"/>
    <mergeCell ref="B444:E444"/>
    <mergeCell ref="B351:E351"/>
    <mergeCell ref="B360:E360"/>
    <mergeCell ref="B344:E344"/>
    <mergeCell ref="B369:E369"/>
    <mergeCell ref="B355:E355"/>
    <mergeCell ref="B420:E420"/>
    <mergeCell ref="B408:E408"/>
    <mergeCell ref="B474:E474"/>
    <mergeCell ref="B15:E15"/>
    <mergeCell ref="X15:AA15"/>
    <mergeCell ref="B419:E419"/>
    <mergeCell ref="B220:E220"/>
    <mergeCell ref="B282:E282"/>
    <mergeCell ref="X239:AA240"/>
    <mergeCell ref="B350:E350"/>
    <mergeCell ref="B321:E321"/>
    <mergeCell ref="B392:E392"/>
    <mergeCell ref="B414:E414"/>
    <mergeCell ref="B395:E395"/>
    <mergeCell ref="B407:E407"/>
    <mergeCell ref="B391:E391"/>
    <mergeCell ref="B302:E302"/>
    <mergeCell ref="B406:E406"/>
    <mergeCell ref="X405:AA405"/>
    <mergeCell ref="B329:E329"/>
    <mergeCell ref="B352:E352"/>
    <mergeCell ref="B372:E372"/>
    <mergeCell ref="B379:E379"/>
    <mergeCell ref="X339:AA339"/>
    <mergeCell ref="X285:AA285"/>
    <mergeCell ref="X266:AA266"/>
    <mergeCell ref="B234:E234"/>
    <mergeCell ref="B283:E283"/>
    <mergeCell ref="B284:E284"/>
    <mergeCell ref="X249:AA249"/>
    <mergeCell ref="B216:E216"/>
    <mergeCell ref="B292:E292"/>
    <mergeCell ref="B297:E297"/>
    <mergeCell ref="X337:AA337"/>
    <mergeCell ref="AF30:AJ30"/>
    <mergeCell ref="B210:E210"/>
    <mergeCell ref="X323:AA323"/>
    <mergeCell ref="X313:AA313"/>
    <mergeCell ref="X326:AA326"/>
    <mergeCell ref="B253:E253"/>
    <mergeCell ref="H239:W239"/>
    <mergeCell ref="X246:AA246"/>
    <mergeCell ref="X258:AA258"/>
    <mergeCell ref="X271:AA271"/>
    <mergeCell ref="X267:AA267"/>
    <mergeCell ref="X268:AA268"/>
    <mergeCell ref="X281:AA281"/>
    <mergeCell ref="B286:E286"/>
    <mergeCell ref="B260:E260"/>
    <mergeCell ref="G319:G320"/>
    <mergeCell ref="X284:AA284"/>
    <mergeCell ref="X141:AA141"/>
    <mergeCell ref="I210:M210"/>
    <mergeCell ref="I211:M211"/>
    <mergeCell ref="B269:E269"/>
    <mergeCell ref="X169:AA169"/>
    <mergeCell ref="X178:AA178"/>
    <mergeCell ref="H218:M218"/>
    <mergeCell ref="B218:E218"/>
    <mergeCell ref="B230:E230"/>
    <mergeCell ref="G239:G240"/>
    <mergeCell ref="B150:E150"/>
    <mergeCell ref="B204:E204"/>
    <mergeCell ref="B115:E115"/>
    <mergeCell ref="B152:E152"/>
    <mergeCell ref="B163:E163"/>
  </mergeCells>
  <phoneticPr fontId="0" type="noConversion"/>
  <hyperlinks>
    <hyperlink ref="AB12" r:id="rId1" display="https://www.jivi.com.ar/ficha.php?id=27"/>
    <hyperlink ref="AB27" r:id="rId2" display="https://www.jivi.com.ar/ficha.php?id=660"/>
    <hyperlink ref="AB34" r:id="rId3"/>
    <hyperlink ref="AB33" r:id="rId4"/>
    <hyperlink ref="AB32" r:id="rId5"/>
    <hyperlink ref="AB31" r:id="rId6"/>
    <hyperlink ref="AB30" r:id="rId7"/>
    <hyperlink ref="AB52" r:id="rId8" display="https://www.jivi.com.ar/ficha.php?id=41"/>
    <hyperlink ref="AB53" r:id="rId9" display="https://www.jivi.com.ar/ficha.php?id=42"/>
    <hyperlink ref="AB54" r:id="rId10" display="https://www.jivi.com.ar/ficha.php?id=649"/>
    <hyperlink ref="AB55" r:id="rId11" display="https://www.jivi.com.ar/ficha.php?id=650"/>
    <hyperlink ref="AB66" r:id="rId12" display="https://www.jivi.com.ar/ficha.php?id=164"/>
    <hyperlink ref="AB70" r:id="rId13" display="https://www.jivi.com.ar/ficha.php?id=77"/>
    <hyperlink ref="AB72" r:id="rId14"/>
    <hyperlink ref="AB74" r:id="rId15"/>
    <hyperlink ref="AC81" r:id="rId16"/>
    <hyperlink ref="AD81" r:id="rId17"/>
    <hyperlink ref="AE81" r:id="rId18"/>
    <hyperlink ref="AF81" r:id="rId19"/>
    <hyperlink ref="AG81" r:id="rId20"/>
    <hyperlink ref="AC82" r:id="rId21"/>
    <hyperlink ref="AD82" r:id="rId22"/>
    <hyperlink ref="AE82" r:id="rId23"/>
    <hyperlink ref="AF82" r:id="rId24"/>
    <hyperlink ref="AG82" r:id="rId25"/>
    <hyperlink ref="AH82" r:id="rId26"/>
    <hyperlink ref="AC83" r:id="rId27"/>
    <hyperlink ref="AD83" r:id="rId28"/>
    <hyperlink ref="AE83" r:id="rId29"/>
    <hyperlink ref="AF83" r:id="rId30"/>
    <hyperlink ref="AH83" r:id="rId31"/>
    <hyperlink ref="AG83" r:id="rId32"/>
    <hyperlink ref="AC84" r:id="rId33"/>
    <hyperlink ref="AD84" r:id="rId34"/>
    <hyperlink ref="AE84" r:id="rId35"/>
    <hyperlink ref="AF84" r:id="rId36"/>
    <hyperlink ref="AC85" r:id="rId37"/>
    <hyperlink ref="AD85" r:id="rId38"/>
    <hyperlink ref="AE85" r:id="rId39"/>
    <hyperlink ref="AF85" r:id="rId40"/>
    <hyperlink ref="AG85" r:id="rId41"/>
    <hyperlink ref="AC86" r:id="rId42"/>
    <hyperlink ref="AD86" r:id="rId43"/>
    <hyperlink ref="AE86" r:id="rId44"/>
    <hyperlink ref="AC87" r:id="rId45"/>
    <hyperlink ref="AD87" r:id="rId46"/>
    <hyperlink ref="AE87" r:id="rId47"/>
    <hyperlink ref="AF87" r:id="rId48"/>
    <hyperlink ref="AG87" r:id="rId49"/>
    <hyperlink ref="AH87" r:id="rId50"/>
    <hyperlink ref="AB88" r:id="rId51"/>
    <hyperlink ref="AB89" r:id="rId52"/>
    <hyperlink ref="AB90" r:id="rId53"/>
    <hyperlink ref="AC91" r:id="rId54"/>
    <hyperlink ref="AD91" r:id="rId55"/>
    <hyperlink ref="AE91" r:id="rId56"/>
    <hyperlink ref="AF91" r:id="rId57"/>
    <hyperlink ref="AG91" r:id="rId58"/>
    <hyperlink ref="AB347" r:id="rId59" display="https://www.jivi.com.ar/ficha.php?id=187"/>
    <hyperlink ref="AB349" r:id="rId60" display="https://www.jivi.com.ar/ficha.php?id=4"/>
    <hyperlink ref="AB359" r:id="rId61" display="https://www.jivi.com.ar/ficha.php?id=55"/>
    <hyperlink ref="AB362" r:id="rId62" display="https://www.jivi.com.ar/ficha.php?id=209"/>
    <hyperlink ref="AB363" r:id="rId63"/>
    <hyperlink ref="AB371" r:id="rId64" display="https://www.jivi.com.ar/ficha.php?id=380"/>
    <hyperlink ref="AB375" r:id="rId65" display="https://www.jivi.com.ar/ficha.php?id=548"/>
    <hyperlink ref="AB376" r:id="rId66"/>
    <hyperlink ref="AB379" r:id="rId67" display="https://www.jivi.com.ar/ficha.php?id=719"/>
    <hyperlink ref="AB100" r:id="rId68" display="https://www.jivi.com.ar/ficha.php?id=326"/>
    <hyperlink ref="AB104" r:id="rId69" display="https://www.jivi.com.ar/ficha.php?id=134"/>
    <hyperlink ref="AB145" r:id="rId70" display="https://www.jivi.com.ar/ficha.php?id=394"/>
    <hyperlink ref="AB146" r:id="rId71" display="https://www.jivi.com.ar/ficha.php?id=145"/>
    <hyperlink ref="AB149" r:id="rId72" display="https://www.jivi.com.ar/ficha.php?id=18"/>
    <hyperlink ref="AB153" r:id="rId73" display="https://www.jivi.com.ar/ficha.php?id=19"/>
    <hyperlink ref="AB161" r:id="rId74" display="https://www.jivi.com.ar/ficha.php?id=142"/>
    <hyperlink ref="AB162" r:id="rId75" display="https://www.jivi.com.ar/ficha.php?id=392"/>
    <hyperlink ref="AB163" r:id="rId76" display="https://www.jivi.com.ar/ficha.php?id=393"/>
    <hyperlink ref="AB190" r:id="rId77" display="https://www.jivi.com.ar/ficha.php?id=135"/>
    <hyperlink ref="AB191" r:id="rId78" display="https://www.jivi.com.ar/ficha.php?id=136"/>
    <hyperlink ref="AB192" r:id="rId79" display="https://www.jivi.com.ar/ficha.php?id=137"/>
    <hyperlink ref="AB193" r:id="rId80" display="https://www.jivi.com.ar/ficha.php?id=138"/>
    <hyperlink ref="AB201" r:id="rId81" display="https://www.jivi.com.ar/ficha.php?id=245"/>
    <hyperlink ref="AB218" r:id="rId82" display="https://www.jivi.com.ar/ficha.php?id=166"/>
    <hyperlink ref="AB219" r:id="rId83" display="https://www.jivi.com.ar/ficha.php?id=171"/>
    <hyperlink ref="AB223" r:id="rId84" display="https://www.jivi.com.ar/ficha.php?id=168"/>
    <hyperlink ref="AB230" r:id="rId85" display="https://www.jivi.com.ar/ficha.php?id=169"/>
    <hyperlink ref="AB231" r:id="rId86" display="https://www.jivi.com.ar/ficha.php?id=148"/>
    <hyperlink ref="AB232" r:id="rId87" display="https://www.jivi.com.ar/ficha.php?id=158"/>
    <hyperlink ref="AB712" r:id="rId88" display="https://www.jivi.com.ar/ficha.php?id=621"/>
    <hyperlink ref="AB713" r:id="rId89" display="https://www.jivi.com.ar/ficha.php?id=622"/>
    <hyperlink ref="AB95" r:id="rId90" display="https://www.jivi.com.ar/ficha.php?id=456"/>
    <hyperlink ref="AB290" r:id="rId91" display="https://www.jivi.com.ar/ficha.php?id=246"/>
    <hyperlink ref="AB481" r:id="rId92" display="https://www.jivi.com.ar/ficha.php?id=431"/>
    <hyperlink ref="AB485" r:id="rId93" display="https://www.jivi.com.ar/ficha.php?id=728"/>
    <hyperlink ref="AB509" r:id="rId94"/>
    <hyperlink ref="AB511" r:id="rId95"/>
    <hyperlink ref="AB519" r:id="rId96"/>
    <hyperlink ref="AB521" r:id="rId97"/>
    <hyperlink ref="AB524" r:id="rId98"/>
    <hyperlink ref="AB525" r:id="rId99"/>
    <hyperlink ref="AB526" r:id="rId100"/>
    <hyperlink ref="AB528" r:id="rId101"/>
    <hyperlink ref="AB529" r:id="rId102"/>
    <hyperlink ref="AB531" r:id="rId103"/>
    <hyperlink ref="AB536" r:id="rId104"/>
    <hyperlink ref="AB537" r:id="rId105"/>
    <hyperlink ref="AB696" r:id="rId106"/>
    <hyperlink ref="AB701" r:id="rId107"/>
    <hyperlink ref="AB702" r:id="rId108"/>
    <hyperlink ref="AB354" r:id="rId109" display="https://www.jivi.com.ar/ficha.php?id=51"/>
    <hyperlink ref="AB364" r:id="rId110"/>
    <hyperlink ref="B7:V7" location="'Artículos Publicitarios'!A686" display="PARA IR A LOS RECARGOS POR IMPRESIONES ADICIONALES CLICK AQUÍ"/>
    <hyperlink ref="AB513" r:id="rId111"/>
    <hyperlink ref="AC50" r:id="rId112"/>
    <hyperlink ref="AD50" r:id="rId113"/>
    <hyperlink ref="AE50" r:id="rId114"/>
    <hyperlink ref="B7:W7" location="'Artículos Publicitarios'!A780" display="PARA IR A LOS RECARGOS POR IMPRESIONES ADICIONALES CLICK AQUÍ"/>
    <hyperlink ref="AB246" r:id="rId115" display="https://www.jivi.com.ar/ficha.php?id=840"/>
    <hyperlink ref="AE2:AF2" location="'Artículos Publicitarios'!A839" display="CLICK AQUÍ"/>
    <hyperlink ref="AE2" location="'Artículos Publicitarios'!A833" display="CLICK AQUÍ"/>
    <hyperlink ref="AB588" r:id="rId116" display="https://www.jivi.com.ar/ficha.php?id=846"/>
    <hyperlink ref="AB26" r:id="rId117" display="https://www.jivi.com.ar/ficha.php?id=848"/>
    <hyperlink ref="AB75" r:id="rId118"/>
    <hyperlink ref="AE2:AG2" location="'Artículos Publicitarios'!A837" display="CLICK AQUÍ"/>
    <hyperlink ref="B822:W822" location="'Artículos Publicitarios'!A3" display="PARA SUBIR AL PRINCIPIO DE LA LISTA CLICK AQUÍ"/>
    <hyperlink ref="AB286" r:id="rId119" display="https://www.jivi.com.ar/ficha.php?id=862"/>
    <hyperlink ref="AB43" r:id="rId120"/>
    <hyperlink ref="AB164" r:id="rId121" display="https://www.jivi.com.ar/ficha.php?id=882"/>
    <hyperlink ref="AF11:AH11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716" r:id="rId122" display="https://www.jivi.com.ar/ficha.php?id=903"/>
    <hyperlink ref="AB22" r:id="rId123"/>
    <hyperlink ref="AB709" r:id="rId124" display="https://www.jivi.com.ar/ficha.php?id=918"/>
    <hyperlink ref="AB350" r:id="rId125" display="https://www.jivi.com.ar/ficha.php?id=926"/>
    <hyperlink ref="AB67" r:id="rId126"/>
    <hyperlink ref="AB506" r:id="rId127"/>
    <hyperlink ref="AB194" r:id="rId128" display="https://www.jivi.com.ar/ficha.php?id=948"/>
    <hyperlink ref="AB360" r:id="rId129" display="https://www.jivi.com.ar/ficha.php?id=954"/>
    <hyperlink ref="AB140" r:id="rId130"/>
    <hyperlink ref="AB142" r:id="rId131"/>
    <hyperlink ref="AB141" r:id="rId132"/>
    <hyperlink ref="AB514" r:id="rId133"/>
    <hyperlink ref="AB355" r:id="rId134" display="https://www.jivi.com.ar/ficha.php?id=850"/>
    <hyperlink ref="AB143" r:id="rId135"/>
    <hyperlink ref="AB532" r:id="rId136"/>
    <hyperlink ref="AB533" r:id="rId137"/>
    <hyperlink ref="AB380" r:id="rId138" display="https://www.jivi.com.ar/ficha.php?id=1023"/>
    <hyperlink ref="AB351" r:id="rId139" display="https://www.jivi.com.ar/ficha.php?id=1025"/>
    <hyperlink ref="AB357" r:id="rId140" display="https://www.jivi.com.ar/ficha.php?id=647"/>
    <hyperlink ref="AB346" r:id="rId141" display="https://www.jivi.com.ar/ficha.php?id=1049"/>
    <hyperlink ref="AB24" r:id="rId142" display="https://www.jivi.com.ar/ficha.php?id=364"/>
    <hyperlink ref="AF24:AI24" location="'Artículos Publicitarios'!A698" display="IR A PROD. SUBLIMADOS"/>
    <hyperlink ref="AB369" r:id="rId143" display="https://www.jivi.com.ar/ficha.php?id=1095"/>
    <hyperlink ref="AB352" r:id="rId144" display="https://www.jivi.com.ar/ficha.php?id=1094"/>
    <hyperlink ref="AB348" r:id="rId145" display="https://www.jivi.com.ar/ficha.php?id=297"/>
    <hyperlink ref="AB386" r:id="rId146" display="https://www.jivi.com.ar/ficha.php?id=1097"/>
    <hyperlink ref="AB98" r:id="rId147" display="https://www.jivi.com.ar/ficha.php?id=1098"/>
    <hyperlink ref="AB21" r:id="rId148"/>
    <hyperlink ref="AB235" r:id="rId149"/>
    <hyperlink ref="AB344" r:id="rId150" display="https://www.jivi.com.ar/ficha.php?id=1108"/>
    <hyperlink ref="AF693:AH693" location="'Artículos Publicitarios'!A3" display="IR A PAGINA 1"/>
    <hyperlink ref="AF25:AI25" location="'Artículos Publicitarios'!A171" display="IR A CARPITAS"/>
    <hyperlink ref="AF21:AI21" location="'Artículos Publicitarios'!A129" display="IR A CINTAS COLGANTES"/>
    <hyperlink ref="AF27:AI27" location="'Artículos Publicitarios'!A264" display="IR A PORTADOCUMENTOS"/>
    <hyperlink ref="AB187" r:id="rId151" display="https://www.jivi.com.ar/ficha.php?id=1119"/>
    <hyperlink ref="AB188" r:id="rId152"/>
    <hyperlink ref="AB704" r:id="rId153" display="https://www.jivi.com.ar/ficha.php?id=1154"/>
    <hyperlink ref="AB714" r:id="rId154" display="https://www.jivi.com.ar/ficha.php?id=1157"/>
    <hyperlink ref="AB715" r:id="rId155" display="https://www.jivi.com.ar/ficha.php?id=1158"/>
    <hyperlink ref="AB688" r:id="rId156" display="hhttps://www.jivi.com.ar/ficha.php?id=1155"/>
    <hyperlink ref="AB689" r:id="rId157" display="https://www.jivi.com.ar/ficha.php?id=1156"/>
    <hyperlink ref="AB353" r:id="rId158"/>
    <hyperlink ref="AB51" r:id="rId159" display="https://www.jivi.com.ar/ficha.php?id=1172"/>
    <hyperlink ref="AB356" r:id="rId160"/>
    <hyperlink ref="AB97" r:id="rId161"/>
    <hyperlink ref="AB128" r:id="rId162"/>
    <hyperlink ref="AB358" r:id="rId163" display="https://www.jivi.com.ar/ficha.php?id=915"/>
    <hyperlink ref="AB107" r:id="rId164" display="https://www.jivi.com.ar/ficha.php?id=1182"/>
    <hyperlink ref="AB127" r:id="rId165" display="https://www.jivi.com.ar/ficha.php?id=1183"/>
    <hyperlink ref="AB129" r:id="rId166"/>
    <hyperlink ref="AB361" r:id="rId167" display="https://www.jivi.com.ar/ficha.php?id=349"/>
    <hyperlink ref="AB430" r:id="rId168" display="https://www.jivi.com.ar/ficha.php?id=1190"/>
    <hyperlink ref="AB105" r:id="rId169" display="https://www.jivi.com.ar/ficha.php?id=1181"/>
    <hyperlink ref="AB367" r:id="rId170"/>
    <hyperlink ref="AB515" r:id="rId171"/>
    <hyperlink ref="AB433" r:id="rId172" display="https://www.jivi.com.ar/ficha.php?id=1219"/>
    <hyperlink ref="AB48" r:id="rId173"/>
    <hyperlink ref="AB47" r:id="rId174"/>
    <hyperlink ref="AB49" r:id="rId175"/>
    <hyperlink ref="AB717" r:id="rId176" display="https://www.jivi.com.ar/ficha.php?id=904"/>
    <hyperlink ref="AB59" r:id="rId177" display="00085-1B"/>
    <hyperlink ref="AB471" r:id="rId178" display="https://www.jivi.com.ar/ficha.php?id=1225"/>
    <hyperlink ref="AB42" r:id="rId179"/>
    <hyperlink ref="AB710" r:id="rId180" display="https://www.jivi.com.ar/ficha.php?id=919"/>
    <hyperlink ref="AB41" r:id="rId181"/>
    <hyperlink ref="AB165" r:id="rId182" display="https://www.jivi.com.ar/ficha.php?id=883"/>
    <hyperlink ref="AB541" r:id="rId183"/>
    <hyperlink ref="AB133" r:id="rId184" display="https://jivi.com.ar/ficha.php?id=89"/>
    <hyperlink ref="AB590" r:id="rId185" display="https://www.jivi.com.ar/ficha.php?id=1248"/>
    <hyperlink ref="AB370" r:id="rId186" display="https://www.jivi.com.ar/ficha.php?id=1253"/>
    <hyperlink ref="AB287" r:id="rId187" display="https://www.jivi.com.ar/ficha.php?id=1124"/>
    <hyperlink ref="AB166" r:id="rId188" display="https://www.jivi.com.ar/ficha.php?id=1261"/>
    <hyperlink ref="AB472" r:id="rId189" display="https://www.jivi.com.ar/ficha.php?id=1268"/>
    <hyperlink ref="AB407" r:id="rId190" display="https://www.jivi.com.ar/ficha.php?id=1277"/>
    <hyperlink ref="AB741" r:id="rId191"/>
    <hyperlink ref="AB96" r:id="rId192" display="https://www.jivi.com.ar/ficha.php?id=378"/>
    <hyperlink ref="AB185" r:id="rId193"/>
    <hyperlink ref="AB106" r:id="rId194"/>
    <hyperlink ref="AB108" r:id="rId195"/>
    <hyperlink ref="AB122" r:id="rId196" display="https://www.jivi.com.ar/ficha.php?id=1305"/>
    <hyperlink ref="AB123" r:id="rId197"/>
    <hyperlink ref="AB234" r:id="rId198" display="https://www.jivi.com.ar/ficha.php?id=1287"/>
    <hyperlink ref="AB690" r:id="rId199" display="https://www.jivi.com.ar/ficha.php?id=1290"/>
    <hyperlink ref="AB101" r:id="rId200" display="https://www.jivi.com.ar/ficha.php?id=1314"/>
    <hyperlink ref="AJ1:AJ2" location="'Artículos Publicitarios'!A3" display="IR A PAGINA 1"/>
    <hyperlink ref="AB184" r:id="rId201"/>
    <hyperlink ref="AB390" r:id="rId202" display="https://www.jivi.com.ar/ficha.php?id=1344"/>
    <hyperlink ref="AB124" r:id="rId203"/>
    <hyperlink ref="AF782:AH782" location="'Artículos Publicitarios'!A3" display="IR A PAGINA 1"/>
    <hyperlink ref="AB170" r:id="rId204" display="https://www.jivi.com.ar/ficha.php?id=1346"/>
    <hyperlink ref="AB171" r:id="rId205" display="https://www.jivi.com.ar/ficha.php?id=1347"/>
    <hyperlink ref="AB207" r:id="rId206" display="https://www.jivi.com.ar/ficha.php?id=1348"/>
    <hyperlink ref="AB391" r:id="rId207" display="https://www.jivi.com.ar/ficha.php?id=1359"/>
    <hyperlink ref="AB410" r:id="rId208" display="https://www.jivi.com.ar/ficha.php?id=1360"/>
    <hyperlink ref="AB186" r:id="rId209"/>
    <hyperlink ref="AB103" r:id="rId210" display="https://www.jivi.com.ar/ficha.php?id=1366"/>
    <hyperlink ref="AC8:AI9" r:id="rId211" display="REGISTRATE EN NUESTRA WEB PARA BAJAR LISTA DE PRECIOS DESDE CUALQUIER PC"/>
    <hyperlink ref="AB417" r:id="rId212" display="https://www.jivi.com.ar/ficha.php?id=1372"/>
    <hyperlink ref="AB414" r:id="rId213" display="https://www.jivi.com.ar/ficha.php?id=1378"/>
    <hyperlink ref="AB418" r:id="rId214" display="https://www.jivi.com.ar/ficha.php?id=1382"/>
    <hyperlink ref="AB413" r:id="rId215" display="https://www.jivi.com.ar/ficha.php?id=1383"/>
    <hyperlink ref="AB438" r:id="rId216" display="https://www.jivi.com.ar/ficha.php?id=1384"/>
    <hyperlink ref="AB135" r:id="rId217" display="https://www.jivi.com.ar/ficha.php?id=1428"/>
    <hyperlink ref="AB439" r:id="rId218" display="https://www.jivi.com.ar/ficha.php?id=1385"/>
    <hyperlink ref="AB437" r:id="rId219" display="https://www.jivi.com.ar/ficha.php?id=1387"/>
    <hyperlink ref="AB440" r:id="rId220" display="https://www.jivi.com.ar/ficha.php?id=1389"/>
    <hyperlink ref="AB23" r:id="rId221" display="https://www.jivi.com.ar/ficha.php?id=363"/>
    <hyperlink ref="AF23" location="'Artículos Publicitarios'!A582" display="IR A REMERAS"/>
    <hyperlink ref="AF23:AI23" location="'Artículos Publicitarios'!A547" display="IR A REMERAS"/>
    <hyperlink ref="AF27:AJ27" location="'Artículos Publicitarios'!A236" display="IR A PORTADOCUMENTOS"/>
    <hyperlink ref="AF26:AH26" location="'Artículos Publicitarios'!A427" display="IR A BOLIGRAFOS"/>
    <hyperlink ref="AF26:AI26" location="'Artículos Publicitarios'!A128" display="IR A LLAVEROS DE CUERO"/>
    <hyperlink ref="AF26:AJ26" location="'Artículos Publicitarios'!A720" display="IR A ART. DE CUERO - CUCHILLERIA"/>
    <hyperlink ref="AB57" r:id="rId222" display="https://www.jivi.com.ar/ficha.php?id=236"/>
    <hyperlink ref="AB174" r:id="rId223" display="https://www.jivi.com.ar/ficha.php?id=1343"/>
    <hyperlink ref="AF13:AH13" location="'Artículos Publicitarios'!A342" display="IR A PAGINA 5"/>
    <hyperlink ref="AF14:AH14" location="'Artículos Publicitarios'!A421" display="IR A PAGINA 6"/>
    <hyperlink ref="AB419" r:id="rId224" display="https://www.jivi.com.ar/ficha.php?id=1394"/>
    <hyperlink ref="AB241" r:id="rId225" display="https://www.jivi.com.ar/ficha.php?id=872"/>
    <hyperlink ref="AB155" r:id="rId226" display="https://www.jivi.com.ar/ficha.php?id=1399"/>
    <hyperlink ref="AF20:AH20" location="'Artículos Publicitarios'!A427" display="IR A BOLIGRAFOS"/>
    <hyperlink ref="AF20:AI20" location="'Artículos Publicitarios'!A128" display="IR A LLAVEROS DE CUERO"/>
    <hyperlink ref="AF20:AJ20" location="'Artículos Publicitarios'!A365" display="IR A BOLIGRAFOS"/>
    <hyperlink ref="AB436" r:id="rId227" display="https://www.jivi.com.ar/ficha.php?id=1262"/>
    <hyperlink ref="AB411" r:id="rId228" display="https://www.jivi.com.ar/ficha.php?id=1400"/>
    <hyperlink ref="AB420" r:id="rId229" display="https://www.jivi.com.ar/ficha.php?id=1401"/>
    <hyperlink ref="AB168" r:id="rId230" display="https://www.jivi.com.ar/ficha.php?id=1392"/>
    <hyperlink ref="AB281" r:id="rId231" display="https://www.jivi.com.ar/ficha.php?id=1230"/>
    <hyperlink ref="AB392" r:id="rId232" display="https://www.jivi.com.ar/ficha.php?id=1110"/>
    <hyperlink ref="AB395" r:id="rId233" display="https://www.jivi.com.ar/ficha.php?id=1111"/>
    <hyperlink ref="AF22:AI22" location="'Artículos Publicitarios'!A325" display="IR A SET DE NOTAS"/>
    <hyperlink ref="AF22:AJ22" location="'Artículos Publicitarios'!A581" display="IR A PARAGUAS"/>
    <hyperlink ref="AB92" r:id="rId234" display="https://www.jivi.com.ar/ficha.php?id=477"/>
    <hyperlink ref="AB94" r:id="rId235" display="https://www.jivi.com.ar/ficha.php?id=376"/>
    <hyperlink ref="AB13" r:id="rId236" display="https://www.jivi.com.ar/ficha.php?id=1402"/>
    <hyperlink ref="AB583" r:id="rId237" display="https://www.jivi.com.ar/ficha.php?id=1393"/>
    <hyperlink ref="AB18" r:id="rId238" display="https://www.jivi.com.ar/ficha.php?id=1405"/>
    <hyperlink ref="AB132" r:id="rId239" display="https://www.jivi.com.ar/ficha.php?id=1413"/>
    <hyperlink ref="AB181" r:id="rId240" display="https://www.jivi.com.ar/ficha.php?id=1415"/>
    <hyperlink ref="AF12:AH12" location="'Artículos Publicitarios'!A260" display="IR A PAGINA 4"/>
    <hyperlink ref="AB339" r:id="rId241" display="https://www.jivi.com.ar/ficha.php?id=1356"/>
    <hyperlink ref="AB222" r:id="rId242" display="https://www.jivi.com.ar/ficha.php?id=1084"/>
    <hyperlink ref="AB337" r:id="rId243" display="https://www.jivi.com.ar/ficha.php?id=1353"/>
    <hyperlink ref="AF28:AH28" location="'Artículos Publicitarios'!A427" display="IR A BOLIGRAFOS"/>
    <hyperlink ref="AF28:AI28" location="'Artículos Publicitarios'!A128" display="IR A LLAVEROS DE CUERO"/>
    <hyperlink ref="AF28:AJ28" location="'Artículos Publicitarios'!A758" display="IR A DELANTALES"/>
    <hyperlink ref="AB746" r:id="rId244"/>
    <hyperlink ref="AB749" r:id="rId245"/>
    <hyperlink ref="AB711" r:id="rId246" display="https://www.jivi.com.ar/ficha.php?id=1281"/>
    <hyperlink ref="AB736" r:id="rId247"/>
    <hyperlink ref="AB305" r:id="rId248" display="https://www.jivi.com.ar/ficha.php?id=1421"/>
    <hyperlink ref="AB308" r:id="rId249" display="https://www.jivi.com.ar/ficha.php?id=1422"/>
    <hyperlink ref="AB309" r:id="rId250" display="https://www.jivi.com.ar/ficha.php?id=1423"/>
    <hyperlink ref="AB335" r:id="rId251" display="https://www.jivi.com.ar/ficha.php?id=1425"/>
    <hyperlink ref="AB336" r:id="rId252" display="https://www.jivi.com.ar/ficha.php?id=1426"/>
    <hyperlink ref="AB469" r:id="rId253" display="https://www.jivi.com.ar/ficha.php?id=1429"/>
    <hyperlink ref="AB517" r:id="rId254"/>
    <hyperlink ref="AB578" r:id="rId255" display="https://www.jivi.com.ar/ficha.php?id=1436"/>
    <hyperlink ref="AB579" r:id="rId256" display="https://www.jivi.com.ar/ficha.php?id=1437"/>
    <hyperlink ref="AB580" r:id="rId257"/>
    <hyperlink ref="AB582" r:id="rId258" display="https://www.jivi.com.ar/ficha.php?id=1439"/>
    <hyperlink ref="AB307" r:id="rId259" display="https://www.jivi.com.ar/ficha.php?id=1442"/>
    <hyperlink ref="AB332" r:id="rId260" display="https://www.jivi.com.ar/ficha.php?id=1427"/>
    <hyperlink ref="AB703" r:id="rId261"/>
    <hyperlink ref="AB385" r:id="rId262" display="https://www.jivi.com.ar/ficha.php?id=1056"/>
    <hyperlink ref="AB280" r:id="rId263" display="https://www.jivi.com.ar/ficha.php?id=1334"/>
    <hyperlink ref="AB274" r:id="rId264" display="https://www.jivi.com.ar/ficha.php?id=1335"/>
    <hyperlink ref="AB321" r:id="rId265" display="https://www.jivi.com.ar/ficha.php?id=1446"/>
    <hyperlink ref="AB338" r:id="rId266" display="https://www.jivi.com.ar/ficha.php?id=1354"/>
    <hyperlink ref="AB327" r:id="rId267" display="https://www.jivi.com.ar/ficha.php?id=1448"/>
    <hyperlink ref="AB343" r:id="rId268" display="https://www.jivi.com.ar/ficha.php?id=1450"/>
    <hyperlink ref="AB203" r:id="rId269"/>
    <hyperlink ref="AB507" r:id="rId270"/>
    <hyperlink ref="AB742" r:id="rId271"/>
    <hyperlink ref="AB426" r:id="rId272" display="https://www.jivi.com.ar/ficha.php?id=1463"/>
    <hyperlink ref="AB427" r:id="rId273" display="https://www.jivi.com.ar/ficha.php?id=1464"/>
    <hyperlink ref="AB584" r:id="rId274" display="https://www.jivi.com.ar/ficha.php?id=1467"/>
    <hyperlink ref="AB593" r:id="rId275"/>
    <hyperlink ref="AB594" r:id="rId276" display="https://www.jivi.com.ar/ficha.php?id=1472"/>
    <hyperlink ref="AB527" r:id="rId277"/>
    <hyperlink ref="AB685" r:id="rId278"/>
    <hyperlink ref="AB686" r:id="rId279"/>
    <hyperlink ref="AB684" r:id="rId280"/>
    <hyperlink ref="AB227" r:id="rId281" display="https://www.jivi.com.ar/ficha.php?id=1478"/>
    <hyperlink ref="AB228" r:id="rId282"/>
    <hyperlink ref="AB229" r:id="rId283"/>
    <hyperlink ref="AB221" r:id="rId284" display="https://www.jivi.com.ar/ficha.php?id=1481"/>
    <hyperlink ref="AB242" r:id="rId285" display="https://www.jivi.com.ar/ficha.php?id=1483"/>
    <hyperlink ref="AB272" r:id="rId286" display="https://www.jivi.com.ar/ficha.php?id=1486"/>
    <hyperlink ref="AB273" r:id="rId287" display="https://www.jivi.com.ar/ficha.php?id=1488"/>
    <hyperlink ref="AB705" r:id="rId288" display="https://www.jivi.com.ar/ficha.php?id=1492"/>
    <hyperlink ref="AB706" r:id="rId289" display="https://www.jivi.com.ar/ficha.php?id=1493"/>
    <hyperlink ref="AB707" r:id="rId290" display="https://www.jivi.com.ar/ficha.php?id=1494"/>
    <hyperlink ref="AB708" r:id="rId291"/>
    <hyperlink ref="AB726" r:id="rId292" display="https://www.jivi.com.ar/ficha.php?id=1496"/>
    <hyperlink ref="AB727" r:id="rId293" display="https://www.jivi.com.ar/ficha.php?id=1497"/>
    <hyperlink ref="AB729" r:id="rId294" display="httphttps://www.jivi.com.ar/ficha.php?id=1498"/>
    <hyperlink ref="AB730" r:id="rId295" display="https://www.jivi.com.ar/ficha.php?id=1499"/>
    <hyperlink ref="AB731" r:id="rId296" display="https://www.jivi.com.ar/ficha.php?id=1500"/>
    <hyperlink ref="AB36" r:id="rId297"/>
    <hyperlink ref="AB38" r:id="rId298"/>
    <hyperlink ref="AB35" r:id="rId299"/>
    <hyperlink ref="AB37" r:id="rId300"/>
    <hyperlink ref="AB39" r:id="rId301"/>
    <hyperlink ref="AB40" r:id="rId302"/>
    <hyperlink ref="AB576" r:id="rId303" display="https://www.jivi.com.ar/ficha.php?id=1509"/>
    <hyperlink ref="AB543" r:id="rId304"/>
    <hyperlink ref="AB304" r:id="rId305" display="https://www.jivi.com.ar/ficha.php?id=1515"/>
    <hyperlink ref="AB71" r:id="rId306"/>
    <hyperlink ref="AB73" r:id="rId307"/>
    <hyperlink ref="AB422" r:id="rId308" display="https://www.jivi.com.ar/ficha.php?id=1523"/>
    <hyperlink ref="AB303" r:id="rId309" display="https://www.jivi.com.ar/ficha.php?id=1559"/>
    <hyperlink ref="AB306" r:id="rId310" display="https://www.jivi.com.ar/ficha.php?id=1527"/>
    <hyperlink ref="AB260" r:id="rId311" display="https://www.jivi.com.ar/ficha.php?id=1532"/>
    <hyperlink ref="AB270" r:id="rId312" display="https://www.jivi.com.ar/ficha.php?id=1534"/>
    <hyperlink ref="AB732" r:id="rId313" display="https://www.jivi.com.ar/ficha.php?id=1535"/>
    <hyperlink ref="AB733" r:id="rId314" display="https://www.jivi.com.ar/ficha.php?id=1536"/>
    <hyperlink ref="AB245" r:id="rId315" display="https://www.jivi.com.ar/ficha.php?id=1539"/>
    <hyperlink ref="AB139" r:id="rId316" display="https://www.jivi.com.ar/ficha.php?id=1540"/>
    <hyperlink ref="AB591" r:id="rId317" display="https://www.jivi.com.ar/ficha.php?id=1541"/>
    <hyperlink ref="AB592" r:id="rId318" display="https://www.jivi.com.ar/ficha.php?id=1542"/>
    <hyperlink ref="AB254" r:id="rId319" display="https://www.jivi.com.ar/ficha.php?id=1545"/>
    <hyperlink ref="AB393" r:id="rId320"/>
    <hyperlink ref="AB368" r:id="rId321" display="https://www.jivi.com.ar/ficha.php?id=981"/>
    <hyperlink ref="AB423" r:id="rId322" display="https://www.jivi.com.ar/ficha.php?id=1548"/>
    <hyperlink ref="AB424" r:id="rId323" display="https://www.jivi.com.ar/ficha.php?id=1549"/>
    <hyperlink ref="AB487" r:id="rId324"/>
    <hyperlink ref="AB456" r:id="rId325" display="https://www.jivi.com.ar/ficha.php?id=1552"/>
    <hyperlink ref="AB388" r:id="rId326" display="https://www.jivi.com.ar/ficha.php?id=1311"/>
    <hyperlink ref="AB154" r:id="rId327" display="https://www.jivi.com.ar/ficha.php?id=1553"/>
    <hyperlink ref="AB150" r:id="rId328" display="https://www.jivi.com.ar/ficha.php?id=1554"/>
    <hyperlink ref="AB634" r:id="rId329" display="https://www.jivi.com.ar/ficha.php?id=1555"/>
    <hyperlink ref="AB56" r:id="rId330" display="https://www.jivi.com.ar/ficha.php?id=1557"/>
    <hyperlink ref="AB747" r:id="rId331"/>
    <hyperlink ref="AB243" r:id="rId332" display="https://www.jivi.com.ar/ficha.php?id=518"/>
    <hyperlink ref="AB204" r:id="rId333" display="https://www.jivi.com.ar/ficha.php?id=1561"/>
    <hyperlink ref="AB10" r:id="rId334" display="https://www.jivi.com.ar/ficha.php?id=26"/>
    <hyperlink ref="AB247" r:id="rId335" display="https://www.jivi.com.ar/ficha.php?id=1066"/>
    <hyperlink ref="AB251" r:id="rId336" display="https://www.jivi.com.ar/ficha.php?id=1562"/>
    <hyperlink ref="AB482" r:id="rId337" display="https://www.jivi.com.ar/ficha.php?id=1563"/>
    <hyperlink ref="AB169" r:id="rId338" display="https://www.jivi.com.ar/ficha.php?id=1414"/>
    <hyperlink ref="AB19" r:id="rId339" display="https://www.jivi.com.ar/ficha.php?id=790"/>
    <hyperlink ref="AB312" r:id="rId340" display="https://www.jivi.com.ar/ficha.php?id=1407"/>
    <hyperlink ref="AB311" r:id="rId341" display="https://www.jivi.com.ar/ficha.php?id=1409"/>
    <hyperlink ref="AB313" r:id="rId342" display="https://www.jivi.com.ar/ficha.php?id=1408"/>
    <hyperlink ref="AB301" r:id="rId343" display="https://www.jivi.com.ar/ficha.php?id=1564"/>
    <hyperlink ref="AB28" r:id="rId344" display="https://www.jivi.com.ar/ficha.php?id=1434"/>
    <hyperlink ref="AB428" r:id="rId345" display="https://www.jivi.com.ar/ficha.php?id=1567"/>
    <hyperlink ref="AB44" r:id="rId346"/>
    <hyperlink ref="AB45" r:id="rId347"/>
    <hyperlink ref="AB46" r:id="rId348"/>
    <hyperlink ref="AB136" r:id="rId349" display="https://www.jivi.com.ar/ficha.php?id=1571"/>
    <hyperlink ref="AB220" r:id="rId350"/>
    <hyperlink ref="AB425" r:id="rId351" display="https://www.jivi.com.ar/ficha.php?id=1572"/>
    <hyperlink ref="AB302" r:id="rId352" display="https://www.jivi.com.ar/ficha.php?id=1573"/>
    <hyperlink ref="AB606" r:id="rId353" display="https://www.jivi.com.ar/ficha.php?id=1294"/>
    <hyperlink ref="AF17:AJ17" location="'Artículos Publicitarios'!A620" display="IR A MOCHILAS - BOLSOS - ETC"/>
    <hyperlink ref="AB615" r:id="rId354" display="https://www.jivi.com.ar/ficha.php?id=1271"/>
    <hyperlink ref="AB614" r:id="rId355" display="https://www.jivi.com.ar/ficha.php?id=1296"/>
    <hyperlink ref="AB619" r:id="rId356" display="https://www.jivi.com.ar/ficha.php?id=1139"/>
    <hyperlink ref="AB611" r:id="rId357" display="https://www.jivi.com.ar/ficha.php?id=1249"/>
    <hyperlink ref="AB655" r:id="rId358" display="https://www.jivi.com.ar/ficha.php?id=1574"/>
    <hyperlink ref="AB613" r:id="rId359" display="https://www.jivi.com.ar/ficha.php?id=1576"/>
    <hyperlink ref="AB623" r:id="rId360" display="https://www.jivi.com.ar/ficha.php?id=1580"/>
    <hyperlink ref="AB624" r:id="rId361" display="https://www.jivi.com.ar/ficha.php?id=1581"/>
    <hyperlink ref="AB628" r:id="rId362" display="https://www.jivi.com.ar/ficha.php?id=1583"/>
    <hyperlink ref="AB629" r:id="rId363" display="https://www.jivi.com.ar/ficha.php?id=1584"/>
    <hyperlink ref="AB630" r:id="rId364" display="https://www.jivi.com.ar/ficha.php?id=1586"/>
    <hyperlink ref="AF19:AJ19" location="'Artículos Publicitarios'!A267" display="IR A CUADERNOS"/>
    <hyperlink ref="AB283" r:id="rId365" display="https://www.jivi.com.ar/ficha.php?id=1221"/>
    <hyperlink ref="AB571" r:id="rId366"/>
    <hyperlink ref="AB572" r:id="rId367" display="https://www.jivi.com.ar/ficha.php?id=1590"/>
    <hyperlink ref="AB573" r:id="rId368"/>
    <hyperlink ref="AB574" r:id="rId369" display="https://www.jivi.com.ar/ficha.php?id=1592"/>
    <hyperlink ref="AB635" r:id="rId370" display="https://www.jivi.com.ar/ficha.php?id=1593"/>
    <hyperlink ref="AB299" r:id="rId371" display="https://www.jivi.com.ar/ficha.php?id=1595"/>
    <hyperlink ref="AB447" r:id="rId372" display="https://www.jivi.com.ar/ficha.php?id=1596"/>
    <hyperlink ref="AB636" r:id="rId373" display="https://www.jivi.com.ar/ficha.php?id=1598"/>
    <hyperlink ref="AB643" r:id="rId374" display="https://www.jivi.com.ar/ficha.php?id=1602"/>
    <hyperlink ref="AB648" r:id="rId375" display="https://www.jivi.com.ar/ficha.php?id=1603"/>
    <hyperlink ref="AB60" r:id="rId376" display="00085-1N"/>
    <hyperlink ref="AB649" r:id="rId377" display="https://www.jivi.com.ar/ficha.php?id=1604"/>
    <hyperlink ref="AB650" r:id="rId378" display="https://www.jivi.com.ar/ficha.php?id=1606"/>
    <hyperlink ref="AB324" r:id="rId379" display="https://www.jivi.com.ar/ficha.php?id=1424"/>
    <hyperlink ref="AB189" r:id="rId380"/>
    <hyperlink ref="AB265" r:id="rId381" display="https://www.jivi.com.ar/ficha.php?id=1459"/>
    <hyperlink ref="AB264" r:id="rId382" display="https://www.jivi.com.ar/ficha.php?id=1608"/>
    <hyperlink ref="AB263" r:id="rId383" display="https://www.jivi.com.ar/ficha.php?id=1609"/>
    <hyperlink ref="AB284" r:id="rId384" display="https://www.jivi.com.ar/ficha.php?id=1274"/>
    <hyperlink ref="AB627" r:id="rId385" display="https://www.jivi.com.ar/ficha.php?id=1611"/>
    <hyperlink ref="AB626" r:id="rId386" display="https://www.jivi.com.ar/ficha.php?id=1612"/>
    <hyperlink ref="AB213" r:id="rId387" display="https://www.jivi.com.ar/ficha.php?id=1614"/>
    <hyperlink ref="AB208" r:id="rId388" display="https://www.jivi.com.ar/ficha.php?id=1452"/>
    <hyperlink ref="AB664" r:id="rId389" display="https://www.jivi.com.ar/ficha.php?id=1617"/>
    <hyperlink ref="AB665" r:id="rId390" display="https://www.jivi.com.ar/ficha.php?id=1618"/>
    <hyperlink ref="AB569" r:id="rId391"/>
    <hyperlink ref="AB570" r:id="rId392" display="https://www.jivi.com.ar/ficha.php?id=1620"/>
    <hyperlink ref="AB586" r:id="rId393" display="https://www.jivi.com.ar/ficha.php?id=1204"/>
    <hyperlink ref="AB587" r:id="rId394"/>
    <hyperlink ref="AB366" r:id="rId395"/>
    <hyperlink ref="AB542" r:id="rId396"/>
    <hyperlink ref="AB697" r:id="rId397"/>
    <hyperlink ref="AB751" r:id="rId398"/>
    <hyperlink ref="AB752" r:id="rId399"/>
    <hyperlink ref="AB753" r:id="rId400"/>
    <hyperlink ref="AB403" r:id="rId401" display="https://www.jivi.com.ar/ficha.php?id=1641"/>
    <hyperlink ref="AB735" r:id="rId402"/>
    <hyperlink ref="AB492" r:id="rId403"/>
    <hyperlink ref="AB178" r:id="rId404" display="https://www.jivi.com.ar/ficha.php?id=1660"/>
    <hyperlink ref="AB99" r:id="rId405" display="https://www.jivi.com.ar/ficha.php?id=440"/>
    <hyperlink ref="AB745" r:id="rId406"/>
    <hyperlink ref="AB750" r:id="rId407"/>
    <hyperlink ref="AB575" r:id="rId408" display="https://www.jivi.com.ar/ficha.php?id=1684"/>
    <hyperlink ref="AB405" r:id="rId409" display="https://www.jivi.com.ar/ficha.php?id=1272"/>
    <hyperlink ref="AB404" r:id="rId410" display="https://www.jivi.com.ar/ficha.php?id=1687"/>
    <hyperlink ref="AB402" r:id="rId411" display="https://www.jivi.com.ar/ficha.php?id=1672"/>
    <hyperlink ref="AB631" r:id="rId412" display="https://www.jivi.com.ar/ficha.php?id=1690"/>
    <hyperlink ref="AB568" r:id="rId413" display="https://www.jivi.com.ar/ficha.php?id=1691"/>
    <hyperlink ref="AB581" r:id="rId414" display="https://www.jivi.com.ar/ficha.php?id=1438"/>
    <hyperlink ref="AF560:AH560" location="'Artículos Publicitarios'!A3" display="IR A PAGINA 1"/>
    <hyperlink ref="AB29" r:id="rId415" display="https://www.jivi.com.ar/ficha.php?id=36"/>
    <hyperlink ref="AB566" r:id="rId416"/>
    <hyperlink ref="AB567" r:id="rId417" display="https://www.jivi.com.ar/ficha.php?id=1698"/>
    <hyperlink ref="AB448" r:id="rId418" display="https://www.jivi.com.ar/ficha.php?id=1699"/>
    <hyperlink ref="AB544" r:id="rId419"/>
    <hyperlink ref="AB421" r:id="rId420" display="https://www.jivi.com.ar/ficha.php?id=1462"/>
    <hyperlink ref="AB259" r:id="rId421" display="https://www.jivi.com.ar/ficha.php?id=1531"/>
    <hyperlink ref="AB257" r:id="rId422" display="https://www.jivi.com.ar/ficha.php?id=1528"/>
    <hyperlink ref="AB470" r:id="rId423"/>
    <hyperlink ref="AB372" r:id="rId424" display="https://www.jivi.com.ar/ficha.php?id=977"/>
    <hyperlink ref="AB443" r:id="rId425" display="https://www.jivi.com.ar/ficha.php?id=1457"/>
    <hyperlink ref="AB442" r:id="rId426" display="https://www.jivi.com.ar/ficha.php?id=1456"/>
    <hyperlink ref="AB373" r:id="rId427" display="https://www.jivi.com.ar/ficha.php?id=1707"/>
    <hyperlink ref="AB374" r:id="rId428" display="https://www.jivi.com.ar/ficha.php?id=1708"/>
    <hyperlink ref="AB565" r:id="rId429" display="https://www.jivi.com.ar/ficha.php?id=1722"/>
    <hyperlink ref="AB14" r:id="rId430" display="https://www.jivi.com.ar/ficha.php?id=1723"/>
    <hyperlink ref="AB200" r:id="rId431"/>
    <hyperlink ref="AB196" r:id="rId432"/>
    <hyperlink ref="AB198" r:id="rId433"/>
    <hyperlink ref="AB197" r:id="rId434"/>
    <hyperlink ref="AB199" r:id="rId435"/>
    <hyperlink ref="AB195" r:id="rId436"/>
    <hyperlink ref="AB698" r:id="rId437"/>
    <hyperlink ref="AB700" r:id="rId438"/>
    <hyperlink ref="AB725" r:id="rId439"/>
    <hyperlink ref="AB656" r:id="rId440" display="https://www.jivi.com.ar/ficha.php?id=1575"/>
    <hyperlink ref="AB651" r:id="rId441" display="https://www.jivi.com.ar/ficha.php?id=1743"/>
    <hyperlink ref="AB652" r:id="rId442" display="https://www.jivi.com.ar/ficha.php?id=1744"/>
    <hyperlink ref="AB653" r:id="rId443" display="https://www.jivi.com.ar/ficha.php?id=1745"/>
    <hyperlink ref="AB620" r:id="rId444" display="https://www.jivi.com.ar/ficha.php?id=1746"/>
    <hyperlink ref="AB695" r:id="rId445"/>
    <hyperlink ref="AB563" r:id="rId446"/>
    <hyperlink ref="AB564" r:id="rId447" display="https://www.jivi.com.ar/ficha.php?id=1749"/>
    <hyperlink ref="AB609" r:id="rId448"/>
    <hyperlink ref="AB748" r:id="rId449"/>
    <hyperlink ref="AB446" r:id="rId450"/>
    <hyperlink ref="AB310" r:id="rId451" display="https://www.jivi.com.ar/ficha.php?id=1461"/>
    <hyperlink ref="AB632" r:id="rId452" display="https://www.jivi.com.ar/ficha.php?id=1776"/>
    <hyperlink ref="AB134" r:id="rId453" display="https://www.jivi.com.ar/ficha.php?id=1310"/>
    <hyperlink ref="AB516" r:id="rId454"/>
    <hyperlink ref="AB64" r:id="rId455" display="https://www.jivi.com.ar/ficha.php?id=76"/>
    <hyperlink ref="AB63" r:id="rId456"/>
    <hyperlink ref="AB61" r:id="rId457"/>
    <hyperlink ref="AB252" r:id="rId458" display="https://www.jivi.com.ar/ficha.php?id=1709"/>
    <hyperlink ref="AB666" r:id="rId459" display="https://www.jivi.com.ar/ficha.php?id=1710"/>
    <hyperlink ref="AB676" r:id="rId460"/>
    <hyperlink ref="AB680" r:id="rId461"/>
    <hyperlink ref="AB682" r:id="rId462"/>
    <hyperlink ref="AB616" r:id="rId463" display="https://www.jivi.com.ar/ficha.php?id=1293"/>
    <hyperlink ref="AB278" r:id="rId464" display="https://www.jivi.com.ar/ficha.php?id=1340"/>
    <hyperlink ref="AB282" r:id="rId465" display="https://www.jivi.com.ar/ficha.php?id=1265"/>
    <hyperlink ref="AB271" r:id="rId466" display="https://www.jivi.com.ar/ficha.php?id=1487"/>
    <hyperlink ref="AB125" r:id="rId467"/>
    <hyperlink ref="AB130" r:id="rId468"/>
    <hyperlink ref="AB126" r:id="rId469"/>
    <hyperlink ref="AB131" r:id="rId470"/>
    <hyperlink ref="AB315" r:id="rId471" display="https://www.jivi.com.ar/ficha.php?id=1447"/>
    <hyperlink ref="AB383" r:id="rId472" display="https://www.jivi.com.ar/ficha.php?id=1087"/>
    <hyperlink ref="AB518" r:id="rId473"/>
    <hyperlink ref="AB138" r:id="rId474" display="https://www.jivi.com.ar/ficha.php?id=1451"/>
    <hyperlink ref="AB275" r:id="rId475"/>
    <hyperlink ref="AB377" r:id="rId476" display="https://www.jivi.com.ar/ficha.php?id=1805"/>
    <hyperlink ref="AB342" r:id="rId477" display="https://www.jivi.com.ar/ficha.php?id=1342"/>
    <hyperlink ref="AB384" r:id="rId478" display="https://www.jivi.com.ar/ficha.php?id=1070"/>
    <hyperlink ref="AB387" r:id="rId479"/>
    <hyperlink ref="AB454" r:id="rId480" display="https://www.jivi.com.ar/ficha.php?id=1597"/>
    <hyperlink ref="AB389" r:id="rId481" display="https://www.jivi.com.ar/ficha.php?id=1131"/>
    <hyperlink ref="AB298" r:id="rId482" display="https://www.jivi.com.ar/ficha.php?id=1774"/>
    <hyperlink ref="AB432" r:id="rId483" display="https://www.jivi.com.ar/ficha.php?id=1820"/>
    <hyperlink ref="AB256" r:id="rId484" display="https://www.jivi.com.ar/ficha.php?id=1544"/>
    <hyperlink ref="AB261" r:id="rId485" display="https://www.jivi.com.ar/ficha.php?id=1533"/>
    <hyperlink ref="AF10:AH10" location="'Artículos Publicitarios'!A101" display="IR A PAGINA 2"/>
    <hyperlink ref="AB633" r:id="rId486" display="https://www.jivi.com.ar/ficha.php?id=1556"/>
    <hyperlink ref="AB654" r:id="rId487" display="https://www.jivi.com.ar/ficha.php?id=1825"/>
    <hyperlink ref="AB288" r:id="rId488" display="https://www.jivi.com.ar/ficha.php?id=1491"/>
    <hyperlink ref="AB202" r:id="rId489" display="https://www.jivi.com.ar/ficha.php?id=149"/>
    <hyperlink ref="AB300" r:id="rId490" display="https://www.jivi.com.ar/ficha.php?id=1594"/>
    <hyperlink ref="AB444" r:id="rId491"/>
    <hyperlink ref="AB209" r:id="rId492" display="https://www.jivi.com.ar/ficha.php?id=1799"/>
    <hyperlink ref="AB743" r:id="rId493"/>
    <hyperlink ref="AB744" r:id="rId494"/>
    <hyperlink ref="AB285" r:id="rId495" display="https://www.jivi.com.ar/ficha.php?id=1077"/>
    <hyperlink ref="AB365" r:id="rId496"/>
    <hyperlink ref="AB663" r:id="rId497" display="https://www.jivi.com.ar/ficha.php?id=1616"/>
    <hyperlink ref="AB266" r:id="rId498" display="https://www.jivi.com.ar/ficha.php?id=1520"/>
    <hyperlink ref="AB276" r:id="rId499"/>
    <hyperlink ref="AB322" r:id="rId500" display="https://www.jivi.com.ar/ficha.php?id=1443"/>
    <hyperlink ref="AB137" r:id="rId501" display="https://www.jivi.com.ar/ficha.php?id=1055"/>
    <hyperlink ref="AB699" r:id="rId502"/>
    <hyperlink ref="AB258" r:id="rId503" display="https://www.jivi.com.ar/ficha.php?id=1530"/>
    <hyperlink ref="AB416" r:id="rId504" display="https://www.jivi.com.ar/ficha.php?id=1379"/>
    <hyperlink ref="AB415" r:id="rId505" display="https://www.jivi.com.ar/ficha.php?id=1380"/>
    <hyperlink ref="AB378" r:id="rId506" display="https://www.jivi.com.ar/ficha.php?id=1840"/>
    <hyperlink ref="AB601" r:id="rId507" display="https://www.jivi.com.ar/ficha.php?id=1371"/>
    <hyperlink ref="AB681" r:id="rId508"/>
    <hyperlink ref="AB622" r:id="rId509" display="https://www.jivi.com.ar/ficha.php?id=1579"/>
    <hyperlink ref="AB603" r:id="rId510" display="https://www.jivi.com.ar/ficha.php?id=1911"/>
    <hyperlink ref="AB605" r:id="rId511" display="https://www.jivi.com.ar/ficha.php?id=1916"/>
    <hyperlink ref="AB604" r:id="rId512" display="https://www.jivi.com.ar/ficha.php?id=1912"/>
    <hyperlink ref="AF599:AH599" location="'Artículos Publicitarios'!A3" display="IR A PAGINA 1"/>
    <hyperlink ref="AF15:AI15" location="'Artículos Publicitarios'!A502" display="IR A PAGINA 7"/>
    <hyperlink ref="AF16:AI16" location="'Artículos Publicitarios'!A584" display="IR A PAGINA 8"/>
    <hyperlink ref="AB429" r:id="rId513" display="https://www.jivi.com.ar/ficha.php?id=1386"/>
    <hyperlink ref="AB401" r:id="rId514" display="https://www.jivi.com.ar/ficha.php?id=1566"/>
    <hyperlink ref="AB253" r:id="rId515" display="https://www.jivi.com.ar/ficha.php?id=1998"/>
    <hyperlink ref="AB289" r:id="rId516" display="https://www.jivi.com.ar/ficha.php?id=1411"/>
    <hyperlink ref="AB637" r:id="rId517" display="https://www.jivi.com.ar/ficha.php?id=1601"/>
    <hyperlink ref="AB621" r:id="rId518" display="https://www.jivi.com.ar/ficha.php?id=1577"/>
    <hyperlink ref="AB617" r:id="rId519" display="https://www.jivi.com.ar/ficha.php?id=1245"/>
    <hyperlink ref="AB647" r:id="rId520" display="https://www.jivi.com.ar/ficha.php?id=2003"/>
    <hyperlink ref="AB262" r:id="rId521" display="https://www.jivi.com.ar/ficha.php?id=2007"/>
    <hyperlink ref="AB496" r:id="rId522"/>
    <hyperlink ref="AB435" r:id="rId523" display="https://www.jivi.com.ar/ficha.php?id=1720"/>
    <hyperlink ref="AB523" r:id="rId524"/>
    <hyperlink ref="AB255" r:id="rId525" display="https://www.jivi.com.ar/ficha.php?id=2011"/>
    <hyperlink ref="AB382" r:id="rId526"/>
    <hyperlink ref="AB610" r:id="rId527" display="https://www.jivi.com.ar/ficha.php?id=2014"/>
    <hyperlink ref="AB434" r:id="rId528" display="https://www.jivi.com.ar/ficha.php?id=2017"/>
    <hyperlink ref="AB449" r:id="rId529" display="https://www.jivi.com.ar/ficha.php?id=2018"/>
    <hyperlink ref="AB277" r:id="rId530" display="https://www.jivi.com.ar/ficha.php?id=1339"/>
    <hyperlink ref="AB297" r:id="rId531" display="https://www.jivi.com.ar/ficha.php?id=2026"/>
    <hyperlink ref="AB244" r:id="rId532" display="https://www.jivi.com.ar/ficha.php?id=335"/>
    <hyperlink ref="AB501" r:id="rId533"/>
    <hyperlink ref="AB502" r:id="rId534"/>
    <hyperlink ref="AB667" r:id="rId535" display="https://www.jivi.com.ar/ficha.php?id=2040"/>
    <hyperlink ref="AB739" r:id="rId536" display="https://www.jivi.com.ar/ficha.php?id=1662"/>
    <hyperlink ref="AB724" r:id="rId537" display="https://www.jivi.com.ar/ficha.php?id=2042"/>
    <hyperlink ref="AB534" r:id="rId538"/>
    <hyperlink ref="AB535" r:id="rId539"/>
    <hyperlink ref="AB538" r:id="rId540"/>
    <hyperlink ref="AF479:AH479" location="'Artículos Publicitarios'!A3" display="IR A PAGINA 1"/>
    <hyperlink ref="AB441" r:id="rId541" display="https://www.jivi.com.ar/ficha.php?id=1390"/>
    <hyperlink ref="AB409" r:id="rId542" display="https://www.jivi.com.ar/ficha.php?id=1280"/>
    <hyperlink ref="AB408" r:id="rId543" display="https://www.jivi.com.ar/ficha.php?id=1278"/>
    <hyperlink ref="AB279" r:id="rId544" display="https://www.jivi.com.ar/ficha.php?id=1256"/>
    <hyperlink ref="AB323" r:id="rId545" display="https://www.jivi.com.ar/ficha.php?id=1410"/>
    <hyperlink ref="AB329" r:id="rId546" display="https://www.jivi.com.ar/articulos.php?search=1066"/>
    <hyperlink ref="AB17" r:id="rId547" display="https://www.jivi.com.ar/ficha.php?id=1433"/>
    <hyperlink ref="AB180" r:id="rId548" display="https://www.jivi.com.ar/ficha.php?id=1416"/>
    <hyperlink ref="AB646" r:id="rId549" display="https://www.jivi.com.ar/ficha.php?id=2051"/>
    <hyperlink ref="AB173" r:id="rId550" display="https://www.jivi.com.ar/ficha.php?id=2052"/>
    <hyperlink ref="AB431" r:id="rId551"/>
    <hyperlink ref="AB267" r:id="rId552" display="https://www.jivi.com.ar/ficha.php?id=2058"/>
    <hyperlink ref="AB250" r:id="rId553" display="https://www.jivi.com.ar/ficha.php?id=971"/>
    <hyperlink ref="AB249" r:id="rId554" display="https://www.jivi.com.ar/ficha.php?id=2059"/>
    <hyperlink ref="AB738" r:id="rId555" display="https://www.jivi.com.ar/ficha.php?id=2060"/>
    <hyperlink ref="AB718" r:id="rId556" display="https://www.jivi.com.ar/ficha.php?id=2061"/>
    <hyperlink ref="AB734" r:id="rId557" display="https://www.jivi.com.ar/ficha.php?id=2062"/>
    <hyperlink ref="AB175" r:id="rId558" display="https://www.jivi.com.ar/ficha.php?id=2337"/>
    <hyperlink ref="AB205" r:id="rId559" display="https://www.jivi.com.ar/ficha.php?id=1391"/>
    <hyperlink ref="AB206" r:id="rId560" display="https://www.jivi.com.ar/ficha.php?id=2066"/>
    <hyperlink ref="AB450" r:id="rId561" display="https://www.jivi.com.ar/ficha.php?id=2067"/>
    <hyperlink ref="AB451" r:id="rId562" display="https://www.jivi.com.ar/ficha.php?id=2068"/>
    <hyperlink ref="AB608" r:id="rId563" display="https://www.jivi.com.ar/ficha.php?id=1295"/>
    <hyperlink ref="AB670" r:id="rId564" display="https://www.jivi.com.ar/ficha.php?id=2069"/>
    <hyperlink ref="AB645" r:id="rId565" display="https://www.jivi.com.ar/ficha.php?id=2070"/>
    <hyperlink ref="AB602" r:id="rId566" display="https://www.jivi.com.ar/ficha.php?id=2083"/>
    <hyperlink ref="AB177" r:id="rId567" display="https://www.jivi.com.ar/ficha.php?id=1266"/>
    <hyperlink ref="AB182" r:id="rId568" display="https://www.jivi.com.ar/ficha.php?id=2084"/>
    <hyperlink ref="AB183" r:id="rId569" display="https://www.jivi.com.ar/ficha.php?id=1001"/>
    <hyperlink ref="AB102" r:id="rId570" display="https://www.jivi.com.ar/ficha.php?id=333"/>
    <hyperlink ref="AB453" r:id="rId571" display="https://www.jivi.com.ar/ficha.php?id=1512"/>
    <hyperlink ref="AB381" r:id="rId572" display="https://www.jivi.com.ar/ficha.php?id=1299"/>
    <hyperlink ref="AB668" r:id="rId573" display="https://www.jivi.com.ar/ficha.php?id=2097"/>
    <hyperlink ref="AB455" r:id="rId574" display="https://www.jivi.com.ar/ficha.php?id=2101"/>
    <hyperlink ref="AB539" r:id="rId575"/>
    <hyperlink ref="AB540" r:id="rId576"/>
    <hyperlink ref="AB179" r:id="rId577" display="https://www.jivi.com.ar/ficha.php?id=2142"/>
    <hyperlink ref="AB268" r:id="rId578" display="https://www.jivi.com.ar/ficha.php?id=2147"/>
    <hyperlink ref="AB269" r:id="rId579" display="https://www.jivi.com.ar/ficha.php?id=2146"/>
    <hyperlink ref="AB345" r:id="rId580" display="https://www.jivi.com.ar/ficha.php?id=1403"/>
    <hyperlink ref="AF18:AJ18" location="'Artículos Publicitarios'!A318" display="IR A BOTELLAS Y JARROS"/>
    <hyperlink ref="AB497" r:id="rId581"/>
    <hyperlink ref="AB498" r:id="rId582"/>
    <hyperlink ref="AB499" r:id="rId583"/>
    <hyperlink ref="AB325" r:id="rId584" display="https://www.jivi.com.ar/ficha.php?id=2178"/>
    <hyperlink ref="AB11" r:id="rId585" display="https://www.jivi.com.ar/ficha.php?id=2105"/>
    <hyperlink ref="AB296" r:id="rId586" display="https://www.jivi.com.ar/ficha.php?id=2224"/>
    <hyperlink ref="AB406" r:id="rId587" display="https://www.jivi.com.ar/ficha.php?id=1279"/>
    <hyperlink ref="AB508" r:id="rId588"/>
    <hyperlink ref="AB644" r:id="rId589" display="https://www.jivi.com.ar/ficha.php?id=2231"/>
    <hyperlink ref="AB618" r:id="rId590" display="https://www.jivi.com.ar/ficha.php?id=2230"/>
    <hyperlink ref="AB577" r:id="rId591" display="https://www.jivi.com.ar/ficha.php?id=1435"/>
    <hyperlink ref="AB314" r:id="rId592" display="https://www.jivi.com.ar/ficha.php?id=2227"/>
    <hyperlink ref="AB295" r:id="rId593" display="https://www.jivi.com.ar/ficha.php?id=2225"/>
    <hyperlink ref="AB62" r:id="rId594"/>
    <hyperlink ref="AB412" r:id="rId595"/>
    <hyperlink ref="AB15" r:id="rId596" display="https://www.jivi.com.ar/ficha.php?id=2222"/>
    <hyperlink ref="AB226" r:id="rId597" display="https://www.jivi.com.ar/ficha.php?id=2226"/>
    <hyperlink ref="AB677" r:id="rId598"/>
    <hyperlink ref="AB119" r:id="rId599"/>
    <hyperlink ref="AB120" r:id="rId600"/>
    <hyperlink ref="AB121" r:id="rId601"/>
    <hyperlink ref="AB109" r:id="rId602" display="https://www.jivi.com.ar/ficha.php?id=2208"/>
    <hyperlink ref="AB110" r:id="rId603"/>
    <hyperlink ref="AB111" r:id="rId604" display="https://www.jivi.com.ar/ficha.php?id=2210"/>
    <hyperlink ref="AB112" r:id="rId605"/>
    <hyperlink ref="AB113" r:id="rId606" display="https://www.jivi.com.ar/ficha.php?id=2212"/>
    <hyperlink ref="AB114" r:id="rId607"/>
    <hyperlink ref="AB115" r:id="rId608" display="https://www.jivi.com.ar/ficha.php?id=2214"/>
    <hyperlink ref="AB117" r:id="rId609" display="https://www.jivi.com.ar/ficha.php?id=2215"/>
    <hyperlink ref="AB118" r:id="rId610"/>
    <hyperlink ref="AB248" r:id="rId611" display="https://www.jivi.com.ar/ficha.php?id=2233"/>
    <hyperlink ref="AB660" r:id="rId612" display="https://www.jivi.com.ar/ficha.php?id=2234"/>
    <hyperlink ref="AB16" r:id="rId613" display="https://www.jivi.com.ar/ficha.php?id=1251"/>
    <hyperlink ref="AB216" r:id="rId614" display="https://www.jivi.com.ar/ficha.php?id=2266"/>
    <hyperlink ref="AB488" r:id="rId615"/>
    <hyperlink ref="AB490" r:id="rId616"/>
    <hyperlink ref="AB493" r:id="rId617"/>
    <hyperlink ref="AB334" r:id="rId618" display="https://www.jivi.com.ar/ficha.php?id=2272"/>
    <hyperlink ref="AB294" r:id="rId619" display="https://www.jivi.com.ar/ficha.php?id=2273"/>
    <hyperlink ref="AB328" r:id="rId620" display="https://www.jivi.com.ar/ficha.php?id=2274"/>
    <hyperlink ref="AB612" r:id="rId621" display="https://www.jivi.com.ar/ficha.php?id=1140"/>
    <hyperlink ref="AB491" r:id="rId622"/>
    <hyperlink ref="AB495" r:id="rId623"/>
    <hyperlink ref="AB489" r:id="rId624"/>
    <hyperlink ref="AB486" r:id="rId625"/>
    <hyperlink ref="AB494" r:id="rId626"/>
    <hyperlink ref="AB740" r:id="rId627" display="https://www.jivi.com.ar/ficha.php?id=2278"/>
    <hyperlink ref="AB737" r:id="rId628" display="https://www.jivi.com.ar/ficha.php?id=2279"/>
    <hyperlink ref="AB333" r:id="rId629" display="https://www.jivi.com.ar/ficha.php?id=2281"/>
    <hyperlink ref="AB340" r:id="rId630" display="https://www.jivi.com.ar/ficha.php?id=1445"/>
    <hyperlink ref="AB292" r:id="rId631" display="https://www.jivi.com.ar/ficha.php?id=2286"/>
    <hyperlink ref="AB330" r:id="rId632" display="https://www.jivi.com.ar/ficha.php?id=2287"/>
    <hyperlink ref="AB331" r:id="rId633" display="https://www.jivi.com.ar/ficha.php?id=2288"/>
    <hyperlink ref="AB669" r:id="rId634" display="https://www.jivi.com.ar/ficha.php?id=2289"/>
    <hyperlink ref="AB326" r:id="rId635" display="https://www.jivi.com.ar/ficha.php?id=2290"/>
    <hyperlink ref="AB394" r:id="rId636"/>
    <hyperlink ref="AB172" r:id="rId637" display="https://www.jivi.com.ar/ficha.php?id=2055"/>
    <hyperlink ref="AB224" r:id="rId638"/>
    <hyperlink ref="AB293" r:id="rId639" display="https://www.jivi.com.ar/ficha.php?id=2294"/>
    <hyperlink ref="AB291" r:id="rId640" display="https://www.jivi.com.ar/ficha.php?id=2295"/>
    <hyperlink ref="AB657" r:id="rId641" display="https://www.jivi.com.ar/ficha.php?id=2296"/>
    <hyperlink ref="AB658" r:id="rId642" display="https://www.jivi.com.ar/ficha.php?id=2297"/>
    <hyperlink ref="AB659" r:id="rId643" display="https://www.jivi.com.ar/ficha.php?id=2298"/>
    <hyperlink ref="AB661" r:id="rId644" display="https://www.jivi.com.ar/ficha.php?id=2299"/>
    <hyperlink ref="AB662" r:id="rId645" display="https://www.jivi.com.ar/ficha.php?id=2300"/>
    <hyperlink ref="AB607" r:id="rId646"/>
    <hyperlink ref="AF641:AH641" location="'Artículos Publicitarios'!A3" display="IR A PAGINA 1"/>
    <hyperlink ref="AF29:AH29" location="'Artículos Publicitarios'!A427" display="IR A BOLIGRAFOS"/>
    <hyperlink ref="AF29:AI29" location="'Artículos Publicitarios'!A128" display="IR A LLAVEROS DE CUERO"/>
    <hyperlink ref="AF29:AJ29" location="'Artículos Publicitarios'!A482" display="IR A PELOTITAS ANTIESTRES"/>
    <hyperlink ref="AB678" r:id="rId647"/>
    <hyperlink ref="AB215" r:id="rId648" display="https://www.jivi.com.ar/ficha.php?id=1319"/>
    <hyperlink ref="AB457" r:id="rId649" display="https://www.jivi.com.ar/ficha.php?id=2306"/>
    <hyperlink ref="AB458" r:id="rId650" display="https://www.jivi.com.ar/ficha.php?id=2307"/>
    <hyperlink ref="AB459" r:id="rId651" display="https://www.jivi.com.ar/ficha.php?id=2308"/>
    <hyperlink ref="AB460" r:id="rId652" display="https://www.jivi.com.ar/ficha.php?id=2309"/>
    <hyperlink ref="AB461" r:id="rId653" display="https://www.jivi.com.ar/ficha.php?id=2312"/>
    <hyperlink ref="AB462" r:id="rId654" display="https://www.jivi.com.ar/ficha.php?id=2310"/>
    <hyperlink ref="AB463" r:id="rId655" display="https://www.jivi.com.ar/ficha.php?id=2313"/>
    <hyperlink ref="AB65" r:id="rId656"/>
    <hyperlink ref="AB341" r:id="rId657" display="https://jivi.com.ar/ficha.php?id=648"/>
    <hyperlink ref="AB25" r:id="rId658" display="https://www.jivi.com.ar/ficha.php?id=2327"/>
    <hyperlink ref="AB116" r:id="rId659"/>
    <hyperlink ref="AB176" r:id="rId660" display="https://www.jivi.com.ar/ficha.php?id=1369"/>
    <hyperlink ref="AB562" r:id="rId661" display="https://www.jivi.com.ar/ficha.php?id=2338"/>
    <hyperlink ref="AB452" r:id="rId662" display="https://www.jivi.com.ar/ficha.php?id=2340"/>
    <hyperlink ref="AB212" r:id="rId663" display="https://www.jivi.com.ar/ficha.php?id=2341"/>
    <hyperlink ref="AB464" r:id="rId664" display="https://www.jivi.com.ar/ficha.php?id=2343"/>
    <hyperlink ref="AB466" r:id="rId665" display="https://www.jivi.com.ar/ficha.php?id=2344"/>
    <hyperlink ref="AF30:AH30" location="'Artículos Publicitarios'!A427" display="IR A BOLIGRAFOS"/>
    <hyperlink ref="AF30:AI30" location="'Artículos Publicitarios'!A128" display="IR A LLAVEROS DE CUERO"/>
    <hyperlink ref="AF30:AJ30" location="'Artículos Publicitarios'!A491" display="IR A PULSERAS"/>
    <hyperlink ref="AB210" r:id="rId666" display="https://www.jivi.com.ar/ficha.php?id=2342"/>
    <hyperlink ref="AB211" r:id="rId667" display="https://www.jivi.com.ar/ficha.php?id=2346"/>
    <hyperlink ref="AB475" r:id="rId668" display="https://www.jivi.com.ar/ficha.php?id=2350"/>
    <hyperlink ref="AB468" r:id="rId669" display="https://www.jivi.com.ar/ficha.php?id=2345"/>
    <hyperlink ref="AB233" r:id="rId670" display="https://www.jivi.com.ar/ficha.php?id=150"/>
    <hyperlink ref="AF722:AH722" location="'Artículos Publicitarios'!A3" display="IR A PAGINA 1"/>
    <hyperlink ref="AB445" r:id="rId671" display="https://www.jivi.com.ar/ficha.php?id=1466"/>
    <hyperlink ref="AB167" r:id="rId672" display="https://www.jivi.com.ar/ficha.php?id=1261"/>
    <hyperlink ref="AB58" r:id="rId673" display="https://www.jivi.com.ar/ficha.php?id=236"/>
    <hyperlink ref="AB625" r:id="rId674" display="https://www.jivi.com.ar/ficha.php?id=1613"/>
  </hyperlinks>
  <pageMargins left="0.27559055118110237" right="0.11811023622047245" top="0.19685039370078741" bottom="0.15748031496062992" header="0.11811023622047245" footer="0.15748031496062992"/>
  <pageSetup paperSize="5" orientation="portrait" copies="5" r:id="rId675"/>
  <headerFooter alignWithMargins="0"/>
  <cellWatches>
    <cellWatch r="X8"/>
  </cellWatches>
  <ignoredErrors>
    <ignoredError sqref="AB695 AB741:AB742 AB735 AB724 AB725 AB736" numberStoredAsText="1"/>
    <ignoredError sqref="X690 C26:E26 A207:E207 A103:E104 H396:Q396 C27:E27 H701:L703 G286 G316:W316 U30 S38:S39 S35 U35 U38:U39 S41 U41 S47 U47 F545:T545 W541 G368:G370 V92:W93 F82:I89 F91:I91 F90:I90 Q105 I59 U105 S105 J81:J91 B281:E281 H367:J370 G81:I81 H385:J385 H94:W94 J10:K10 X221:X223 J12:K12 X11 F543 H139 O107:O108 S107:S108 Q107:Q108 U107:U108 X469 G280:G281 V27:V28 S30 H30:M30 H28:I28 G375:J376 G390:J390 H388:J388 G311:G312 O30 Q30 H29 I192:M192 I191:M191 I190:M190 I193:M193 H190:H193 P232:W232 P231 I13 G272:G275 G304:G309 H378:K378 K360:K362 G363:K364 K366:K370 Q371 R371:W371 W195 G301:G302 N95:W95 G263:G264 G379:K380 G435:G438 G441 G290 H20:T20 G174 F454:G454 G353:H353 I347:V347 B619:E619 B628:E628 C626:E626 C627:E627 G455 W64 W56 H23:V24 H26:J26 G515 H95:I95 I134:V134 W187 H196:K200 H195:K195 G195:G200 N190:V193 G194:V194 I346 K346 K381:K382 G371:P371 G541:G544 G533:G538 G605 G602:H604 B620:E620 B621:E621 B622:E622 B623:E623 I602:V602 I611 G601:I601 L619:V619 L611:V611 W695 W698 H695:V698 G700:V700 F724:G724 O704:V712 H749:T753 F748:G749 H741:V748 H18:H19 H21:W22 K26:T26 W52 G51:V51 G617:I617 B624:E624 G725 H14:V14 H17:T17 G679:V679 H618:I619 G676:V676 I677:V677 H61:I61 I62:K62 I137:V139 O135 M135 Q135 S135 U135 I135:K136 G344 I133:Q133 G335 H246:V246 H151:O152 Q151:W152 H15:T15 H161:S161 F332:G332 K407:K413 H608:H611 N612:Y612 L499:V499 G469:G470 G738:V739 H737:V737 G740:W740 G734:V736 G333 K601:V601 I608:V610 I606 K606:V606 H613:V616 K617:V618 G341 W295 G294 H149:W150 I348:K359 G95:G98 F155:V155 G251:G257 F406:K406 G424:G430 H446:W446 H448:W451 J447:W447 H497:V498 J495:V495 H515:V527 H532:V543 J531:V531 J544:V544 H594:S594 I603:K605 N605:V605 H699:Q699 G750:G753 H605:H606 G457:M457 N457:V461 H476:V476 N607:V607 H659:V669 H486:V486 K657:V658 J678:V678 G681:V682 G680 I680:V680 G684:V686 G683 I683:V683 H733:V733 P463:W463 H63:I63 G321 H25:I25 L25:W25 F506:G506 G500:V502 G631:G636 G732:V732 G205:W209 G452:V452 H529:V530 H528:M528 H562:V593 H645:V654 O232 I445:V445 H64:V69 G637:V637 H670:W670 M462:V462 J59:K61 J52:V57 L59:W62 K63:W63 G70:W70 K29:V29 L10:V13 G52:I55 G100:G104 H98:V104 H97:I97 H96:V96 K97:W97 K95:M95 H153:V154 H188:U189 G201:K204 H168:I169 H171:V187 G213:W214 H210:W212 W221:W222 H219:V220 H218:M218 H216:W217 F216:G220 F215:W215 N218:W218 F221:V224 F225:F230 J225:V230 G225:I232 J231:N232 J241:V245 U248:V261 I247 K247 M247:V247 U263:V268 V271:V289 H248:T289 H290:V297 W291 H300:V306 H307:S307 U307 W332 H724:V730 L195:V204 G233:V235 H308:V315 G298:V299 G402:K405 H429:W444 U469:V470 H469:T474 L345:W346 L348:V370 K384:K394 K372:V376 L377:V394 V395 H414:K428 L401:V428 W344 H321:V344 H453:W455 H456:V456 K377 I481:V484 H488:V494 H487:U487 H496:U496 V496:AA496 G503:M503 G504:M504 G505:M505 O503 Q503 S503 U503 G507:I508 J506:V508 N603:U603 N604:Q604 G626:G628 H632:V636 H631:M631 G655:V656 H626:V630 F718:V718 K395:T395 I56:I57 L58:V58 H27:J27 K27:T28 H620:V624 G619:G624 M625:V625 H644:V644 H643:V643" formula="1"/>
    <ignoredError sqref="G386" evalError="1"/>
    <ignoredError sqref="H386:J386" evalError="1" formula="1"/>
  </ignoredErrors>
  <drawing r:id="rId676"/>
  <legacyDrawing r:id="rId67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Artículos Publicitarios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2025-09-19T18:39:19Z</cp:lastPrinted>
  <dcterms:created xsi:type="dcterms:W3CDTF">2003-01-03T20:20:32Z</dcterms:created>
  <dcterms:modified xsi:type="dcterms:W3CDTF">2025-09-19T19:06:01Z</dcterms:modified>
</cp:coreProperties>
</file>