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5" i="1" l="1"/>
  <c r="F444" i="1"/>
  <c r="F441" i="1"/>
  <c r="F440" i="1"/>
  <c r="F351" i="1"/>
  <c r="F424" i="1"/>
  <c r="F453" i="1"/>
  <c r="F438" i="1"/>
  <c r="L641" i="1" l="1"/>
  <c r="M641" i="1" s="1"/>
  <c r="V641" i="1"/>
  <c r="W641" i="1" s="1"/>
  <c r="T641" i="1"/>
  <c r="U641" i="1" s="1"/>
  <c r="R641" i="1"/>
  <c r="S641" i="1" s="1"/>
  <c r="P641" i="1"/>
  <c r="Q641" i="1" s="1"/>
  <c r="N641" i="1"/>
  <c r="O641" i="1" s="1"/>
  <c r="G641" i="1"/>
  <c r="F275" i="1"/>
  <c r="F290" i="1"/>
  <c r="L290" i="1" s="1"/>
  <c r="V290" i="1" l="1"/>
  <c r="W290" i="1" s="1"/>
  <c r="H290" i="1"/>
  <c r="J290" i="1"/>
  <c r="G290" i="1"/>
  <c r="I290" i="1"/>
  <c r="T290" i="1"/>
  <c r="U290" i="1" s="1"/>
  <c r="M290" i="1"/>
  <c r="N290" i="1"/>
  <c r="O290" i="1" s="1"/>
  <c r="P290" i="1"/>
  <c r="Q290" i="1" s="1"/>
  <c r="R290" i="1"/>
  <c r="S290" i="1" s="1"/>
  <c r="K290" i="1"/>
  <c r="F280" i="1" l="1"/>
  <c r="V280" i="1" s="1"/>
  <c r="W280" i="1" s="1"/>
  <c r="T280" i="1" l="1"/>
  <c r="U280" i="1" s="1"/>
  <c r="L280" i="1"/>
  <c r="M280" i="1" s="1"/>
  <c r="N280" i="1"/>
  <c r="O280" i="1" s="1"/>
  <c r="P280" i="1"/>
  <c r="Q280" i="1" s="1"/>
  <c r="R280" i="1"/>
  <c r="S280" i="1" s="1"/>
  <c r="H280" i="1"/>
  <c r="I280" i="1" s="1"/>
  <c r="G280" i="1"/>
  <c r="J280" i="1"/>
  <c r="K280" i="1" s="1"/>
  <c r="F173" i="1" l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G314" i="1"/>
  <c r="F582" i="1" l="1"/>
  <c r="P582" i="1" s="1"/>
  <c r="Q582" i="1" s="1"/>
  <c r="F586" i="1"/>
  <c r="V586" i="1" s="1"/>
  <c r="W586" i="1" s="1"/>
  <c r="F585" i="1"/>
  <c r="V585" i="1" s="1"/>
  <c r="W585" i="1" s="1"/>
  <c r="F584" i="1"/>
  <c r="F583" i="1"/>
  <c r="R582" i="1" l="1"/>
  <c r="S582" i="1" s="1"/>
  <c r="G582" i="1"/>
  <c r="H582" i="1"/>
  <c r="I582" i="1" s="1"/>
  <c r="T582" i="1"/>
  <c r="U582" i="1" s="1"/>
  <c r="J582" i="1"/>
  <c r="K582" i="1" s="1"/>
  <c r="V582" i="1"/>
  <c r="W582" i="1" s="1"/>
  <c r="L582" i="1"/>
  <c r="M582" i="1" s="1"/>
  <c r="N582" i="1"/>
  <c r="O582" i="1" s="1"/>
  <c r="J585" i="1"/>
  <c r="K585" i="1" s="1"/>
  <c r="N585" i="1"/>
  <c r="O585" i="1" s="1"/>
  <c r="L585" i="1"/>
  <c r="M585" i="1" s="1"/>
  <c r="P585" i="1"/>
  <c r="Q585" i="1" s="1"/>
  <c r="R585" i="1"/>
  <c r="S585" i="1" s="1"/>
  <c r="G585" i="1"/>
  <c r="N586" i="1"/>
  <c r="O586" i="1" s="1"/>
  <c r="L586" i="1"/>
  <c r="M586" i="1" s="1"/>
  <c r="H585" i="1"/>
  <c r="I585" i="1" s="1"/>
  <c r="T585" i="1"/>
  <c r="U585" i="1" s="1"/>
  <c r="P586" i="1"/>
  <c r="Q586" i="1" s="1"/>
  <c r="R586" i="1"/>
  <c r="S586" i="1" s="1"/>
  <c r="T586" i="1"/>
  <c r="U586" i="1" s="1"/>
  <c r="G586" i="1"/>
  <c r="H586" i="1"/>
  <c r="I586" i="1" s="1"/>
  <c r="J586" i="1"/>
  <c r="K586" i="1" s="1"/>
  <c r="V153" i="1" l="1"/>
  <c r="T153" i="1"/>
  <c r="R153" i="1"/>
  <c r="P153" i="1"/>
  <c r="N153" i="1"/>
  <c r="L153" i="1"/>
  <c r="J153" i="1"/>
  <c r="V152" i="1"/>
  <c r="V148" i="1"/>
  <c r="T152" i="1"/>
  <c r="T148" i="1"/>
  <c r="R152" i="1"/>
  <c r="P152" i="1"/>
  <c r="N152" i="1"/>
  <c r="L152" i="1"/>
  <c r="J152" i="1"/>
  <c r="V149" i="1"/>
  <c r="T149" i="1"/>
  <c r="R149" i="1"/>
  <c r="R148" i="1"/>
  <c r="P149" i="1"/>
  <c r="P148" i="1"/>
  <c r="N149" i="1"/>
  <c r="N148" i="1"/>
  <c r="L149" i="1"/>
  <c r="L148" i="1"/>
  <c r="J149" i="1"/>
  <c r="J148" i="1"/>
  <c r="T55" i="1"/>
  <c r="V55" i="1"/>
  <c r="R55" i="1"/>
  <c r="P55" i="1"/>
  <c r="N55" i="1"/>
  <c r="L55" i="1"/>
  <c r="J55" i="1"/>
  <c r="J54" i="1"/>
  <c r="J53" i="1"/>
  <c r="J52" i="1"/>
  <c r="J51" i="1"/>
  <c r="L54" i="1"/>
  <c r="L53" i="1"/>
  <c r="L52" i="1"/>
  <c r="L51" i="1"/>
  <c r="V54" i="1"/>
  <c r="W54" i="1" s="1"/>
  <c r="T54" i="1"/>
  <c r="U54" i="1" s="1"/>
  <c r="R54" i="1"/>
  <c r="S54" i="1" s="1"/>
  <c r="P54" i="1"/>
  <c r="Q54" i="1" s="1"/>
  <c r="N54" i="1"/>
  <c r="O54" i="1" s="1"/>
  <c r="V53" i="1"/>
  <c r="W53" i="1" s="1"/>
  <c r="T53" i="1"/>
  <c r="U53" i="1" s="1"/>
  <c r="R53" i="1"/>
  <c r="S53" i="1" s="1"/>
  <c r="P53" i="1"/>
  <c r="Q53" i="1" s="1"/>
  <c r="N53" i="1"/>
  <c r="O53" i="1" s="1"/>
  <c r="V52" i="1"/>
  <c r="W52" i="1" s="1"/>
  <c r="T52" i="1"/>
  <c r="U52" i="1" s="1"/>
  <c r="R52" i="1"/>
  <c r="S52" i="1" s="1"/>
  <c r="P52" i="1"/>
  <c r="Q52" i="1" s="1"/>
  <c r="N52" i="1"/>
  <c r="O52" i="1" s="1"/>
  <c r="T51" i="1"/>
  <c r="V51" i="1"/>
  <c r="R51" i="1"/>
  <c r="P51" i="1"/>
  <c r="N51" i="1"/>
  <c r="G53" i="1"/>
  <c r="F409" i="1" l="1"/>
  <c r="N409" i="1" s="1"/>
  <c r="O409" i="1" s="1"/>
  <c r="R592" i="1"/>
  <c r="S592" i="1" s="1"/>
  <c r="R593" i="1"/>
  <c r="S593" i="1" s="1"/>
  <c r="N593" i="1"/>
  <c r="O593" i="1" s="1"/>
  <c r="V593" i="1"/>
  <c r="W593" i="1" s="1"/>
  <c r="T409" i="1" l="1"/>
  <c r="U409" i="1" s="1"/>
  <c r="V409" i="1"/>
  <c r="W409" i="1" s="1"/>
  <c r="G409" i="1"/>
  <c r="L409" i="1"/>
  <c r="M409" i="1" s="1"/>
  <c r="P409" i="1"/>
  <c r="Q409" i="1" s="1"/>
  <c r="R409" i="1"/>
  <c r="S409" i="1" s="1"/>
  <c r="T592" i="1"/>
  <c r="U592" i="1" s="1"/>
  <c r="N592" i="1"/>
  <c r="O592" i="1" s="1"/>
  <c r="G592" i="1"/>
  <c r="H592" i="1"/>
  <c r="I592" i="1" s="1"/>
  <c r="J592" i="1"/>
  <c r="K592" i="1" s="1"/>
  <c r="V592" i="1"/>
  <c r="W592" i="1" s="1"/>
  <c r="L592" i="1"/>
  <c r="M592" i="1" s="1"/>
  <c r="P592" i="1"/>
  <c r="Q592" i="1" s="1"/>
  <c r="G593" i="1"/>
  <c r="L593" i="1"/>
  <c r="M593" i="1" s="1"/>
  <c r="P593" i="1"/>
  <c r="Q593" i="1" s="1"/>
  <c r="T593" i="1"/>
  <c r="U593" i="1" s="1"/>
  <c r="H593" i="1"/>
  <c r="I593" i="1" s="1"/>
  <c r="J593" i="1"/>
  <c r="K593" i="1" s="1"/>
  <c r="F622" i="1"/>
  <c r="F645" i="1"/>
  <c r="V645" i="1" s="1"/>
  <c r="W645" i="1" s="1"/>
  <c r="P645" i="1" l="1"/>
  <c r="Q645" i="1" s="1"/>
  <c r="R645" i="1"/>
  <c r="S645" i="1" s="1"/>
  <c r="L645" i="1"/>
  <c r="M645" i="1" s="1"/>
  <c r="N645" i="1"/>
  <c r="O645" i="1" s="1"/>
  <c r="H645" i="1"/>
  <c r="I645" i="1" s="1"/>
  <c r="T645" i="1"/>
  <c r="U645" i="1" s="1"/>
  <c r="G645" i="1"/>
  <c r="J645" i="1"/>
  <c r="K645" i="1" s="1"/>
  <c r="F614" i="1"/>
  <c r="F588" i="1" l="1"/>
  <c r="F589" i="1"/>
  <c r="F590" i="1"/>
  <c r="F591" i="1"/>
  <c r="N591" i="1"/>
  <c r="O591" i="1" s="1"/>
  <c r="V591" i="1"/>
  <c r="W591" i="1" s="1"/>
  <c r="P591" i="1"/>
  <c r="Q591" i="1" s="1"/>
  <c r="F406" i="1"/>
  <c r="F277" i="1"/>
  <c r="F276" i="1"/>
  <c r="H591" i="1" l="1"/>
  <c r="I591" i="1" s="1"/>
  <c r="J591" i="1"/>
  <c r="K591" i="1" s="1"/>
  <c r="L591" i="1"/>
  <c r="M591" i="1" s="1"/>
  <c r="R591" i="1"/>
  <c r="S591" i="1" s="1"/>
  <c r="T591" i="1"/>
  <c r="U591" i="1" s="1"/>
  <c r="G591" i="1"/>
  <c r="F232" i="1"/>
  <c r="V232" i="1" s="1"/>
  <c r="W232" i="1" s="1"/>
  <c r="J232" i="1" l="1"/>
  <c r="K232" i="1" s="1"/>
  <c r="L232" i="1"/>
  <c r="M232" i="1" s="1"/>
  <c r="N232" i="1"/>
  <c r="O232" i="1" s="1"/>
  <c r="P232" i="1"/>
  <c r="Q232" i="1" s="1"/>
  <c r="R232" i="1"/>
  <c r="S232" i="1" s="1"/>
  <c r="G232" i="1"/>
  <c r="H232" i="1"/>
  <c r="I232" i="1" s="1"/>
  <c r="T232" i="1"/>
  <c r="U232" i="1" s="1"/>
  <c r="V490" i="1"/>
  <c r="W490" i="1" s="1"/>
  <c r="T490" i="1"/>
  <c r="U490" i="1" s="1"/>
  <c r="R490" i="1"/>
  <c r="S490" i="1" s="1"/>
  <c r="P490" i="1"/>
  <c r="Q490" i="1" s="1"/>
  <c r="N490" i="1"/>
  <c r="O490" i="1" s="1"/>
  <c r="G490" i="1"/>
  <c r="V489" i="1"/>
  <c r="W489" i="1" s="1"/>
  <c r="T489" i="1"/>
  <c r="U489" i="1" s="1"/>
  <c r="R489" i="1"/>
  <c r="S489" i="1" s="1"/>
  <c r="P489" i="1"/>
  <c r="Q489" i="1" s="1"/>
  <c r="N489" i="1"/>
  <c r="O489" i="1" s="1"/>
  <c r="G489" i="1" l="1"/>
  <c r="F621" i="1" l="1"/>
  <c r="F255" i="1"/>
  <c r="F492" i="1"/>
  <c r="P492" i="1" s="1"/>
  <c r="Q492" i="1" s="1"/>
  <c r="F493" i="1"/>
  <c r="L492" i="1" l="1"/>
  <c r="M492" i="1" s="1"/>
  <c r="R492" i="1"/>
  <c r="S492" i="1" s="1"/>
  <c r="J492" i="1"/>
  <c r="K492" i="1" s="1"/>
  <c r="G492" i="1"/>
  <c r="N492" i="1"/>
  <c r="O492" i="1" s="1"/>
  <c r="H492" i="1"/>
  <c r="I492" i="1" s="1"/>
  <c r="T492" i="1"/>
  <c r="U492" i="1" s="1"/>
  <c r="F177" i="1"/>
  <c r="G177" i="1" s="1"/>
  <c r="L177" i="1" l="1"/>
  <c r="M177" i="1" s="1"/>
  <c r="N177" i="1"/>
  <c r="O177" i="1" s="1"/>
  <c r="P177" i="1"/>
  <c r="Q177" i="1" s="1"/>
  <c r="R177" i="1"/>
  <c r="S177" i="1" s="1"/>
  <c r="H177" i="1"/>
  <c r="I177" i="1" s="1"/>
  <c r="T177" i="1"/>
  <c r="U177" i="1" s="1"/>
  <c r="J177" i="1"/>
  <c r="K177" i="1" s="1"/>
  <c r="V177" i="1"/>
  <c r="W177" i="1" s="1"/>
  <c r="F642" i="1"/>
  <c r="T642" i="1" s="1"/>
  <c r="U642" i="1" s="1"/>
  <c r="V642" i="1" l="1"/>
  <c r="W642" i="1" s="1"/>
  <c r="N642" i="1"/>
  <c r="O642" i="1" s="1"/>
  <c r="P642" i="1"/>
  <c r="Q642" i="1" s="1"/>
  <c r="R642" i="1"/>
  <c r="S642" i="1" s="1"/>
  <c r="F25" i="1"/>
  <c r="F27" i="1"/>
  <c r="T26" i="1"/>
  <c r="R26" i="1"/>
  <c r="P26" i="1"/>
  <c r="N26" i="1"/>
  <c r="L26" i="1"/>
  <c r="F171" i="1" l="1"/>
  <c r="J171" i="1" s="1"/>
  <c r="K171" i="1" s="1"/>
  <c r="G171" i="1" l="1"/>
  <c r="L171" i="1"/>
  <c r="M171" i="1" s="1"/>
  <c r="N171" i="1"/>
  <c r="O171" i="1" s="1"/>
  <c r="P171" i="1"/>
  <c r="Q171" i="1" s="1"/>
  <c r="R171" i="1"/>
  <c r="S171" i="1" s="1"/>
  <c r="T171" i="1"/>
  <c r="U171" i="1" s="1"/>
  <c r="V171" i="1"/>
  <c r="W171" i="1" s="1"/>
  <c r="H171" i="1"/>
  <c r="I171" i="1" s="1"/>
  <c r="F543" i="1"/>
  <c r="V630" i="1" l="1"/>
  <c r="W630" i="1" s="1"/>
  <c r="T630" i="1"/>
  <c r="U630" i="1" s="1"/>
  <c r="R630" i="1"/>
  <c r="S630" i="1" s="1"/>
  <c r="P630" i="1"/>
  <c r="Q630" i="1" s="1"/>
  <c r="N630" i="1"/>
  <c r="O630" i="1" s="1"/>
  <c r="G630" i="1"/>
  <c r="V57" i="1" l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G57" i="1"/>
  <c r="F214" i="1" l="1"/>
  <c r="F758" i="1"/>
  <c r="F759" i="1"/>
  <c r="F760" i="1"/>
  <c r="F757" i="1"/>
  <c r="F748" i="1"/>
  <c r="F747" i="1"/>
  <c r="F743" i="1"/>
  <c r="F732" i="1"/>
  <c r="F685" i="1"/>
  <c r="F677" i="1"/>
  <c r="F676" i="1"/>
  <c r="F674" i="1"/>
  <c r="F673" i="1"/>
  <c r="F672" i="1"/>
  <c r="F671" i="1"/>
  <c r="F670" i="1"/>
  <c r="F667" i="1"/>
  <c r="F663" i="1"/>
  <c r="F662" i="1"/>
  <c r="F660" i="1"/>
  <c r="F659" i="1"/>
  <c r="F658" i="1"/>
  <c r="F657" i="1"/>
  <c r="F656" i="1"/>
  <c r="F655" i="1"/>
  <c r="F654" i="1"/>
  <c r="F652" i="1"/>
  <c r="F651" i="1"/>
  <c r="F650" i="1"/>
  <c r="F649" i="1"/>
  <c r="F647" i="1"/>
  <c r="F646" i="1"/>
  <c r="F644" i="1"/>
  <c r="F643" i="1"/>
  <c r="F635" i="1"/>
  <c r="F634" i="1"/>
  <c r="F633" i="1"/>
  <c r="F632" i="1"/>
  <c r="F631" i="1"/>
  <c r="F629" i="1"/>
  <c r="F628" i="1"/>
  <c r="F627" i="1"/>
  <c r="F626" i="1"/>
  <c r="F625" i="1"/>
  <c r="F623" i="1"/>
  <c r="F619" i="1"/>
  <c r="F618" i="1"/>
  <c r="F617" i="1"/>
  <c r="F615" i="1"/>
  <c r="F611" i="1"/>
  <c r="F610" i="1"/>
  <c r="F608" i="1"/>
  <c r="F580" i="1"/>
  <c r="F579" i="1"/>
  <c r="F578" i="1"/>
  <c r="F577" i="1"/>
  <c r="F576" i="1"/>
  <c r="F574" i="1"/>
  <c r="F566" i="1"/>
  <c r="F565" i="1"/>
  <c r="F138" i="1"/>
  <c r="F136" i="1"/>
  <c r="F137" i="1"/>
  <c r="F564" i="1" l="1"/>
  <c r="F563" i="1"/>
  <c r="F562" i="1"/>
  <c r="F561" i="1"/>
  <c r="F546" i="1"/>
  <c r="F542" i="1"/>
  <c r="F541" i="1"/>
  <c r="F520" i="1"/>
  <c r="F519" i="1"/>
  <c r="F510" i="1"/>
  <c r="R510" i="1" s="1"/>
  <c r="S510" i="1" s="1"/>
  <c r="F509" i="1"/>
  <c r="L509" i="1" s="1"/>
  <c r="M509" i="1" s="1"/>
  <c r="W514" i="1"/>
  <c r="U514" i="1"/>
  <c r="S514" i="1"/>
  <c r="Q514" i="1"/>
  <c r="O514" i="1"/>
  <c r="W513" i="1"/>
  <c r="U513" i="1"/>
  <c r="S513" i="1"/>
  <c r="Q513" i="1"/>
  <c r="O513" i="1"/>
  <c r="W507" i="1"/>
  <c r="U507" i="1"/>
  <c r="S507" i="1"/>
  <c r="Q507" i="1"/>
  <c r="O507" i="1"/>
  <c r="W506" i="1"/>
  <c r="U506" i="1"/>
  <c r="S506" i="1"/>
  <c r="Q506" i="1"/>
  <c r="O506" i="1"/>
  <c r="F502" i="1"/>
  <c r="V502" i="1" s="1"/>
  <c r="F500" i="1"/>
  <c r="F499" i="1"/>
  <c r="F498" i="1"/>
  <c r="F497" i="1"/>
  <c r="F496" i="1"/>
  <c r="F495" i="1"/>
  <c r="F494" i="1"/>
  <c r="F491" i="1"/>
  <c r="V485" i="1"/>
  <c r="T485" i="1"/>
  <c r="R485" i="1"/>
  <c r="P485" i="1"/>
  <c r="N485" i="1"/>
  <c r="L485" i="1"/>
  <c r="J485" i="1"/>
  <c r="V487" i="1"/>
  <c r="W487" i="1" s="1"/>
  <c r="T487" i="1"/>
  <c r="U487" i="1" s="1"/>
  <c r="R487" i="1"/>
  <c r="S487" i="1" s="1"/>
  <c r="P487" i="1"/>
  <c r="Q487" i="1" s="1"/>
  <c r="N487" i="1"/>
  <c r="O487" i="1" s="1"/>
  <c r="L487" i="1"/>
  <c r="M487" i="1" s="1"/>
  <c r="J487" i="1"/>
  <c r="K487" i="1" s="1"/>
  <c r="V484" i="1"/>
  <c r="T484" i="1"/>
  <c r="R484" i="1"/>
  <c r="P484" i="1"/>
  <c r="N484" i="1"/>
  <c r="L484" i="1"/>
  <c r="J484" i="1"/>
  <c r="P429" i="1"/>
  <c r="Q429" i="1" s="1"/>
  <c r="N429" i="1"/>
  <c r="O429" i="1" s="1"/>
  <c r="L429" i="1"/>
  <c r="M429" i="1" s="1"/>
  <c r="L403" i="1"/>
  <c r="M403" i="1" s="1"/>
  <c r="N403" i="1"/>
  <c r="O403" i="1" s="1"/>
  <c r="P403" i="1"/>
  <c r="Q403" i="1" s="1"/>
  <c r="R403" i="1"/>
  <c r="S403" i="1" s="1"/>
  <c r="T403" i="1"/>
  <c r="U403" i="1" s="1"/>
  <c r="L391" i="1"/>
  <c r="M391" i="1" s="1"/>
  <c r="N391" i="1"/>
  <c r="O391" i="1" s="1"/>
  <c r="P391" i="1"/>
  <c r="Q391" i="1" s="1"/>
  <c r="R391" i="1"/>
  <c r="S391" i="1" s="1"/>
  <c r="T391" i="1"/>
  <c r="U391" i="1" s="1"/>
  <c r="V391" i="1"/>
  <c r="W391" i="1" s="1"/>
  <c r="J349" i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F459" i="1"/>
  <c r="V459" i="1" s="1"/>
  <c r="W459" i="1" s="1"/>
  <c r="F458" i="1"/>
  <c r="L458" i="1" s="1"/>
  <c r="M458" i="1" s="1"/>
  <c r="F456" i="1"/>
  <c r="T456" i="1" s="1"/>
  <c r="U456" i="1" s="1"/>
  <c r="F451" i="1"/>
  <c r="F449" i="1"/>
  <c r="F448" i="1"/>
  <c r="F446" i="1"/>
  <c r="F443" i="1"/>
  <c r="F439" i="1"/>
  <c r="F436" i="1"/>
  <c r="F435" i="1"/>
  <c r="F434" i="1"/>
  <c r="F433" i="1"/>
  <c r="F432" i="1"/>
  <c r="R432" i="1" s="1"/>
  <c r="S432" i="1" s="1"/>
  <c r="F431" i="1"/>
  <c r="L431" i="1" s="1"/>
  <c r="M431" i="1" s="1"/>
  <c r="F430" i="1"/>
  <c r="T430" i="1" s="1"/>
  <c r="U430" i="1" s="1"/>
  <c r="F428" i="1"/>
  <c r="T428" i="1" s="1"/>
  <c r="U428" i="1" s="1"/>
  <c r="F426" i="1"/>
  <c r="T426" i="1" s="1"/>
  <c r="U426" i="1" s="1"/>
  <c r="N424" i="1"/>
  <c r="O424" i="1" s="1"/>
  <c r="F423" i="1"/>
  <c r="V423" i="1" s="1"/>
  <c r="W423" i="1" s="1"/>
  <c r="F422" i="1"/>
  <c r="V422" i="1" s="1"/>
  <c r="W422" i="1" s="1"/>
  <c r="F420" i="1"/>
  <c r="P420" i="1" s="1"/>
  <c r="Q420" i="1" s="1"/>
  <c r="F418" i="1"/>
  <c r="L418" i="1" s="1"/>
  <c r="M418" i="1" s="1"/>
  <c r="F416" i="1"/>
  <c r="L416" i="1" s="1"/>
  <c r="M416" i="1" s="1"/>
  <c r="F415" i="1"/>
  <c r="N415" i="1" s="1"/>
  <c r="O415" i="1" s="1"/>
  <c r="F414" i="1"/>
  <c r="N414" i="1" s="1"/>
  <c r="O414" i="1" s="1"/>
  <c r="F413" i="1"/>
  <c r="T413" i="1" s="1"/>
  <c r="U413" i="1" s="1"/>
  <c r="F412" i="1"/>
  <c r="V412" i="1" s="1"/>
  <c r="W412" i="1" s="1"/>
  <c r="F408" i="1"/>
  <c r="V408" i="1" s="1"/>
  <c r="W408" i="1" s="1"/>
  <c r="F407" i="1"/>
  <c r="N407" i="1" s="1"/>
  <c r="O407" i="1" s="1"/>
  <c r="F405" i="1"/>
  <c r="L405" i="1" s="1"/>
  <c r="M405" i="1" s="1"/>
  <c r="F404" i="1"/>
  <c r="T404" i="1" s="1"/>
  <c r="U404" i="1" s="1"/>
  <c r="F402" i="1"/>
  <c r="N402" i="1" s="1"/>
  <c r="O402" i="1" s="1"/>
  <c r="F400" i="1"/>
  <c r="T400" i="1" s="1"/>
  <c r="U400" i="1" s="1"/>
  <c r="F401" i="1"/>
  <c r="T401" i="1" s="1"/>
  <c r="U401" i="1" s="1"/>
  <c r="F393" i="1"/>
  <c r="N393" i="1" s="1"/>
  <c r="O393" i="1" s="1"/>
  <c r="F394" i="1"/>
  <c r="F392" i="1"/>
  <c r="N392" i="1" s="1"/>
  <c r="O392" i="1" s="1"/>
  <c r="F390" i="1"/>
  <c r="T390" i="1" s="1"/>
  <c r="U390" i="1" s="1"/>
  <c r="F389" i="1"/>
  <c r="R389" i="1" s="1"/>
  <c r="S389" i="1" s="1"/>
  <c r="F388" i="1"/>
  <c r="T388" i="1" s="1"/>
  <c r="U388" i="1" s="1"/>
  <c r="F387" i="1"/>
  <c r="P387" i="1" s="1"/>
  <c r="Q387" i="1" s="1"/>
  <c r="F386" i="1"/>
  <c r="R386" i="1" s="1"/>
  <c r="S386" i="1" s="1"/>
  <c r="F384" i="1"/>
  <c r="P384" i="1" s="1"/>
  <c r="Q384" i="1" s="1"/>
  <c r="F385" i="1"/>
  <c r="P385" i="1" s="1"/>
  <c r="Q385" i="1" s="1"/>
  <c r="F383" i="1"/>
  <c r="N383" i="1" s="1"/>
  <c r="O383" i="1" s="1"/>
  <c r="F382" i="1"/>
  <c r="N382" i="1" s="1"/>
  <c r="O382" i="1" s="1"/>
  <c r="F381" i="1"/>
  <c r="F379" i="1"/>
  <c r="R379" i="1" s="1"/>
  <c r="S379" i="1" s="1"/>
  <c r="F378" i="1"/>
  <c r="V378" i="1" s="1"/>
  <c r="W378" i="1" s="1"/>
  <c r="F377" i="1"/>
  <c r="L377" i="1" s="1"/>
  <c r="M377" i="1" s="1"/>
  <c r="F376" i="1"/>
  <c r="R376" i="1" s="1"/>
  <c r="S376" i="1" s="1"/>
  <c r="F375" i="1"/>
  <c r="V375" i="1" s="1"/>
  <c r="W375" i="1" s="1"/>
  <c r="F371" i="1"/>
  <c r="T371" i="1" s="1"/>
  <c r="U371" i="1" s="1"/>
  <c r="F370" i="1"/>
  <c r="L370" i="1" s="1"/>
  <c r="M370" i="1" s="1"/>
  <c r="F369" i="1"/>
  <c r="R369" i="1" s="1"/>
  <c r="S369" i="1" s="1"/>
  <c r="F368" i="1"/>
  <c r="L368" i="1" s="1"/>
  <c r="M368" i="1" s="1"/>
  <c r="F365" i="1"/>
  <c r="F366" i="1"/>
  <c r="T366" i="1" s="1"/>
  <c r="U366" i="1" s="1"/>
  <c r="F367" i="1"/>
  <c r="T367" i="1" s="1"/>
  <c r="U367" i="1" s="1"/>
  <c r="F360" i="1"/>
  <c r="F359" i="1"/>
  <c r="N359" i="1" s="1"/>
  <c r="O359" i="1" s="1"/>
  <c r="F364" i="1"/>
  <c r="N364" i="1" s="1"/>
  <c r="O364" i="1" s="1"/>
  <c r="F358" i="1"/>
  <c r="L358" i="1" s="1"/>
  <c r="F357" i="1"/>
  <c r="T357" i="1" s="1"/>
  <c r="U357" i="1" s="1"/>
  <c r="F356" i="1"/>
  <c r="R356" i="1" s="1"/>
  <c r="S356" i="1" s="1"/>
  <c r="F355" i="1"/>
  <c r="P355" i="1" s="1"/>
  <c r="Q355" i="1" s="1"/>
  <c r="F354" i="1"/>
  <c r="L354" i="1" s="1"/>
  <c r="M354" i="1" s="1"/>
  <c r="F353" i="1"/>
  <c r="L353" i="1" s="1"/>
  <c r="M353" i="1" s="1"/>
  <c r="T510" i="1" l="1"/>
  <c r="U510" i="1" s="1"/>
  <c r="N502" i="1"/>
  <c r="N510" i="1"/>
  <c r="O510" i="1" s="1"/>
  <c r="P502" i="1"/>
  <c r="V510" i="1"/>
  <c r="W510" i="1" s="1"/>
  <c r="N431" i="1"/>
  <c r="O431" i="1" s="1"/>
  <c r="P382" i="1"/>
  <c r="Q382" i="1" s="1"/>
  <c r="V376" i="1"/>
  <c r="W376" i="1" s="1"/>
  <c r="V356" i="1"/>
  <c r="W356" i="1" s="1"/>
  <c r="T356" i="1"/>
  <c r="U356" i="1" s="1"/>
  <c r="L414" i="1"/>
  <c r="M414" i="1" s="1"/>
  <c r="L359" i="1"/>
  <c r="M359" i="1" s="1"/>
  <c r="V388" i="1"/>
  <c r="W388" i="1" s="1"/>
  <c r="V413" i="1"/>
  <c r="W413" i="1" s="1"/>
  <c r="P359" i="1"/>
  <c r="Q359" i="1" s="1"/>
  <c r="R388" i="1"/>
  <c r="S388" i="1" s="1"/>
  <c r="T407" i="1"/>
  <c r="U407" i="1" s="1"/>
  <c r="P407" i="1"/>
  <c r="Q407" i="1" s="1"/>
  <c r="T355" i="1"/>
  <c r="U355" i="1" s="1"/>
  <c r="L364" i="1"/>
  <c r="M364" i="1" s="1"/>
  <c r="V370" i="1"/>
  <c r="W370" i="1" s="1"/>
  <c r="T376" i="1"/>
  <c r="U376" i="1" s="1"/>
  <c r="P388" i="1"/>
  <c r="Q388" i="1" s="1"/>
  <c r="R404" i="1"/>
  <c r="S404" i="1" s="1"/>
  <c r="R423" i="1"/>
  <c r="S423" i="1" s="1"/>
  <c r="R405" i="1"/>
  <c r="S405" i="1" s="1"/>
  <c r="V431" i="1"/>
  <c r="W431" i="1" s="1"/>
  <c r="R355" i="1"/>
  <c r="S355" i="1" s="1"/>
  <c r="P364" i="1"/>
  <c r="Q364" i="1" s="1"/>
  <c r="L371" i="1"/>
  <c r="M371" i="1" s="1"/>
  <c r="P376" i="1"/>
  <c r="Q376" i="1" s="1"/>
  <c r="V387" i="1"/>
  <c r="W387" i="1" s="1"/>
  <c r="L382" i="1"/>
  <c r="M382" i="1" s="1"/>
  <c r="T420" i="1"/>
  <c r="U420" i="1" s="1"/>
  <c r="L413" i="1"/>
  <c r="M413" i="1" s="1"/>
  <c r="N405" i="1"/>
  <c r="O405" i="1" s="1"/>
  <c r="L432" i="1"/>
  <c r="M432" i="1" s="1"/>
  <c r="V369" i="1"/>
  <c r="W369" i="1" s="1"/>
  <c r="N366" i="1"/>
  <c r="O366" i="1" s="1"/>
  <c r="P371" i="1"/>
  <c r="Q371" i="1" s="1"/>
  <c r="V401" i="1"/>
  <c r="W401" i="1" s="1"/>
  <c r="T387" i="1"/>
  <c r="U387" i="1" s="1"/>
  <c r="J392" i="1"/>
  <c r="V404" i="1"/>
  <c r="W404" i="1" s="1"/>
  <c r="L428" i="1"/>
  <c r="M428" i="1" s="1"/>
  <c r="P432" i="1"/>
  <c r="Q432" i="1" s="1"/>
  <c r="R354" i="1"/>
  <c r="S354" i="1" s="1"/>
  <c r="R366" i="1"/>
  <c r="S366" i="1" s="1"/>
  <c r="R371" i="1"/>
  <c r="S371" i="1" s="1"/>
  <c r="L401" i="1"/>
  <c r="M401" i="1" s="1"/>
  <c r="R387" i="1"/>
  <c r="S387" i="1" s="1"/>
  <c r="R426" i="1"/>
  <c r="S426" i="1" s="1"/>
  <c r="R418" i="1"/>
  <c r="S418" i="1" s="1"/>
  <c r="T412" i="1"/>
  <c r="U412" i="1" s="1"/>
  <c r="N428" i="1"/>
  <c r="O428" i="1" s="1"/>
  <c r="T432" i="1"/>
  <c r="U432" i="1" s="1"/>
  <c r="P354" i="1"/>
  <c r="Q354" i="1" s="1"/>
  <c r="V371" i="1"/>
  <c r="W371" i="1" s="1"/>
  <c r="T386" i="1"/>
  <c r="U386" i="1" s="1"/>
  <c r="P426" i="1"/>
  <c r="Q426" i="1" s="1"/>
  <c r="P418" i="1"/>
  <c r="Q418" i="1" s="1"/>
  <c r="R412" i="1"/>
  <c r="S412" i="1" s="1"/>
  <c r="R428" i="1"/>
  <c r="S428" i="1" s="1"/>
  <c r="N354" i="1"/>
  <c r="O354" i="1" s="1"/>
  <c r="V366" i="1"/>
  <c r="W366" i="1" s="1"/>
  <c r="R375" i="1"/>
  <c r="S375" i="1" s="1"/>
  <c r="P386" i="1"/>
  <c r="Q386" i="1" s="1"/>
  <c r="N426" i="1"/>
  <c r="O426" i="1" s="1"/>
  <c r="N418" i="1"/>
  <c r="O418" i="1" s="1"/>
  <c r="V428" i="1"/>
  <c r="W428" i="1" s="1"/>
  <c r="R458" i="1"/>
  <c r="S458" i="1" s="1"/>
  <c r="V357" i="1"/>
  <c r="W357" i="1" s="1"/>
  <c r="T375" i="1"/>
  <c r="U375" i="1" s="1"/>
  <c r="P392" i="1"/>
  <c r="Q392" i="1" s="1"/>
  <c r="V390" i="1"/>
  <c r="W390" i="1" s="1"/>
  <c r="R384" i="1"/>
  <c r="S384" i="1" s="1"/>
  <c r="L426" i="1"/>
  <c r="M426" i="1" s="1"/>
  <c r="T408" i="1"/>
  <c r="U408" i="1" s="1"/>
  <c r="V430" i="1"/>
  <c r="W430" i="1" s="1"/>
  <c r="J459" i="1"/>
  <c r="K459" i="1" s="1"/>
  <c r="P353" i="1"/>
  <c r="Q353" i="1" s="1"/>
  <c r="N368" i="1"/>
  <c r="O368" i="1" s="1"/>
  <c r="L390" i="1"/>
  <c r="M390" i="1" s="1"/>
  <c r="V414" i="1"/>
  <c r="W414" i="1" s="1"/>
  <c r="R408" i="1"/>
  <c r="S408" i="1" s="1"/>
  <c r="T459" i="1"/>
  <c r="U459" i="1" s="1"/>
  <c r="T369" i="1"/>
  <c r="U369" i="1" s="1"/>
  <c r="N404" i="1"/>
  <c r="O404" i="1" s="1"/>
  <c r="R357" i="1"/>
  <c r="S357" i="1" s="1"/>
  <c r="N369" i="1"/>
  <c r="O369" i="1" s="1"/>
  <c r="V377" i="1"/>
  <c r="W377" i="1" s="1"/>
  <c r="L392" i="1"/>
  <c r="M392" i="1" s="1"/>
  <c r="T389" i="1"/>
  <c r="U389" i="1" s="1"/>
  <c r="N384" i="1"/>
  <c r="O384" i="1" s="1"/>
  <c r="V424" i="1"/>
  <c r="W424" i="1" s="1"/>
  <c r="T414" i="1"/>
  <c r="U414" i="1" s="1"/>
  <c r="P408" i="1"/>
  <c r="Q408" i="1" s="1"/>
  <c r="L378" i="1"/>
  <c r="T502" i="1"/>
  <c r="N509" i="1"/>
  <c r="O509" i="1" s="1"/>
  <c r="P404" i="1"/>
  <c r="Q404" i="1" s="1"/>
  <c r="T423" i="1"/>
  <c r="U423" i="1" s="1"/>
  <c r="N358" i="1"/>
  <c r="P369" i="1"/>
  <c r="Q369" i="1" s="1"/>
  <c r="T377" i="1"/>
  <c r="U377" i="1" s="1"/>
  <c r="L384" i="1"/>
  <c r="M384" i="1" s="1"/>
  <c r="L424" i="1"/>
  <c r="M424" i="1" s="1"/>
  <c r="N408" i="1"/>
  <c r="O408" i="1" s="1"/>
  <c r="N378" i="1"/>
  <c r="O378" i="1" s="1"/>
  <c r="R502" i="1"/>
  <c r="J510" i="1"/>
  <c r="K510" i="1" s="1"/>
  <c r="N394" i="1"/>
  <c r="O394" i="1" s="1"/>
  <c r="L394" i="1"/>
  <c r="M394" i="1" s="1"/>
  <c r="N381" i="1"/>
  <c r="O381" i="1" s="1"/>
  <c r="P381" i="1"/>
  <c r="Q381" i="1" s="1"/>
  <c r="R381" i="1"/>
  <c r="S381" i="1" s="1"/>
  <c r="T381" i="1"/>
  <c r="U381" i="1" s="1"/>
  <c r="V381" i="1"/>
  <c r="W381" i="1" s="1"/>
  <c r="P393" i="1"/>
  <c r="Q393" i="1" s="1"/>
  <c r="T393" i="1"/>
  <c r="U393" i="1" s="1"/>
  <c r="V393" i="1"/>
  <c r="W393" i="1" s="1"/>
  <c r="L393" i="1"/>
  <c r="M393" i="1" s="1"/>
  <c r="N416" i="1"/>
  <c r="O416" i="1" s="1"/>
  <c r="P416" i="1"/>
  <c r="Q416" i="1" s="1"/>
  <c r="R416" i="1"/>
  <c r="S416" i="1" s="1"/>
  <c r="T416" i="1"/>
  <c r="U416" i="1" s="1"/>
  <c r="V416" i="1"/>
  <c r="W416" i="1" s="1"/>
  <c r="T394" i="1"/>
  <c r="U394" i="1" s="1"/>
  <c r="V415" i="1"/>
  <c r="W415" i="1" s="1"/>
  <c r="L415" i="1"/>
  <c r="M415" i="1" s="1"/>
  <c r="P415" i="1"/>
  <c r="Q415" i="1" s="1"/>
  <c r="R415" i="1"/>
  <c r="S415" i="1" s="1"/>
  <c r="T415" i="1"/>
  <c r="U415" i="1" s="1"/>
  <c r="R394" i="1"/>
  <c r="S394" i="1" s="1"/>
  <c r="L381" i="1"/>
  <c r="M381" i="1" s="1"/>
  <c r="N365" i="1"/>
  <c r="O365" i="1" s="1"/>
  <c r="V365" i="1"/>
  <c r="W365" i="1" s="1"/>
  <c r="T365" i="1"/>
  <c r="U365" i="1" s="1"/>
  <c r="R365" i="1"/>
  <c r="S365" i="1" s="1"/>
  <c r="P365" i="1"/>
  <c r="Q365" i="1" s="1"/>
  <c r="L383" i="1"/>
  <c r="M383" i="1" s="1"/>
  <c r="P383" i="1"/>
  <c r="Q383" i="1" s="1"/>
  <c r="R383" i="1"/>
  <c r="S383" i="1" s="1"/>
  <c r="T383" i="1"/>
  <c r="U383" i="1" s="1"/>
  <c r="V383" i="1"/>
  <c r="W383" i="1" s="1"/>
  <c r="R400" i="1"/>
  <c r="S400" i="1" s="1"/>
  <c r="V400" i="1"/>
  <c r="W400" i="1" s="1"/>
  <c r="L400" i="1"/>
  <c r="M400" i="1" s="1"/>
  <c r="P400" i="1"/>
  <c r="Q400" i="1" s="1"/>
  <c r="N400" i="1"/>
  <c r="O400" i="1" s="1"/>
  <c r="N420" i="1"/>
  <c r="O420" i="1" s="1"/>
  <c r="R420" i="1"/>
  <c r="S420" i="1" s="1"/>
  <c r="V420" i="1"/>
  <c r="W420" i="1" s="1"/>
  <c r="L420" i="1"/>
  <c r="M420" i="1" s="1"/>
  <c r="V456" i="1"/>
  <c r="W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L365" i="1"/>
  <c r="M365" i="1" s="1"/>
  <c r="P394" i="1"/>
  <c r="Q394" i="1" s="1"/>
  <c r="T379" i="1"/>
  <c r="U379" i="1" s="1"/>
  <c r="P379" i="1"/>
  <c r="Q379" i="1" s="1"/>
  <c r="L379" i="1"/>
  <c r="M379" i="1" s="1"/>
  <c r="V379" i="1"/>
  <c r="W379" i="1" s="1"/>
  <c r="V394" i="1"/>
  <c r="W394" i="1" s="1"/>
  <c r="N385" i="1"/>
  <c r="O385" i="1" s="1"/>
  <c r="R385" i="1"/>
  <c r="S385" i="1" s="1"/>
  <c r="T385" i="1"/>
  <c r="U385" i="1" s="1"/>
  <c r="V385" i="1"/>
  <c r="W385" i="1" s="1"/>
  <c r="L385" i="1"/>
  <c r="M385" i="1" s="1"/>
  <c r="P422" i="1"/>
  <c r="Q422" i="1" s="1"/>
  <c r="T422" i="1"/>
  <c r="U422" i="1" s="1"/>
  <c r="L422" i="1"/>
  <c r="M422" i="1" s="1"/>
  <c r="N422" i="1"/>
  <c r="O422" i="1" s="1"/>
  <c r="V458" i="1"/>
  <c r="W458" i="1" s="1"/>
  <c r="T458" i="1"/>
  <c r="U458" i="1" s="1"/>
  <c r="P458" i="1"/>
  <c r="Q458" i="1" s="1"/>
  <c r="N458" i="1"/>
  <c r="O458" i="1" s="1"/>
  <c r="J458" i="1"/>
  <c r="K458" i="1" s="1"/>
  <c r="H458" i="1"/>
  <c r="I458" i="1" s="1"/>
  <c r="R360" i="1"/>
  <c r="S360" i="1" s="1"/>
  <c r="N360" i="1"/>
  <c r="O360" i="1" s="1"/>
  <c r="L360" i="1"/>
  <c r="M360" i="1" s="1"/>
  <c r="V367" i="1"/>
  <c r="W367" i="1" s="1"/>
  <c r="R367" i="1"/>
  <c r="S367" i="1" s="1"/>
  <c r="P367" i="1"/>
  <c r="Q367" i="1" s="1"/>
  <c r="N367" i="1"/>
  <c r="O367" i="1" s="1"/>
  <c r="L367" i="1"/>
  <c r="M367" i="1" s="1"/>
  <c r="N353" i="1"/>
  <c r="O353" i="1" s="1"/>
  <c r="R353" i="1"/>
  <c r="S353" i="1" s="1"/>
  <c r="T353" i="1"/>
  <c r="U353" i="1" s="1"/>
  <c r="V353" i="1"/>
  <c r="W353" i="1" s="1"/>
  <c r="P368" i="1"/>
  <c r="Q368" i="1" s="1"/>
  <c r="V368" i="1"/>
  <c r="W368" i="1" s="1"/>
  <c r="T368" i="1"/>
  <c r="U368" i="1" s="1"/>
  <c r="R368" i="1"/>
  <c r="S368" i="1" s="1"/>
  <c r="P360" i="1"/>
  <c r="Q360" i="1" s="1"/>
  <c r="R393" i="1"/>
  <c r="S393" i="1" s="1"/>
  <c r="R422" i="1"/>
  <c r="S422" i="1" s="1"/>
  <c r="L402" i="1"/>
  <c r="M402" i="1" s="1"/>
  <c r="P402" i="1"/>
  <c r="Q402" i="1" s="1"/>
  <c r="R402" i="1"/>
  <c r="S402" i="1" s="1"/>
  <c r="T402" i="1"/>
  <c r="U402" i="1" s="1"/>
  <c r="V402" i="1"/>
  <c r="W402" i="1" s="1"/>
  <c r="T360" i="1"/>
  <c r="U360" i="1" s="1"/>
  <c r="N379" i="1"/>
  <c r="O379" i="1" s="1"/>
  <c r="N355" i="1"/>
  <c r="O355" i="1" s="1"/>
  <c r="P356" i="1"/>
  <c r="Q356" i="1" s="1"/>
  <c r="L355" i="1"/>
  <c r="M355" i="1" s="1"/>
  <c r="R359" i="1"/>
  <c r="S359" i="1" s="1"/>
  <c r="L375" i="1"/>
  <c r="M375" i="1" s="1"/>
  <c r="N376" i="1"/>
  <c r="O376" i="1" s="1"/>
  <c r="R401" i="1"/>
  <c r="S401" i="1" s="1"/>
  <c r="R390" i="1"/>
  <c r="S390" i="1" s="1"/>
  <c r="P389" i="1"/>
  <c r="Q389" i="1" s="1"/>
  <c r="N387" i="1"/>
  <c r="O387" i="1" s="1"/>
  <c r="V382" i="1"/>
  <c r="W382" i="1" s="1"/>
  <c r="P423" i="1"/>
  <c r="Q423" i="1" s="1"/>
  <c r="R413" i="1"/>
  <c r="S413" i="1" s="1"/>
  <c r="P412" i="1"/>
  <c r="Q412" i="1" s="1"/>
  <c r="L407" i="1"/>
  <c r="M407" i="1" s="1"/>
  <c r="L430" i="1"/>
  <c r="M430" i="1" s="1"/>
  <c r="V432" i="1"/>
  <c r="W432" i="1" s="1"/>
  <c r="L459" i="1"/>
  <c r="M459" i="1" s="1"/>
  <c r="P378" i="1"/>
  <c r="Q378" i="1" s="1"/>
  <c r="P509" i="1"/>
  <c r="Q509" i="1" s="1"/>
  <c r="N370" i="1"/>
  <c r="O370" i="1" s="1"/>
  <c r="N356" i="1"/>
  <c r="O356" i="1" s="1"/>
  <c r="T359" i="1"/>
  <c r="U359" i="1" s="1"/>
  <c r="P370" i="1"/>
  <c r="Q370" i="1" s="1"/>
  <c r="R377" i="1"/>
  <c r="S377" i="1" s="1"/>
  <c r="L376" i="1"/>
  <c r="M376" i="1" s="1"/>
  <c r="P401" i="1"/>
  <c r="Q401" i="1" s="1"/>
  <c r="V392" i="1"/>
  <c r="W392" i="1" s="1"/>
  <c r="P390" i="1"/>
  <c r="Q390" i="1" s="1"/>
  <c r="N388" i="1"/>
  <c r="O388" i="1" s="1"/>
  <c r="L386" i="1"/>
  <c r="M386" i="1" s="1"/>
  <c r="T382" i="1"/>
  <c r="U382" i="1" s="1"/>
  <c r="V426" i="1"/>
  <c r="W426" i="1" s="1"/>
  <c r="R424" i="1"/>
  <c r="S424" i="1" s="1"/>
  <c r="V418" i="1"/>
  <c r="W418" i="1" s="1"/>
  <c r="R414" i="1"/>
  <c r="S414" i="1" s="1"/>
  <c r="P413" i="1"/>
  <c r="Q413" i="1" s="1"/>
  <c r="L408" i="1"/>
  <c r="M408" i="1" s="1"/>
  <c r="V405" i="1"/>
  <c r="W405" i="1" s="1"/>
  <c r="N430" i="1"/>
  <c r="O430" i="1" s="1"/>
  <c r="P431" i="1"/>
  <c r="Q431" i="1" s="1"/>
  <c r="N459" i="1"/>
  <c r="O459" i="1" s="1"/>
  <c r="R378" i="1"/>
  <c r="S378" i="1" s="1"/>
  <c r="P357" i="1"/>
  <c r="Q357" i="1" s="1"/>
  <c r="L356" i="1"/>
  <c r="M356" i="1" s="1"/>
  <c r="V354" i="1"/>
  <c r="W354" i="1" s="1"/>
  <c r="V359" i="1"/>
  <c r="W359" i="1" s="1"/>
  <c r="R370" i="1"/>
  <c r="S370" i="1" s="1"/>
  <c r="N375" i="1"/>
  <c r="O375" i="1" s="1"/>
  <c r="P377" i="1"/>
  <c r="Q377" i="1" s="1"/>
  <c r="T392" i="1"/>
  <c r="U392" i="1" s="1"/>
  <c r="N389" i="1"/>
  <c r="O389" i="1" s="1"/>
  <c r="L387" i="1"/>
  <c r="M387" i="1" s="1"/>
  <c r="V384" i="1"/>
  <c r="W384" i="1" s="1"/>
  <c r="P424" i="1"/>
  <c r="Q424" i="1" s="1"/>
  <c r="N423" i="1"/>
  <c r="O423" i="1" s="1"/>
  <c r="P414" i="1"/>
  <c r="Q414" i="1" s="1"/>
  <c r="N412" i="1"/>
  <c r="O412" i="1" s="1"/>
  <c r="P430" i="1"/>
  <c r="Q430" i="1" s="1"/>
  <c r="R431" i="1"/>
  <c r="S431" i="1" s="1"/>
  <c r="T378" i="1"/>
  <c r="U378" i="1" s="1"/>
  <c r="R509" i="1"/>
  <c r="S509" i="1" s="1"/>
  <c r="N357" i="1"/>
  <c r="O357" i="1" s="1"/>
  <c r="P375" i="1"/>
  <c r="Q375" i="1" s="1"/>
  <c r="N377" i="1"/>
  <c r="O377" i="1" s="1"/>
  <c r="N401" i="1"/>
  <c r="O401" i="1" s="1"/>
  <c r="N390" i="1"/>
  <c r="O390" i="1" s="1"/>
  <c r="L388" i="1"/>
  <c r="M388" i="1" s="1"/>
  <c r="T384" i="1"/>
  <c r="U384" i="1" s="1"/>
  <c r="R382" i="1"/>
  <c r="S382" i="1" s="1"/>
  <c r="L423" i="1"/>
  <c r="M423" i="1" s="1"/>
  <c r="T418" i="1"/>
  <c r="U418" i="1" s="1"/>
  <c r="N413" i="1"/>
  <c r="O413" i="1" s="1"/>
  <c r="V407" i="1"/>
  <c r="W407" i="1" s="1"/>
  <c r="T405" i="1"/>
  <c r="U405" i="1" s="1"/>
  <c r="R430" i="1"/>
  <c r="S430" i="1" s="1"/>
  <c r="T431" i="1"/>
  <c r="U431" i="1" s="1"/>
  <c r="P459" i="1"/>
  <c r="Q459" i="1" s="1"/>
  <c r="T509" i="1"/>
  <c r="U509" i="1" s="1"/>
  <c r="N386" i="1"/>
  <c r="O386" i="1" s="1"/>
  <c r="T424" i="1"/>
  <c r="U424" i="1" s="1"/>
  <c r="L357" i="1"/>
  <c r="M357" i="1" s="1"/>
  <c r="V355" i="1"/>
  <c r="W355" i="1" s="1"/>
  <c r="T354" i="1"/>
  <c r="U354" i="1" s="1"/>
  <c r="L366" i="1"/>
  <c r="M366" i="1" s="1"/>
  <c r="L369" i="1"/>
  <c r="M369" i="1" s="1"/>
  <c r="T370" i="1"/>
  <c r="U370" i="1" s="1"/>
  <c r="R392" i="1"/>
  <c r="S392" i="1" s="1"/>
  <c r="L389" i="1"/>
  <c r="M389" i="1" s="1"/>
  <c r="V386" i="1"/>
  <c r="W386" i="1" s="1"/>
  <c r="L404" i="1"/>
  <c r="M404" i="1" s="1"/>
  <c r="L412" i="1"/>
  <c r="M412" i="1" s="1"/>
  <c r="R459" i="1"/>
  <c r="S459" i="1" s="1"/>
  <c r="V509" i="1"/>
  <c r="W509" i="1" s="1"/>
  <c r="P405" i="1"/>
  <c r="Q405" i="1" s="1"/>
  <c r="P366" i="1"/>
  <c r="Q366" i="1" s="1"/>
  <c r="N371" i="1"/>
  <c r="O371" i="1" s="1"/>
  <c r="V389" i="1"/>
  <c r="W389" i="1" s="1"/>
  <c r="R407" i="1"/>
  <c r="S407" i="1" s="1"/>
  <c r="P428" i="1"/>
  <c r="Q428" i="1" s="1"/>
  <c r="N432" i="1"/>
  <c r="O432" i="1" s="1"/>
  <c r="L510" i="1"/>
  <c r="M510" i="1" s="1"/>
  <c r="J509" i="1"/>
  <c r="K509" i="1" s="1"/>
  <c r="P510" i="1"/>
  <c r="Q510" i="1" s="1"/>
  <c r="F346" i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V196" i="1"/>
  <c r="T196" i="1"/>
  <c r="R196" i="1"/>
  <c r="P196" i="1"/>
  <c r="N196" i="1"/>
  <c r="L196" i="1"/>
  <c r="F343" i="1"/>
  <c r="F339" i="1"/>
  <c r="F338" i="1"/>
  <c r="F337" i="1"/>
  <c r="F334" i="1"/>
  <c r="F333" i="1"/>
  <c r="F332" i="1"/>
  <c r="F330" i="1"/>
  <c r="F329" i="1"/>
  <c r="F328" i="1"/>
  <c r="F326" i="1"/>
  <c r="F325" i="1"/>
  <c r="F324" i="1"/>
  <c r="F323" i="1"/>
  <c r="R351" i="1" l="1"/>
  <c r="S351" i="1" s="1"/>
  <c r="P351" i="1"/>
  <c r="Q351" i="1" s="1"/>
  <c r="N351" i="1"/>
  <c r="O351" i="1" s="1"/>
  <c r="L351" i="1"/>
  <c r="M351" i="1" s="1"/>
  <c r="V351" i="1"/>
  <c r="W351" i="1" s="1"/>
  <c r="T351" i="1"/>
  <c r="U351" i="1" s="1"/>
  <c r="J346" i="1"/>
  <c r="H346" i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V299" i="1"/>
  <c r="W299" i="1" s="1"/>
  <c r="T299" i="1"/>
  <c r="U299" i="1" s="1"/>
  <c r="R299" i="1"/>
  <c r="S299" i="1" s="1"/>
  <c r="P299" i="1"/>
  <c r="Q299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J342" i="1"/>
  <c r="K342" i="1" s="1"/>
  <c r="H342" i="1"/>
  <c r="I342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J340" i="1"/>
  <c r="K340" i="1" s="1"/>
  <c r="H340" i="1"/>
  <c r="I340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N299" i="1"/>
  <c r="O299" i="1" s="1"/>
  <c r="L299" i="1"/>
  <c r="M299" i="1" s="1"/>
  <c r="J299" i="1"/>
  <c r="K299" i="1" s="1"/>
  <c r="H299" i="1"/>
  <c r="I299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20" i="1"/>
  <c r="W320" i="1" s="1"/>
  <c r="T320" i="1"/>
  <c r="U320" i="1" s="1"/>
  <c r="R320" i="1"/>
  <c r="S320" i="1" s="1"/>
  <c r="P320" i="1"/>
  <c r="Q320" i="1" s="1"/>
  <c r="N320" i="1"/>
  <c r="O320" i="1" s="1"/>
  <c r="L320" i="1"/>
  <c r="M320" i="1" s="1"/>
  <c r="J320" i="1"/>
  <c r="K320" i="1" s="1"/>
  <c r="H320" i="1"/>
  <c r="I32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F310" i="1"/>
  <c r="T310" i="1" s="1"/>
  <c r="U310" i="1" s="1"/>
  <c r="F309" i="1"/>
  <c r="F306" i="1"/>
  <c r="V306" i="1" s="1"/>
  <c r="W306" i="1" s="1"/>
  <c r="F302" i="1"/>
  <c r="T302" i="1" s="1"/>
  <c r="U302" i="1" s="1"/>
  <c r="F301" i="1"/>
  <c r="L301" i="1" s="1"/>
  <c r="M301" i="1" s="1"/>
  <c r="F300" i="1"/>
  <c r="R300" i="1" s="1"/>
  <c r="F296" i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H256" i="1"/>
  <c r="I256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L249" i="1"/>
  <c r="J249" i="1"/>
  <c r="H249" i="1"/>
  <c r="F287" i="1"/>
  <c r="H287" i="1" s="1"/>
  <c r="I287" i="1" s="1"/>
  <c r="F279" i="1"/>
  <c r="L279" i="1" s="1"/>
  <c r="M279" i="1" s="1"/>
  <c r="F274" i="1"/>
  <c r="L274" i="1" s="1"/>
  <c r="M274" i="1" s="1"/>
  <c r="F272" i="1"/>
  <c r="T272" i="1" s="1"/>
  <c r="U272" i="1" s="1"/>
  <c r="F270" i="1"/>
  <c r="N270" i="1" s="1"/>
  <c r="O270" i="1" s="1"/>
  <c r="F266" i="1"/>
  <c r="J266" i="1" s="1"/>
  <c r="K266" i="1" s="1"/>
  <c r="F264" i="1"/>
  <c r="H264" i="1" s="1"/>
  <c r="I264" i="1" s="1"/>
  <c r="F263" i="1"/>
  <c r="N263" i="1" s="1"/>
  <c r="O263" i="1" s="1"/>
  <c r="F261" i="1"/>
  <c r="N261" i="1" s="1"/>
  <c r="O261" i="1" s="1"/>
  <c r="F259" i="1"/>
  <c r="T259" i="1" s="1"/>
  <c r="F250" i="1"/>
  <c r="R250" i="1" s="1"/>
  <c r="S250" i="1" s="1"/>
  <c r="F246" i="1"/>
  <c r="V246" i="1" s="1"/>
  <c r="W246" i="1" s="1"/>
  <c r="F245" i="1"/>
  <c r="T245" i="1" s="1"/>
  <c r="U245" i="1" s="1"/>
  <c r="F244" i="1"/>
  <c r="P244" i="1" s="1"/>
  <c r="Q244" i="1" s="1"/>
  <c r="L234" i="1"/>
  <c r="N233" i="1"/>
  <c r="O233" i="1" s="1"/>
  <c r="L233" i="1"/>
  <c r="M233" i="1" s="1"/>
  <c r="J233" i="1"/>
  <c r="K233" i="1" s="1"/>
  <c r="V240" i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24" i="1"/>
  <c r="W224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R219" i="1"/>
  <c r="S219" i="1" s="1"/>
  <c r="P219" i="1"/>
  <c r="Q219" i="1" s="1"/>
  <c r="N219" i="1"/>
  <c r="O219" i="1" s="1"/>
  <c r="T225" i="1"/>
  <c r="U225" i="1" s="1"/>
  <c r="R225" i="1"/>
  <c r="S225" i="1" s="1"/>
  <c r="P225" i="1"/>
  <c r="Q225" i="1" s="1"/>
  <c r="N225" i="1"/>
  <c r="O225" i="1" s="1"/>
  <c r="T224" i="1"/>
  <c r="U224" i="1" s="1"/>
  <c r="R224" i="1"/>
  <c r="S224" i="1" s="1"/>
  <c r="P224" i="1"/>
  <c r="Q224" i="1" s="1"/>
  <c r="N224" i="1"/>
  <c r="O224" i="1" s="1"/>
  <c r="V221" i="1"/>
  <c r="W221" i="1" s="1"/>
  <c r="T221" i="1"/>
  <c r="U221" i="1" s="1"/>
  <c r="V220" i="1"/>
  <c r="W220" i="1" s="1"/>
  <c r="T220" i="1"/>
  <c r="U220" i="1" s="1"/>
  <c r="V218" i="1"/>
  <c r="W218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N217" i="1"/>
  <c r="P217" i="1"/>
  <c r="R217" i="1"/>
  <c r="T217" i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168" i="1"/>
  <c r="W168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V176" i="1"/>
  <c r="W176" i="1" s="1"/>
  <c r="T176" i="1"/>
  <c r="U176" i="1" s="1"/>
  <c r="R176" i="1"/>
  <c r="S176" i="1" s="1"/>
  <c r="P176" i="1"/>
  <c r="Q176" i="1" s="1"/>
  <c r="N176" i="1"/>
  <c r="O176" i="1" s="1"/>
  <c r="L176" i="1"/>
  <c r="M176" i="1" s="1"/>
  <c r="J176" i="1"/>
  <c r="K176" i="1" s="1"/>
  <c r="H176" i="1"/>
  <c r="I176" i="1" s="1"/>
  <c r="F210" i="1"/>
  <c r="T210" i="1" s="1"/>
  <c r="U210" i="1" s="1"/>
  <c r="F597" i="1"/>
  <c r="F596" i="1"/>
  <c r="F181" i="1"/>
  <c r="F180" i="1"/>
  <c r="L180" i="1" s="1"/>
  <c r="M180" i="1" s="1"/>
  <c r="F178" i="1"/>
  <c r="N178" i="1" s="1"/>
  <c r="O178" i="1" s="1"/>
  <c r="L210" i="1" l="1"/>
  <c r="M210" i="1" s="1"/>
  <c r="H302" i="1"/>
  <c r="I302" i="1" s="1"/>
  <c r="L310" i="1"/>
  <c r="M310" i="1" s="1"/>
  <c r="H301" i="1"/>
  <c r="I301" i="1" s="1"/>
  <c r="L306" i="1"/>
  <c r="M306" i="1" s="1"/>
  <c r="N306" i="1"/>
  <c r="O306" i="1" s="1"/>
  <c r="J274" i="1"/>
  <c r="K274" i="1" s="1"/>
  <c r="T306" i="1"/>
  <c r="U306" i="1" s="1"/>
  <c r="N272" i="1"/>
  <c r="O272" i="1" s="1"/>
  <c r="R287" i="1"/>
  <c r="S287" i="1" s="1"/>
  <c r="R178" i="1"/>
  <c r="S178" i="1" s="1"/>
  <c r="N210" i="1"/>
  <c r="O210" i="1" s="1"/>
  <c r="P263" i="1"/>
  <c r="Q263" i="1" s="1"/>
  <c r="J301" i="1"/>
  <c r="K301" i="1" s="1"/>
  <c r="T301" i="1"/>
  <c r="U301" i="1" s="1"/>
  <c r="P302" i="1"/>
  <c r="Q302" i="1" s="1"/>
  <c r="N301" i="1"/>
  <c r="O301" i="1" s="1"/>
  <c r="J246" i="1"/>
  <c r="K246" i="1" s="1"/>
  <c r="P301" i="1"/>
  <c r="Q301" i="1" s="1"/>
  <c r="L302" i="1"/>
  <c r="M302" i="1" s="1"/>
  <c r="R301" i="1"/>
  <c r="S301" i="1" s="1"/>
  <c r="N302" i="1"/>
  <c r="O302" i="1" s="1"/>
  <c r="V301" i="1"/>
  <c r="W301" i="1" s="1"/>
  <c r="H300" i="1"/>
  <c r="P178" i="1"/>
  <c r="Q178" i="1" s="1"/>
  <c r="R263" i="1"/>
  <c r="S263" i="1" s="1"/>
  <c r="J300" i="1"/>
  <c r="P300" i="1"/>
  <c r="T300" i="1"/>
  <c r="H306" i="1"/>
  <c r="I306" i="1" s="1"/>
  <c r="R302" i="1"/>
  <c r="S302" i="1" s="1"/>
  <c r="P210" i="1"/>
  <c r="Q210" i="1" s="1"/>
  <c r="V300" i="1"/>
  <c r="J306" i="1"/>
  <c r="K306" i="1" s="1"/>
  <c r="V302" i="1"/>
  <c r="W302" i="1" s="1"/>
  <c r="P180" i="1"/>
  <c r="Q180" i="1" s="1"/>
  <c r="J244" i="1"/>
  <c r="K244" i="1" s="1"/>
  <c r="R309" i="1"/>
  <c r="S309" i="1" s="1"/>
  <c r="N309" i="1"/>
  <c r="O309" i="1" s="1"/>
  <c r="L309" i="1"/>
  <c r="M309" i="1" s="1"/>
  <c r="V309" i="1"/>
  <c r="W309" i="1" s="1"/>
  <c r="J309" i="1"/>
  <c r="K309" i="1" s="1"/>
  <c r="R210" i="1"/>
  <c r="S210" i="1" s="1"/>
  <c r="R180" i="1"/>
  <c r="S180" i="1" s="1"/>
  <c r="T178" i="1"/>
  <c r="U178" i="1" s="1"/>
  <c r="R246" i="1"/>
  <c r="S246" i="1" s="1"/>
  <c r="P246" i="1"/>
  <c r="Q246" i="1" s="1"/>
  <c r="N246" i="1"/>
  <c r="O246" i="1" s="1"/>
  <c r="L246" i="1"/>
  <c r="M246" i="1" s="1"/>
  <c r="R272" i="1"/>
  <c r="S272" i="1" s="1"/>
  <c r="L272" i="1"/>
  <c r="M272" i="1" s="1"/>
  <c r="J272" i="1"/>
  <c r="K272" i="1" s="1"/>
  <c r="H272" i="1"/>
  <c r="I272" i="1" s="1"/>
  <c r="V272" i="1"/>
  <c r="W272" i="1" s="1"/>
  <c r="L244" i="1"/>
  <c r="M244" i="1" s="1"/>
  <c r="T246" i="1"/>
  <c r="U246" i="1" s="1"/>
  <c r="N266" i="1"/>
  <c r="O266" i="1" s="1"/>
  <c r="V310" i="1"/>
  <c r="W310" i="1" s="1"/>
  <c r="J310" i="1"/>
  <c r="K310" i="1" s="1"/>
  <c r="R310" i="1"/>
  <c r="S310" i="1" s="1"/>
  <c r="P310" i="1"/>
  <c r="Q310" i="1" s="1"/>
  <c r="N310" i="1"/>
  <c r="O310" i="1" s="1"/>
  <c r="H310" i="1"/>
  <c r="I310" i="1" s="1"/>
  <c r="T180" i="1"/>
  <c r="U180" i="1" s="1"/>
  <c r="V178" i="1"/>
  <c r="W178" i="1" s="1"/>
  <c r="P250" i="1"/>
  <c r="Q250" i="1" s="1"/>
  <c r="J250" i="1"/>
  <c r="K250" i="1" s="1"/>
  <c r="T250" i="1"/>
  <c r="L250" i="1"/>
  <c r="M250" i="1" s="1"/>
  <c r="N250" i="1"/>
  <c r="O250" i="1" s="1"/>
  <c r="N274" i="1"/>
  <c r="O274" i="1" s="1"/>
  <c r="P274" i="1"/>
  <c r="Q274" i="1" s="1"/>
  <c r="H274" i="1"/>
  <c r="I274" i="1" s="1"/>
  <c r="R274" i="1"/>
  <c r="S274" i="1" s="1"/>
  <c r="V244" i="1"/>
  <c r="W244" i="1" s="1"/>
  <c r="N244" i="1"/>
  <c r="O244" i="1" s="1"/>
  <c r="L270" i="1"/>
  <c r="M270" i="1" s="1"/>
  <c r="P270" i="1"/>
  <c r="Q270" i="1" s="1"/>
  <c r="H270" i="1"/>
  <c r="I270" i="1" s="1"/>
  <c r="R270" i="1"/>
  <c r="S270" i="1" s="1"/>
  <c r="V180" i="1"/>
  <c r="W180" i="1" s="1"/>
  <c r="H178" i="1"/>
  <c r="I178" i="1" s="1"/>
  <c r="L259" i="1"/>
  <c r="M259" i="1" s="1"/>
  <c r="N259" i="1"/>
  <c r="O259" i="1" s="1"/>
  <c r="P259" i="1"/>
  <c r="Q259" i="1" s="1"/>
  <c r="J279" i="1"/>
  <c r="K279" i="1" s="1"/>
  <c r="T279" i="1"/>
  <c r="U279" i="1" s="1"/>
  <c r="N279" i="1"/>
  <c r="O279" i="1" s="1"/>
  <c r="P279" i="1"/>
  <c r="Q279" i="1" s="1"/>
  <c r="R279" i="1"/>
  <c r="S279" i="1" s="1"/>
  <c r="R244" i="1"/>
  <c r="S244" i="1" s="1"/>
  <c r="R259" i="1"/>
  <c r="S259" i="1" s="1"/>
  <c r="H279" i="1"/>
  <c r="I279" i="1" s="1"/>
  <c r="R296" i="1"/>
  <c r="S296" i="1" s="1"/>
  <c r="H296" i="1"/>
  <c r="I296" i="1" s="1"/>
  <c r="P296" i="1"/>
  <c r="Q296" i="1" s="1"/>
  <c r="N296" i="1"/>
  <c r="O296" i="1" s="1"/>
  <c r="V296" i="1"/>
  <c r="W296" i="1" s="1"/>
  <c r="L296" i="1"/>
  <c r="M296" i="1" s="1"/>
  <c r="T296" i="1"/>
  <c r="U296" i="1" s="1"/>
  <c r="J296" i="1"/>
  <c r="K296" i="1" s="1"/>
  <c r="H309" i="1"/>
  <c r="I309" i="1" s="1"/>
  <c r="N180" i="1"/>
  <c r="O180" i="1" s="1"/>
  <c r="J210" i="1"/>
  <c r="K210" i="1" s="1"/>
  <c r="V210" i="1"/>
  <c r="W210" i="1" s="1"/>
  <c r="H180" i="1"/>
  <c r="I180" i="1" s="1"/>
  <c r="J178" i="1"/>
  <c r="K178" i="1" s="1"/>
  <c r="L261" i="1"/>
  <c r="M261" i="1" s="1"/>
  <c r="P261" i="1"/>
  <c r="Q261" i="1" s="1"/>
  <c r="R261" i="1"/>
  <c r="S261" i="1" s="1"/>
  <c r="H261" i="1"/>
  <c r="I261" i="1" s="1"/>
  <c r="T261" i="1"/>
  <c r="P287" i="1"/>
  <c r="Q287" i="1" s="1"/>
  <c r="J287" i="1"/>
  <c r="K287" i="1" s="1"/>
  <c r="T287" i="1"/>
  <c r="U287" i="1" s="1"/>
  <c r="L287" i="1"/>
  <c r="M287" i="1" s="1"/>
  <c r="N287" i="1"/>
  <c r="O287" i="1" s="1"/>
  <c r="T244" i="1"/>
  <c r="U244" i="1" s="1"/>
  <c r="J259" i="1"/>
  <c r="K259" i="1" s="1"/>
  <c r="J270" i="1"/>
  <c r="K270" i="1" s="1"/>
  <c r="P309" i="1"/>
  <c r="Q309" i="1" s="1"/>
  <c r="L266" i="1"/>
  <c r="M266" i="1" s="1"/>
  <c r="P266" i="1"/>
  <c r="Q266" i="1" s="1"/>
  <c r="H266" i="1"/>
  <c r="I266" i="1" s="1"/>
  <c r="R266" i="1"/>
  <c r="S266" i="1" s="1"/>
  <c r="V245" i="1"/>
  <c r="W245" i="1" s="1"/>
  <c r="P245" i="1"/>
  <c r="Q245" i="1" s="1"/>
  <c r="N245" i="1"/>
  <c r="O245" i="1" s="1"/>
  <c r="L245" i="1"/>
  <c r="M245" i="1" s="1"/>
  <c r="J180" i="1"/>
  <c r="K180" i="1" s="1"/>
  <c r="L178" i="1"/>
  <c r="M178" i="1" s="1"/>
  <c r="H263" i="1"/>
  <c r="I263" i="1" s="1"/>
  <c r="T263" i="1"/>
  <c r="J263" i="1"/>
  <c r="K263" i="1" s="1"/>
  <c r="L263" i="1"/>
  <c r="M263" i="1" s="1"/>
  <c r="J245" i="1"/>
  <c r="K245" i="1" s="1"/>
  <c r="J261" i="1"/>
  <c r="K261" i="1" s="1"/>
  <c r="H259" i="1"/>
  <c r="I259" i="1" s="1"/>
  <c r="H250" i="1"/>
  <c r="I250" i="1" s="1"/>
  <c r="P272" i="1"/>
  <c r="Q272" i="1" s="1"/>
  <c r="T274" i="1"/>
  <c r="U274" i="1" s="1"/>
  <c r="T309" i="1"/>
  <c r="U309" i="1" s="1"/>
  <c r="R245" i="1"/>
  <c r="S245" i="1" s="1"/>
  <c r="J264" i="1"/>
  <c r="K264" i="1" s="1"/>
  <c r="L300" i="1"/>
  <c r="P306" i="1"/>
  <c r="Q306" i="1" s="1"/>
  <c r="N300" i="1"/>
  <c r="R306" i="1"/>
  <c r="S306" i="1" s="1"/>
  <c r="J302" i="1"/>
  <c r="K302" i="1" s="1"/>
  <c r="F175" i="1"/>
  <c r="F174" i="1"/>
  <c r="F172" i="1"/>
  <c r="F167" i="1"/>
  <c r="W153" i="1"/>
  <c r="U153" i="1"/>
  <c r="S153" i="1"/>
  <c r="Q153" i="1"/>
  <c r="O153" i="1"/>
  <c r="M153" i="1"/>
  <c r="K153" i="1"/>
  <c r="W152" i="1"/>
  <c r="U152" i="1"/>
  <c r="S152" i="1"/>
  <c r="Q152" i="1"/>
  <c r="O152" i="1"/>
  <c r="M152" i="1"/>
  <c r="K152" i="1"/>
  <c r="N63" i="1"/>
  <c r="N64" i="1"/>
  <c r="L64" i="1"/>
  <c r="L63" i="1"/>
  <c r="J63" i="1"/>
  <c r="J64" i="1"/>
  <c r="L94" i="1"/>
  <c r="J94" i="1"/>
  <c r="J96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69" i="1"/>
  <c r="M54" i="1"/>
  <c r="K54" i="1"/>
  <c r="M53" i="1"/>
  <c r="K53" i="1"/>
  <c r="M52" i="1"/>
  <c r="K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69" i="1"/>
  <c r="K69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V65" i="1"/>
  <c r="W65" i="1" s="1"/>
  <c r="T65" i="1"/>
  <c r="U65" i="1" s="1"/>
  <c r="R65" i="1"/>
  <c r="S65" i="1" s="1"/>
  <c r="P65" i="1"/>
  <c r="Q65" i="1" s="1"/>
  <c r="N65" i="1"/>
  <c r="O65" i="1" s="1"/>
  <c r="V66" i="1"/>
  <c r="W66" i="1" s="1"/>
  <c r="T66" i="1"/>
  <c r="U66" i="1" s="1"/>
  <c r="R66" i="1"/>
  <c r="S66" i="1" s="1"/>
  <c r="P66" i="1"/>
  <c r="Q66" i="1" s="1"/>
  <c r="N66" i="1"/>
  <c r="O66" i="1" s="1"/>
  <c r="F571" i="1"/>
  <c r="F570" i="1"/>
  <c r="R167" i="1" l="1"/>
  <c r="S167" i="1" s="1"/>
  <c r="P167" i="1"/>
  <c r="Q167" i="1" s="1"/>
  <c r="L167" i="1"/>
  <c r="M167" i="1" s="1"/>
  <c r="T167" i="1"/>
  <c r="U167" i="1" s="1"/>
  <c r="N167" i="1"/>
  <c r="O167" i="1" s="1"/>
  <c r="V167" i="1"/>
  <c r="W167" i="1" s="1"/>
  <c r="P174" i="1"/>
  <c r="Q174" i="1" s="1"/>
  <c r="T174" i="1"/>
  <c r="U174" i="1" s="1"/>
  <c r="N174" i="1"/>
  <c r="O174" i="1" s="1"/>
  <c r="J174" i="1"/>
  <c r="K174" i="1" s="1"/>
  <c r="L174" i="1"/>
  <c r="M174" i="1" s="1"/>
  <c r="R174" i="1"/>
  <c r="S174" i="1" s="1"/>
  <c r="H174" i="1"/>
  <c r="I174" i="1" s="1"/>
  <c r="V174" i="1"/>
  <c r="W174" i="1" s="1"/>
  <c r="N175" i="1"/>
  <c r="O175" i="1" s="1"/>
  <c r="L175" i="1"/>
  <c r="M175" i="1" s="1"/>
  <c r="J175" i="1"/>
  <c r="K175" i="1" s="1"/>
  <c r="P175" i="1"/>
  <c r="Q175" i="1" s="1"/>
  <c r="V175" i="1"/>
  <c r="W175" i="1" s="1"/>
  <c r="H175" i="1"/>
  <c r="I175" i="1" s="1"/>
  <c r="T175" i="1"/>
  <c r="U175" i="1" s="1"/>
  <c r="R175" i="1"/>
  <c r="S175" i="1" s="1"/>
  <c r="W135" i="1"/>
  <c r="U135" i="1"/>
  <c r="S135" i="1"/>
  <c r="Q135" i="1"/>
  <c r="O135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L58" i="1"/>
  <c r="N58" i="1"/>
  <c r="P58" i="1"/>
  <c r="R58" i="1"/>
  <c r="T58" i="1"/>
  <c r="V58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O43" i="1"/>
  <c r="W42" i="1"/>
  <c r="U42" i="1"/>
  <c r="S42" i="1"/>
  <c r="Q42" i="1"/>
  <c r="O42" i="1"/>
  <c r="W41" i="1"/>
  <c r="U41" i="1"/>
  <c r="S41" i="1"/>
  <c r="Q41" i="1"/>
  <c r="O41" i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28" i="1"/>
  <c r="F14" i="1"/>
  <c r="T28" i="1" l="1"/>
  <c r="U28" i="1" s="1"/>
  <c r="R28" i="1"/>
  <c r="S28" i="1" s="1"/>
  <c r="N28" i="1"/>
  <c r="O28" i="1" s="1"/>
  <c r="L28" i="1"/>
  <c r="M28" i="1" s="1"/>
  <c r="V28" i="1"/>
  <c r="W28" i="1" s="1"/>
  <c r="P28" i="1"/>
  <c r="Q28" i="1" s="1"/>
  <c r="Q764" i="1" l="1"/>
  <c r="V64" i="1" l="1"/>
  <c r="W64" i="1" s="1"/>
  <c r="T64" i="1"/>
  <c r="U64" i="1" s="1"/>
  <c r="R64" i="1"/>
  <c r="S64" i="1" s="1"/>
  <c r="P64" i="1"/>
  <c r="Q64" i="1" s="1"/>
  <c r="O64" i="1"/>
  <c r="M64" i="1"/>
  <c r="K64" i="1"/>
  <c r="V63" i="1"/>
  <c r="T63" i="1"/>
  <c r="R63" i="1"/>
  <c r="P63" i="1"/>
  <c r="G64" i="1"/>
  <c r="W166" i="1" l="1"/>
  <c r="U166" i="1"/>
  <c r="S166" i="1"/>
  <c r="Q166" i="1"/>
  <c r="O166" i="1"/>
  <c r="M166" i="1"/>
  <c r="K166" i="1"/>
  <c r="I166" i="1"/>
  <c r="W164" i="1"/>
  <c r="U164" i="1"/>
  <c r="S164" i="1"/>
  <c r="Q164" i="1"/>
  <c r="O164" i="1"/>
  <c r="M164" i="1"/>
  <c r="K164" i="1"/>
  <c r="I164" i="1"/>
  <c r="W162" i="1"/>
  <c r="U162" i="1"/>
  <c r="S162" i="1"/>
  <c r="Q162" i="1"/>
  <c r="O162" i="1"/>
  <c r="M162" i="1"/>
  <c r="K162" i="1"/>
  <c r="I162" i="1"/>
  <c r="W161" i="1"/>
  <c r="U161" i="1"/>
  <c r="S161" i="1"/>
  <c r="Q161" i="1"/>
  <c r="O161" i="1"/>
  <c r="M161" i="1"/>
  <c r="K161" i="1"/>
  <c r="I161" i="1"/>
  <c r="I163" i="1"/>
  <c r="K163" i="1"/>
  <c r="M163" i="1"/>
  <c r="W163" i="1"/>
  <c r="U163" i="1"/>
  <c r="S163" i="1"/>
  <c r="Q163" i="1"/>
  <c r="O163" i="1"/>
  <c r="W165" i="1"/>
  <c r="U165" i="1"/>
  <c r="S165" i="1"/>
  <c r="Q165" i="1"/>
  <c r="O165" i="1"/>
  <c r="M165" i="1"/>
  <c r="K165" i="1"/>
  <c r="I165" i="1"/>
  <c r="T449" i="1" l="1"/>
  <c r="U449" i="1" s="1"/>
  <c r="N449" i="1" l="1"/>
  <c r="O449" i="1" s="1"/>
  <c r="V449" i="1"/>
  <c r="W449" i="1" s="1"/>
  <c r="L449" i="1"/>
  <c r="M449" i="1" s="1"/>
  <c r="H449" i="1"/>
  <c r="I449" i="1" s="1"/>
  <c r="P449" i="1"/>
  <c r="Q449" i="1" s="1"/>
  <c r="G449" i="1"/>
  <c r="J449" i="1"/>
  <c r="K449" i="1" s="1"/>
  <c r="R449" i="1"/>
  <c r="S449" i="1" s="1"/>
  <c r="G240" i="1" l="1"/>
  <c r="G594" i="1"/>
  <c r="V594" i="1"/>
  <c r="W594" i="1" s="1"/>
  <c r="N594" i="1" l="1"/>
  <c r="O594" i="1" s="1"/>
  <c r="H594" i="1"/>
  <c r="I594" i="1" s="1"/>
  <c r="L594" i="1"/>
  <c r="M594" i="1" s="1"/>
  <c r="P594" i="1"/>
  <c r="Q594" i="1" s="1"/>
  <c r="R594" i="1"/>
  <c r="S594" i="1" s="1"/>
  <c r="T594" i="1"/>
  <c r="U594" i="1" s="1"/>
  <c r="J594" i="1"/>
  <c r="K594" i="1" s="1"/>
  <c r="W468" i="1"/>
  <c r="U468" i="1"/>
  <c r="S468" i="1"/>
  <c r="Q468" i="1"/>
  <c r="O468" i="1"/>
  <c r="W469" i="1" l="1"/>
  <c r="U469" i="1"/>
  <c r="S469" i="1"/>
  <c r="Q469" i="1"/>
  <c r="O469" i="1"/>
  <c r="W467" i="1"/>
  <c r="U467" i="1"/>
  <c r="S467" i="1"/>
  <c r="Q467" i="1"/>
  <c r="O467" i="1"/>
  <c r="W212" i="1" l="1"/>
  <c r="W211" i="1"/>
  <c r="U212" i="1"/>
  <c r="U211" i="1"/>
  <c r="S212" i="1"/>
  <c r="S211" i="1"/>
  <c r="Q212" i="1"/>
  <c r="Q211" i="1"/>
  <c r="O212" i="1"/>
  <c r="O211" i="1"/>
  <c r="W471" i="1"/>
  <c r="W470" i="1"/>
  <c r="U471" i="1"/>
  <c r="U470" i="1"/>
  <c r="S471" i="1"/>
  <c r="S470" i="1"/>
  <c r="Q471" i="1"/>
  <c r="Q470" i="1"/>
  <c r="O471" i="1"/>
  <c r="O470" i="1"/>
  <c r="F648" i="1" l="1"/>
  <c r="W483" i="1" l="1"/>
  <c r="U483" i="1"/>
  <c r="S483" i="1"/>
  <c r="Q483" i="1"/>
  <c r="O483" i="1"/>
  <c r="M483" i="1"/>
  <c r="W213" i="1" l="1"/>
  <c r="U213" i="1"/>
  <c r="S213" i="1"/>
  <c r="Q213" i="1"/>
  <c r="O213" i="1"/>
  <c r="F345" i="1" l="1"/>
  <c r="T345" i="1" l="1"/>
  <c r="U345" i="1" s="1"/>
  <c r="R345" i="1"/>
  <c r="S345" i="1" s="1"/>
  <c r="N345" i="1"/>
  <c r="O345" i="1" s="1"/>
  <c r="L345" i="1"/>
  <c r="M345" i="1" s="1"/>
  <c r="J345" i="1"/>
  <c r="K345" i="1" s="1"/>
  <c r="H345" i="1"/>
  <c r="I345" i="1" s="1"/>
  <c r="P345" i="1"/>
  <c r="Q345" i="1" s="1"/>
  <c r="V345" i="1"/>
  <c r="W345" i="1" s="1"/>
  <c r="T561" i="1" l="1"/>
  <c r="U561" i="1" s="1"/>
  <c r="R561" i="1" l="1"/>
  <c r="S561" i="1" s="1"/>
  <c r="G561" i="1"/>
  <c r="J561" i="1"/>
  <c r="K561" i="1" s="1"/>
  <c r="V561" i="1"/>
  <c r="W561" i="1" s="1"/>
  <c r="L561" i="1"/>
  <c r="M561" i="1" s="1"/>
  <c r="N561" i="1"/>
  <c r="O561" i="1" s="1"/>
  <c r="P561" i="1"/>
  <c r="Q561" i="1" s="1"/>
  <c r="H561" i="1"/>
  <c r="I561" i="1" s="1"/>
  <c r="G176" i="1" l="1"/>
  <c r="W117" i="1"/>
  <c r="U117" i="1"/>
  <c r="S117" i="1"/>
  <c r="Q117" i="1"/>
  <c r="O117" i="1"/>
  <c r="W116" i="1"/>
  <c r="U116" i="1"/>
  <c r="S116" i="1"/>
  <c r="Q116" i="1"/>
  <c r="O116" i="1"/>
  <c r="W115" i="1"/>
  <c r="W114" i="1"/>
  <c r="W113" i="1"/>
  <c r="W112" i="1"/>
  <c r="U115" i="1"/>
  <c r="U114" i="1"/>
  <c r="U113" i="1"/>
  <c r="U112" i="1"/>
  <c r="S115" i="1"/>
  <c r="S114" i="1"/>
  <c r="S113" i="1"/>
  <c r="S112" i="1"/>
  <c r="Q115" i="1"/>
  <c r="Q114" i="1"/>
  <c r="Q113" i="1"/>
  <c r="Q112" i="1"/>
  <c r="O115" i="1"/>
  <c r="O114" i="1"/>
  <c r="O113" i="1"/>
  <c r="O112" i="1"/>
  <c r="V24" i="1" l="1"/>
  <c r="W24" i="1" s="1"/>
  <c r="T24" i="1"/>
  <c r="U24" i="1" s="1"/>
  <c r="R24" i="1"/>
  <c r="S24" i="1" s="1"/>
  <c r="P24" i="1"/>
  <c r="Q24" i="1" s="1"/>
  <c r="N24" i="1"/>
  <c r="O24" i="1" s="1"/>
  <c r="L24" i="1"/>
  <c r="M24" i="1" s="1"/>
  <c r="J24" i="1"/>
  <c r="K24" i="1" s="1"/>
  <c r="F205" i="1" l="1"/>
  <c r="L205" i="1" l="1"/>
  <c r="M205" i="1" s="1"/>
  <c r="P205" i="1"/>
  <c r="Q205" i="1" s="1"/>
  <c r="N205" i="1"/>
  <c r="O205" i="1" s="1"/>
  <c r="V205" i="1"/>
  <c r="W205" i="1" s="1"/>
  <c r="T205" i="1"/>
  <c r="U205" i="1" s="1"/>
  <c r="R205" i="1"/>
  <c r="S205" i="1" s="1"/>
  <c r="F466" i="1"/>
  <c r="P466" i="1" s="1"/>
  <c r="Q466" i="1" s="1"/>
  <c r="R466" i="1" l="1"/>
  <c r="S466" i="1" s="1"/>
  <c r="T466" i="1"/>
  <c r="U466" i="1" s="1"/>
  <c r="V466" i="1"/>
  <c r="W466" i="1" s="1"/>
  <c r="G466" i="1"/>
  <c r="N466" i="1"/>
  <c r="O466" i="1" s="1"/>
  <c r="F216" i="1" l="1"/>
  <c r="T216" i="1" l="1"/>
  <c r="U216" i="1" s="1"/>
  <c r="R216" i="1"/>
  <c r="S216" i="1" s="1"/>
  <c r="N216" i="1"/>
  <c r="O216" i="1" s="1"/>
  <c r="P216" i="1"/>
  <c r="Q216" i="1" s="1"/>
  <c r="L216" i="1"/>
  <c r="M216" i="1" s="1"/>
  <c r="J216" i="1"/>
  <c r="K216" i="1" s="1"/>
  <c r="V216" i="1"/>
  <c r="W216" i="1" s="1"/>
  <c r="G216" i="1"/>
  <c r="H690" i="1"/>
  <c r="H687" i="1"/>
  <c r="H685" i="1"/>
  <c r="I685" i="1" s="1"/>
  <c r="G233" i="1"/>
  <c r="F465" i="1"/>
  <c r="P465" i="1" s="1"/>
  <c r="Q465" i="1" s="1"/>
  <c r="F464" i="1"/>
  <c r="N464" i="1" s="1"/>
  <c r="O464" i="1" s="1"/>
  <c r="F463" i="1"/>
  <c r="V463" i="1" s="1"/>
  <c r="W463" i="1" s="1"/>
  <c r="F462" i="1"/>
  <c r="V462" i="1" s="1"/>
  <c r="W462" i="1" s="1"/>
  <c r="F461" i="1"/>
  <c r="N461" i="1" s="1"/>
  <c r="O461" i="1" s="1"/>
  <c r="F460" i="1"/>
  <c r="G460" i="1" s="1"/>
  <c r="G612" i="1"/>
  <c r="N612" i="1"/>
  <c r="O612" i="1" s="1"/>
  <c r="J685" i="1" l="1"/>
  <c r="K685" i="1" s="1"/>
  <c r="L685" i="1"/>
  <c r="M685" i="1" s="1"/>
  <c r="N685" i="1"/>
  <c r="O685" i="1" s="1"/>
  <c r="T685" i="1"/>
  <c r="U685" i="1" s="1"/>
  <c r="P685" i="1"/>
  <c r="Q685" i="1" s="1"/>
  <c r="R685" i="1"/>
  <c r="S685" i="1" s="1"/>
  <c r="V685" i="1"/>
  <c r="W685" i="1" s="1"/>
  <c r="G465" i="1"/>
  <c r="R465" i="1"/>
  <c r="S465" i="1" s="1"/>
  <c r="T465" i="1"/>
  <c r="U465" i="1" s="1"/>
  <c r="V465" i="1"/>
  <c r="W465" i="1" s="1"/>
  <c r="N465" i="1"/>
  <c r="O465" i="1" s="1"/>
  <c r="N460" i="1"/>
  <c r="O460" i="1" s="1"/>
  <c r="R460" i="1"/>
  <c r="S460" i="1" s="1"/>
  <c r="V460" i="1"/>
  <c r="W460" i="1" s="1"/>
  <c r="P460" i="1"/>
  <c r="Q460" i="1" s="1"/>
  <c r="T460" i="1"/>
  <c r="U460" i="1" s="1"/>
  <c r="P464" i="1"/>
  <c r="Q464" i="1" s="1"/>
  <c r="R464" i="1"/>
  <c r="S464" i="1" s="1"/>
  <c r="V464" i="1"/>
  <c r="W464" i="1" s="1"/>
  <c r="G464" i="1"/>
  <c r="T464" i="1"/>
  <c r="U464" i="1" s="1"/>
  <c r="R463" i="1"/>
  <c r="S463" i="1" s="1"/>
  <c r="P463" i="1"/>
  <c r="Q463" i="1" s="1"/>
  <c r="N463" i="1"/>
  <c r="O463" i="1" s="1"/>
  <c r="T463" i="1"/>
  <c r="U463" i="1" s="1"/>
  <c r="G463" i="1"/>
  <c r="T462" i="1"/>
  <c r="U462" i="1" s="1"/>
  <c r="G462" i="1"/>
  <c r="N462" i="1"/>
  <c r="O462" i="1" s="1"/>
  <c r="P462" i="1"/>
  <c r="Q462" i="1" s="1"/>
  <c r="R462" i="1"/>
  <c r="S462" i="1" s="1"/>
  <c r="G461" i="1"/>
  <c r="P461" i="1"/>
  <c r="Q461" i="1" s="1"/>
  <c r="R461" i="1"/>
  <c r="S461" i="1" s="1"/>
  <c r="T461" i="1"/>
  <c r="U461" i="1" s="1"/>
  <c r="V461" i="1"/>
  <c r="W461" i="1" s="1"/>
  <c r="R612" i="1"/>
  <c r="S612" i="1" s="1"/>
  <c r="T612" i="1"/>
  <c r="U612" i="1" s="1"/>
  <c r="V612" i="1"/>
  <c r="W612" i="1" s="1"/>
  <c r="P612" i="1"/>
  <c r="Q612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G669" i="1"/>
  <c r="V668" i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G668" i="1"/>
  <c r="V666" i="1"/>
  <c r="W666" i="1" s="1"/>
  <c r="T666" i="1"/>
  <c r="U666" i="1" s="1"/>
  <c r="R666" i="1"/>
  <c r="S666" i="1" s="1"/>
  <c r="P666" i="1"/>
  <c r="Q666" i="1" s="1"/>
  <c r="N666" i="1"/>
  <c r="O666" i="1" s="1"/>
  <c r="L666" i="1"/>
  <c r="M666" i="1" s="1"/>
  <c r="G666" i="1"/>
  <c r="V665" i="1"/>
  <c r="W665" i="1" s="1"/>
  <c r="T665" i="1"/>
  <c r="U665" i="1" s="1"/>
  <c r="R665" i="1"/>
  <c r="S665" i="1" s="1"/>
  <c r="P665" i="1"/>
  <c r="Q665" i="1" s="1"/>
  <c r="N665" i="1"/>
  <c r="O665" i="1" s="1"/>
  <c r="L665" i="1"/>
  <c r="M665" i="1" s="1"/>
  <c r="G665" i="1"/>
  <c r="V664" i="1"/>
  <c r="W664" i="1" s="1"/>
  <c r="T664" i="1"/>
  <c r="U664" i="1" s="1"/>
  <c r="R664" i="1"/>
  <c r="S664" i="1" s="1"/>
  <c r="P664" i="1"/>
  <c r="Q664" i="1" s="1"/>
  <c r="N664" i="1"/>
  <c r="O664" i="1" s="1"/>
  <c r="G664" i="1"/>
  <c r="F606" i="1" l="1"/>
  <c r="F450" i="1"/>
  <c r="F447" i="1"/>
  <c r="F442" i="1"/>
  <c r="F427" i="1"/>
  <c r="F425" i="1"/>
  <c r="F421" i="1"/>
  <c r="F417" i="1"/>
  <c r="F380" i="1"/>
  <c r="F289" i="1"/>
  <c r="F62" i="1"/>
  <c r="F283" i="1"/>
  <c r="F271" i="1"/>
  <c r="F269" i="1"/>
  <c r="F258" i="1"/>
  <c r="F254" i="1"/>
  <c r="F252" i="1"/>
  <c r="F247" i="1"/>
  <c r="F209" i="1"/>
  <c r="F203" i="1"/>
  <c r="F204" i="1"/>
  <c r="F154" i="1"/>
  <c r="F373" i="1"/>
  <c r="F372" i="1"/>
  <c r="F363" i="1"/>
  <c r="F362" i="1"/>
  <c r="F361" i="1"/>
  <c r="F347" i="1"/>
  <c r="F352" i="1"/>
  <c r="F294" i="1"/>
  <c r="G296" i="1"/>
  <c r="V154" i="1" l="1"/>
  <c r="T154" i="1"/>
  <c r="R154" i="1"/>
  <c r="P154" i="1"/>
  <c r="N154" i="1"/>
  <c r="L154" i="1"/>
  <c r="J154" i="1"/>
  <c r="H154" i="1"/>
  <c r="V352" i="1"/>
  <c r="W352" i="1" s="1"/>
  <c r="P352" i="1"/>
  <c r="Q352" i="1" s="1"/>
  <c r="R352" i="1"/>
  <c r="S352" i="1" s="1"/>
  <c r="T352" i="1"/>
  <c r="U352" i="1" s="1"/>
  <c r="L352" i="1"/>
  <c r="M352" i="1" s="1"/>
  <c r="N352" i="1"/>
  <c r="O352" i="1" s="1"/>
  <c r="R347" i="1"/>
  <c r="V347" i="1"/>
  <c r="L347" i="1"/>
  <c r="T347" i="1"/>
  <c r="N347" i="1"/>
  <c r="P347" i="1"/>
  <c r="L361" i="1"/>
  <c r="M361" i="1" s="1"/>
  <c r="T361" i="1"/>
  <c r="U361" i="1" s="1"/>
  <c r="R361" i="1"/>
  <c r="S361" i="1" s="1"/>
  <c r="P361" i="1"/>
  <c r="Q361" i="1" s="1"/>
  <c r="N361" i="1"/>
  <c r="O361" i="1" s="1"/>
  <c r="V362" i="1"/>
  <c r="W362" i="1" s="1"/>
  <c r="R362" i="1"/>
  <c r="S362" i="1" s="1"/>
  <c r="N362" i="1"/>
  <c r="O362" i="1" s="1"/>
  <c r="L362" i="1"/>
  <c r="M362" i="1" s="1"/>
  <c r="P362" i="1"/>
  <c r="Q362" i="1" s="1"/>
  <c r="T362" i="1"/>
  <c r="U362" i="1" s="1"/>
  <c r="T363" i="1"/>
  <c r="U363" i="1" s="1"/>
  <c r="R363" i="1"/>
  <c r="S363" i="1" s="1"/>
  <c r="L363" i="1"/>
  <c r="M363" i="1" s="1"/>
  <c r="P363" i="1"/>
  <c r="Q363" i="1" s="1"/>
  <c r="N363" i="1"/>
  <c r="O363" i="1" s="1"/>
  <c r="V363" i="1"/>
  <c r="W363" i="1" s="1"/>
  <c r="L425" i="1"/>
  <c r="M425" i="1" s="1"/>
  <c r="N425" i="1"/>
  <c r="O425" i="1" s="1"/>
  <c r="P425" i="1"/>
  <c r="Q425" i="1" s="1"/>
  <c r="R425" i="1"/>
  <c r="S425" i="1" s="1"/>
  <c r="V425" i="1"/>
  <c r="W425" i="1" s="1"/>
  <c r="T425" i="1"/>
  <c r="U425" i="1" s="1"/>
  <c r="R380" i="1"/>
  <c r="S380" i="1" s="1"/>
  <c r="N380" i="1"/>
  <c r="O380" i="1" s="1"/>
  <c r="L380" i="1"/>
  <c r="M380" i="1" s="1"/>
  <c r="V380" i="1"/>
  <c r="W380" i="1" s="1"/>
  <c r="T380" i="1"/>
  <c r="U380" i="1" s="1"/>
  <c r="P380" i="1"/>
  <c r="Q380" i="1" s="1"/>
  <c r="N417" i="1"/>
  <c r="O417" i="1" s="1"/>
  <c r="R417" i="1"/>
  <c r="S417" i="1" s="1"/>
  <c r="T417" i="1"/>
  <c r="U417" i="1" s="1"/>
  <c r="V417" i="1"/>
  <c r="W417" i="1" s="1"/>
  <c r="L417" i="1"/>
  <c r="M417" i="1" s="1"/>
  <c r="P417" i="1"/>
  <c r="Q417" i="1" s="1"/>
  <c r="V427" i="1"/>
  <c r="W427" i="1" s="1"/>
  <c r="T427" i="1"/>
  <c r="U427" i="1" s="1"/>
  <c r="R427" i="1"/>
  <c r="S427" i="1" s="1"/>
  <c r="P427" i="1"/>
  <c r="Q427" i="1" s="1"/>
  <c r="N427" i="1"/>
  <c r="O427" i="1" s="1"/>
  <c r="N406" i="1"/>
  <c r="O406" i="1" s="1"/>
  <c r="P406" i="1"/>
  <c r="Q406" i="1" s="1"/>
  <c r="R406" i="1"/>
  <c r="S406" i="1" s="1"/>
  <c r="T406" i="1"/>
  <c r="U406" i="1" s="1"/>
  <c r="L406" i="1"/>
  <c r="M406" i="1" s="1"/>
  <c r="V406" i="1"/>
  <c r="W406" i="1" s="1"/>
  <c r="T421" i="1"/>
  <c r="U421" i="1" s="1"/>
  <c r="V421" i="1"/>
  <c r="W421" i="1" s="1"/>
  <c r="N421" i="1"/>
  <c r="O421" i="1" s="1"/>
  <c r="L421" i="1"/>
  <c r="M421" i="1" s="1"/>
  <c r="P421" i="1"/>
  <c r="Q421" i="1" s="1"/>
  <c r="R421" i="1"/>
  <c r="S421" i="1" s="1"/>
  <c r="T372" i="1"/>
  <c r="U372" i="1" s="1"/>
  <c r="R372" i="1"/>
  <c r="S372" i="1" s="1"/>
  <c r="P372" i="1"/>
  <c r="Q372" i="1" s="1"/>
  <c r="N372" i="1"/>
  <c r="O372" i="1" s="1"/>
  <c r="L372" i="1"/>
  <c r="M372" i="1" s="1"/>
  <c r="T373" i="1"/>
  <c r="U373" i="1" s="1"/>
  <c r="P373" i="1"/>
  <c r="Q373" i="1" s="1"/>
  <c r="V373" i="1"/>
  <c r="W373" i="1" s="1"/>
  <c r="R373" i="1"/>
  <c r="S373" i="1" s="1"/>
  <c r="N373" i="1"/>
  <c r="O373" i="1" s="1"/>
  <c r="L373" i="1"/>
  <c r="M373" i="1" s="1"/>
  <c r="V247" i="1"/>
  <c r="W247" i="1" s="1"/>
  <c r="J247" i="1"/>
  <c r="K247" i="1" s="1"/>
  <c r="P247" i="1"/>
  <c r="Q247" i="1" s="1"/>
  <c r="N247" i="1"/>
  <c r="O247" i="1" s="1"/>
  <c r="L247" i="1"/>
  <c r="M247" i="1" s="1"/>
  <c r="T247" i="1"/>
  <c r="U247" i="1" s="1"/>
  <c r="R247" i="1"/>
  <c r="S247" i="1" s="1"/>
  <c r="L294" i="1"/>
  <c r="M294" i="1" s="1"/>
  <c r="J294" i="1"/>
  <c r="K294" i="1" s="1"/>
  <c r="V294" i="1"/>
  <c r="W294" i="1" s="1"/>
  <c r="T294" i="1"/>
  <c r="U294" i="1" s="1"/>
  <c r="R294" i="1"/>
  <c r="S294" i="1" s="1"/>
  <c r="P294" i="1"/>
  <c r="Q294" i="1" s="1"/>
  <c r="N294" i="1"/>
  <c r="O294" i="1" s="1"/>
  <c r="H294" i="1"/>
  <c r="I294" i="1" s="1"/>
  <c r="N254" i="1"/>
  <c r="O254" i="1" s="1"/>
  <c r="H254" i="1"/>
  <c r="I254" i="1" s="1"/>
  <c r="J254" i="1"/>
  <c r="K254" i="1" s="1"/>
  <c r="R254" i="1"/>
  <c r="S254" i="1" s="1"/>
  <c r="L254" i="1"/>
  <c r="M254" i="1" s="1"/>
  <c r="T254" i="1"/>
  <c r="P254" i="1"/>
  <c r="Q254" i="1" s="1"/>
  <c r="L283" i="1"/>
  <c r="M283" i="1" s="1"/>
  <c r="R283" i="1"/>
  <c r="S283" i="1" s="1"/>
  <c r="H283" i="1"/>
  <c r="I283" i="1" s="1"/>
  <c r="T283" i="1"/>
  <c r="U283" i="1" s="1"/>
  <c r="J283" i="1"/>
  <c r="K283" i="1" s="1"/>
  <c r="N283" i="1"/>
  <c r="O283" i="1" s="1"/>
  <c r="P283" i="1"/>
  <c r="Q283" i="1" s="1"/>
  <c r="J252" i="1"/>
  <c r="K252" i="1" s="1"/>
  <c r="N252" i="1"/>
  <c r="O252" i="1" s="1"/>
  <c r="P252" i="1"/>
  <c r="Q252" i="1" s="1"/>
  <c r="H252" i="1"/>
  <c r="I252" i="1" s="1"/>
  <c r="L252" i="1"/>
  <c r="M252" i="1" s="1"/>
  <c r="R252" i="1"/>
  <c r="S252" i="1" s="1"/>
  <c r="T252" i="1"/>
  <c r="J255" i="1"/>
  <c r="K255" i="1" s="1"/>
  <c r="N255" i="1"/>
  <c r="O255" i="1" s="1"/>
  <c r="P255" i="1"/>
  <c r="Q255" i="1" s="1"/>
  <c r="R255" i="1"/>
  <c r="S255" i="1" s="1"/>
  <c r="H255" i="1"/>
  <c r="I255" i="1" s="1"/>
  <c r="L255" i="1"/>
  <c r="M255" i="1" s="1"/>
  <c r="T255" i="1"/>
  <c r="H289" i="1"/>
  <c r="I289" i="1" s="1"/>
  <c r="L289" i="1"/>
  <c r="M289" i="1" s="1"/>
  <c r="N289" i="1"/>
  <c r="O289" i="1" s="1"/>
  <c r="R289" i="1"/>
  <c r="S289" i="1" s="1"/>
  <c r="T289" i="1"/>
  <c r="U289" i="1" s="1"/>
  <c r="P289" i="1"/>
  <c r="Q289" i="1" s="1"/>
  <c r="J289" i="1"/>
  <c r="K289" i="1" s="1"/>
  <c r="H277" i="1"/>
  <c r="I277" i="1" s="1"/>
  <c r="R277" i="1"/>
  <c r="S277" i="1" s="1"/>
  <c r="L277" i="1"/>
  <c r="M277" i="1" s="1"/>
  <c r="N277" i="1"/>
  <c r="O277" i="1" s="1"/>
  <c r="P277" i="1"/>
  <c r="Q277" i="1" s="1"/>
  <c r="J277" i="1"/>
  <c r="K277" i="1" s="1"/>
  <c r="T277" i="1"/>
  <c r="U277" i="1" s="1"/>
  <c r="T204" i="1"/>
  <c r="U204" i="1" s="1"/>
  <c r="N204" i="1"/>
  <c r="O204" i="1" s="1"/>
  <c r="V204" i="1"/>
  <c r="W204" i="1" s="1"/>
  <c r="R204" i="1"/>
  <c r="S204" i="1" s="1"/>
  <c r="L204" i="1"/>
  <c r="M204" i="1" s="1"/>
  <c r="P204" i="1"/>
  <c r="Q204" i="1" s="1"/>
  <c r="V203" i="1"/>
  <c r="W203" i="1" s="1"/>
  <c r="T203" i="1"/>
  <c r="U203" i="1" s="1"/>
  <c r="R203" i="1"/>
  <c r="S203" i="1" s="1"/>
  <c r="L203" i="1"/>
  <c r="M203" i="1" s="1"/>
  <c r="P203" i="1"/>
  <c r="Q203" i="1" s="1"/>
  <c r="N203" i="1"/>
  <c r="O203" i="1" s="1"/>
  <c r="L271" i="1"/>
  <c r="M271" i="1" s="1"/>
  <c r="J271" i="1"/>
  <c r="K271" i="1" s="1"/>
  <c r="H271" i="1"/>
  <c r="I271" i="1" s="1"/>
  <c r="N271" i="1"/>
  <c r="O271" i="1" s="1"/>
  <c r="T258" i="1"/>
  <c r="N258" i="1"/>
  <c r="O258" i="1" s="1"/>
  <c r="H258" i="1"/>
  <c r="I258" i="1" s="1"/>
  <c r="P258" i="1"/>
  <c r="Q258" i="1" s="1"/>
  <c r="R258" i="1"/>
  <c r="S258" i="1" s="1"/>
  <c r="J258" i="1"/>
  <c r="K258" i="1" s="1"/>
  <c r="L258" i="1"/>
  <c r="M258" i="1" s="1"/>
  <c r="N269" i="1"/>
  <c r="O269" i="1" s="1"/>
  <c r="H269" i="1"/>
  <c r="I269" i="1" s="1"/>
  <c r="R269" i="1"/>
  <c r="S269" i="1" s="1"/>
  <c r="J269" i="1"/>
  <c r="K269" i="1" s="1"/>
  <c r="L269" i="1"/>
  <c r="M269" i="1" s="1"/>
  <c r="P269" i="1"/>
  <c r="Q269" i="1" s="1"/>
  <c r="L209" i="1"/>
  <c r="M209" i="1" s="1"/>
  <c r="J209" i="1"/>
  <c r="K209" i="1" s="1"/>
  <c r="N209" i="1"/>
  <c r="O209" i="1" s="1"/>
  <c r="H276" i="1"/>
  <c r="I276" i="1" s="1"/>
  <c r="R276" i="1"/>
  <c r="S276" i="1" s="1"/>
  <c r="J276" i="1"/>
  <c r="K276" i="1" s="1"/>
  <c r="T276" i="1"/>
  <c r="U276" i="1" s="1"/>
  <c r="N276" i="1"/>
  <c r="O276" i="1" s="1"/>
  <c r="P276" i="1"/>
  <c r="Q276" i="1" s="1"/>
  <c r="L276" i="1"/>
  <c r="M276" i="1" s="1"/>
  <c r="V62" i="1"/>
  <c r="W62" i="1" s="1"/>
  <c r="R62" i="1"/>
  <c r="S62" i="1" s="1"/>
  <c r="J62" i="1"/>
  <c r="P62" i="1"/>
  <c r="Q62" i="1" s="1"/>
  <c r="N62" i="1"/>
  <c r="O62" i="1" s="1"/>
  <c r="T62" i="1"/>
  <c r="U62" i="1" s="1"/>
  <c r="L62" i="1"/>
  <c r="M62" i="1" s="1"/>
  <c r="G294" i="1"/>
  <c r="G225" i="1" l="1"/>
  <c r="T173" i="1" l="1"/>
  <c r="U173" i="1" s="1"/>
  <c r="J173" i="1"/>
  <c r="K173" i="1" s="1"/>
  <c r="L173" i="1"/>
  <c r="M173" i="1" s="1"/>
  <c r="V173" i="1"/>
  <c r="W173" i="1" s="1"/>
  <c r="R173" i="1"/>
  <c r="S173" i="1" s="1"/>
  <c r="H173" i="1"/>
  <c r="I173" i="1" s="1"/>
  <c r="P173" i="1"/>
  <c r="Q173" i="1" s="1"/>
  <c r="N173" i="1"/>
  <c r="O173" i="1" s="1"/>
  <c r="V172" i="1"/>
  <c r="W172" i="1" s="1"/>
  <c r="L172" i="1" l="1"/>
  <c r="M172" i="1" s="1"/>
  <c r="R172" i="1"/>
  <c r="S172" i="1" s="1"/>
  <c r="N172" i="1"/>
  <c r="O172" i="1" s="1"/>
  <c r="P172" i="1"/>
  <c r="Q172" i="1" s="1"/>
  <c r="G172" i="1"/>
  <c r="H172" i="1"/>
  <c r="I172" i="1" s="1"/>
  <c r="T172" i="1"/>
  <c r="U172" i="1" s="1"/>
  <c r="J172" i="1"/>
  <c r="K172" i="1" s="1"/>
  <c r="G402" i="1" l="1"/>
  <c r="F410" i="1" l="1"/>
  <c r="F182" i="1"/>
  <c r="F179" i="1"/>
  <c r="F419" i="1"/>
  <c r="P419" i="1" l="1"/>
  <c r="Q419" i="1" s="1"/>
  <c r="R419" i="1"/>
  <c r="S419" i="1" s="1"/>
  <c r="T419" i="1"/>
  <c r="U419" i="1" s="1"/>
  <c r="L419" i="1"/>
  <c r="M419" i="1" s="1"/>
  <c r="V419" i="1"/>
  <c r="W419" i="1" s="1"/>
  <c r="N419" i="1"/>
  <c r="O419" i="1" s="1"/>
  <c r="P410" i="1"/>
  <c r="Q410" i="1" s="1"/>
  <c r="R410" i="1"/>
  <c r="S410" i="1" s="1"/>
  <c r="T410" i="1"/>
  <c r="U410" i="1" s="1"/>
  <c r="L410" i="1"/>
  <c r="M410" i="1" s="1"/>
  <c r="N410" i="1"/>
  <c r="O410" i="1" s="1"/>
  <c r="V410" i="1"/>
  <c r="W410" i="1" s="1"/>
  <c r="N179" i="1"/>
  <c r="O179" i="1" s="1"/>
  <c r="L179" i="1"/>
  <c r="M179" i="1" s="1"/>
  <c r="H179" i="1"/>
  <c r="I179" i="1" s="1"/>
  <c r="P179" i="1"/>
  <c r="Q179" i="1" s="1"/>
  <c r="J179" i="1"/>
  <c r="K179" i="1" s="1"/>
  <c r="V179" i="1"/>
  <c r="W179" i="1" s="1"/>
  <c r="R179" i="1"/>
  <c r="S179" i="1" s="1"/>
  <c r="T179" i="1"/>
  <c r="U179" i="1" s="1"/>
  <c r="F297" i="1"/>
  <c r="J297" i="1" s="1"/>
  <c r="K297" i="1" s="1"/>
  <c r="N332" i="1" l="1"/>
  <c r="O332" i="1" s="1"/>
  <c r="L332" i="1"/>
  <c r="M332" i="1" s="1"/>
  <c r="J332" i="1"/>
  <c r="K332" i="1" s="1"/>
  <c r="V332" i="1"/>
  <c r="W332" i="1" s="1"/>
  <c r="H332" i="1"/>
  <c r="I332" i="1" s="1"/>
  <c r="T332" i="1"/>
  <c r="U332" i="1" s="1"/>
  <c r="R332" i="1"/>
  <c r="S332" i="1" s="1"/>
  <c r="P332" i="1"/>
  <c r="Q332" i="1" s="1"/>
  <c r="J343" i="1"/>
  <c r="K343" i="1" s="1"/>
  <c r="V343" i="1"/>
  <c r="W343" i="1" s="1"/>
  <c r="H343" i="1"/>
  <c r="I343" i="1" s="1"/>
  <c r="T343" i="1"/>
  <c r="U343" i="1" s="1"/>
  <c r="R343" i="1"/>
  <c r="S343" i="1" s="1"/>
  <c r="P343" i="1"/>
  <c r="Q343" i="1" s="1"/>
  <c r="N343" i="1"/>
  <c r="O343" i="1" s="1"/>
  <c r="L343" i="1"/>
  <c r="M343" i="1" s="1"/>
  <c r="L329" i="1"/>
  <c r="M329" i="1" s="1"/>
  <c r="J329" i="1"/>
  <c r="K329" i="1" s="1"/>
  <c r="V329" i="1"/>
  <c r="W329" i="1" s="1"/>
  <c r="T329" i="1"/>
  <c r="U329" i="1" s="1"/>
  <c r="R329" i="1"/>
  <c r="S329" i="1" s="1"/>
  <c r="P329" i="1"/>
  <c r="Q329" i="1" s="1"/>
  <c r="N329" i="1"/>
  <c r="O329" i="1" s="1"/>
  <c r="H329" i="1"/>
  <c r="I329" i="1" s="1"/>
  <c r="G329" i="1"/>
  <c r="G297" i="1"/>
  <c r="L297" i="1"/>
  <c r="M297" i="1" s="1"/>
  <c r="N297" i="1"/>
  <c r="O297" i="1" s="1"/>
  <c r="P297" i="1"/>
  <c r="Q297" i="1" s="1"/>
  <c r="V297" i="1"/>
  <c r="W297" i="1" s="1"/>
  <c r="R297" i="1"/>
  <c r="S297" i="1" s="1"/>
  <c r="H297" i="1"/>
  <c r="I297" i="1" s="1"/>
  <c r="T297" i="1"/>
  <c r="U297" i="1" s="1"/>
  <c r="P676" i="1" l="1"/>
  <c r="Q676" i="1" s="1"/>
  <c r="F257" i="1"/>
  <c r="T326" i="1" l="1"/>
  <c r="U326" i="1" s="1"/>
  <c r="R326" i="1"/>
  <c r="S326" i="1" s="1"/>
  <c r="N326" i="1"/>
  <c r="O326" i="1" s="1"/>
  <c r="L326" i="1"/>
  <c r="M326" i="1" s="1"/>
  <c r="J326" i="1"/>
  <c r="K326" i="1" s="1"/>
  <c r="H326" i="1"/>
  <c r="I326" i="1" s="1"/>
  <c r="V326" i="1"/>
  <c r="W326" i="1" s="1"/>
  <c r="P326" i="1"/>
  <c r="Q326" i="1" s="1"/>
  <c r="L339" i="1"/>
  <c r="M339" i="1" s="1"/>
  <c r="J339" i="1"/>
  <c r="K339" i="1" s="1"/>
  <c r="V339" i="1"/>
  <c r="W339" i="1" s="1"/>
  <c r="H339" i="1"/>
  <c r="I339" i="1" s="1"/>
  <c r="T339" i="1"/>
  <c r="U339" i="1" s="1"/>
  <c r="R339" i="1"/>
  <c r="S339" i="1" s="1"/>
  <c r="P339" i="1"/>
  <c r="Q339" i="1" s="1"/>
  <c r="N339" i="1"/>
  <c r="O339" i="1" s="1"/>
  <c r="V325" i="1"/>
  <c r="W325" i="1" s="1"/>
  <c r="J325" i="1"/>
  <c r="K325" i="1" s="1"/>
  <c r="T325" i="1"/>
  <c r="U325" i="1" s="1"/>
  <c r="H325" i="1"/>
  <c r="I325" i="1" s="1"/>
  <c r="P325" i="1"/>
  <c r="Q325" i="1" s="1"/>
  <c r="N325" i="1"/>
  <c r="O325" i="1" s="1"/>
  <c r="L325" i="1"/>
  <c r="M325" i="1" s="1"/>
  <c r="R325" i="1"/>
  <c r="S325" i="1" s="1"/>
  <c r="L324" i="1"/>
  <c r="M324" i="1" s="1"/>
  <c r="J324" i="1"/>
  <c r="K324" i="1" s="1"/>
  <c r="T324" i="1"/>
  <c r="U324" i="1" s="1"/>
  <c r="R324" i="1"/>
  <c r="S324" i="1" s="1"/>
  <c r="P324" i="1"/>
  <c r="Q324" i="1" s="1"/>
  <c r="V324" i="1"/>
  <c r="W324" i="1" s="1"/>
  <c r="N324" i="1"/>
  <c r="O324" i="1" s="1"/>
  <c r="H324" i="1"/>
  <c r="I324" i="1" s="1"/>
  <c r="R333" i="1"/>
  <c r="S333" i="1" s="1"/>
  <c r="N333" i="1"/>
  <c r="O333" i="1" s="1"/>
  <c r="L333" i="1"/>
  <c r="M333" i="1" s="1"/>
  <c r="V333" i="1"/>
  <c r="W333" i="1" s="1"/>
  <c r="J333" i="1"/>
  <c r="K333" i="1" s="1"/>
  <c r="T333" i="1"/>
  <c r="U333" i="1" s="1"/>
  <c r="P333" i="1"/>
  <c r="Q333" i="1" s="1"/>
  <c r="H333" i="1"/>
  <c r="I333" i="1" s="1"/>
  <c r="P334" i="1"/>
  <c r="Q334" i="1" s="1"/>
  <c r="N334" i="1"/>
  <c r="O334" i="1" s="1"/>
  <c r="V334" i="1"/>
  <c r="W334" i="1" s="1"/>
  <c r="J334" i="1"/>
  <c r="K334" i="1" s="1"/>
  <c r="T334" i="1"/>
  <c r="U334" i="1" s="1"/>
  <c r="H334" i="1"/>
  <c r="I334" i="1" s="1"/>
  <c r="R334" i="1"/>
  <c r="S334" i="1" s="1"/>
  <c r="L334" i="1"/>
  <c r="M334" i="1" s="1"/>
  <c r="N323" i="1"/>
  <c r="O323" i="1" s="1"/>
  <c r="V323" i="1"/>
  <c r="W323" i="1" s="1"/>
  <c r="J323" i="1"/>
  <c r="K323" i="1" s="1"/>
  <c r="T323" i="1"/>
  <c r="U323" i="1" s="1"/>
  <c r="H323" i="1"/>
  <c r="I323" i="1" s="1"/>
  <c r="R323" i="1"/>
  <c r="S323" i="1" s="1"/>
  <c r="P323" i="1"/>
  <c r="Q323" i="1" s="1"/>
  <c r="L323" i="1"/>
  <c r="M323" i="1" s="1"/>
  <c r="N328" i="1"/>
  <c r="O328" i="1" s="1"/>
  <c r="L328" i="1"/>
  <c r="M328" i="1" s="1"/>
  <c r="V328" i="1"/>
  <c r="W328" i="1" s="1"/>
  <c r="H328" i="1"/>
  <c r="I328" i="1" s="1"/>
  <c r="T328" i="1"/>
  <c r="U328" i="1" s="1"/>
  <c r="R328" i="1"/>
  <c r="S328" i="1" s="1"/>
  <c r="P328" i="1"/>
  <c r="Q328" i="1" s="1"/>
  <c r="J328" i="1"/>
  <c r="K328" i="1" s="1"/>
  <c r="N257" i="1"/>
  <c r="O257" i="1" s="1"/>
  <c r="R257" i="1"/>
  <c r="S257" i="1" s="1"/>
  <c r="H257" i="1"/>
  <c r="I257" i="1" s="1"/>
  <c r="T257" i="1"/>
  <c r="J257" i="1"/>
  <c r="K257" i="1" s="1"/>
  <c r="L257" i="1"/>
  <c r="M257" i="1" s="1"/>
  <c r="P257" i="1"/>
  <c r="Q257" i="1" s="1"/>
  <c r="L330" i="1"/>
  <c r="M330" i="1" s="1"/>
  <c r="V330" i="1"/>
  <c r="W330" i="1" s="1"/>
  <c r="J330" i="1"/>
  <c r="K330" i="1" s="1"/>
  <c r="R330" i="1"/>
  <c r="S330" i="1" s="1"/>
  <c r="P330" i="1"/>
  <c r="Q330" i="1" s="1"/>
  <c r="T330" i="1"/>
  <c r="U330" i="1" s="1"/>
  <c r="N330" i="1"/>
  <c r="O330" i="1" s="1"/>
  <c r="H330" i="1"/>
  <c r="I330" i="1" s="1"/>
  <c r="N337" i="1"/>
  <c r="O337" i="1" s="1"/>
  <c r="L337" i="1"/>
  <c r="M337" i="1" s="1"/>
  <c r="J337" i="1"/>
  <c r="K337" i="1" s="1"/>
  <c r="V337" i="1"/>
  <c r="W337" i="1" s="1"/>
  <c r="H337" i="1"/>
  <c r="I337" i="1" s="1"/>
  <c r="T337" i="1"/>
  <c r="U337" i="1" s="1"/>
  <c r="R337" i="1"/>
  <c r="S337" i="1" s="1"/>
  <c r="P337" i="1"/>
  <c r="Q337" i="1" s="1"/>
  <c r="N338" i="1"/>
  <c r="O338" i="1" s="1"/>
  <c r="L338" i="1"/>
  <c r="M338" i="1" s="1"/>
  <c r="J338" i="1"/>
  <c r="K338" i="1" s="1"/>
  <c r="H338" i="1"/>
  <c r="I338" i="1" s="1"/>
  <c r="V338" i="1"/>
  <c r="W338" i="1" s="1"/>
  <c r="T338" i="1"/>
  <c r="U338" i="1" s="1"/>
  <c r="R338" i="1"/>
  <c r="S338" i="1" s="1"/>
  <c r="P338" i="1"/>
  <c r="Q338" i="1" s="1"/>
  <c r="G676" i="1"/>
  <c r="H676" i="1"/>
  <c r="I676" i="1" s="1"/>
  <c r="J676" i="1"/>
  <c r="K676" i="1" s="1"/>
  <c r="L676" i="1"/>
  <c r="M676" i="1" s="1"/>
  <c r="R676" i="1"/>
  <c r="S676" i="1" s="1"/>
  <c r="T676" i="1"/>
  <c r="U676" i="1" s="1"/>
  <c r="V676" i="1"/>
  <c r="W676" i="1" s="1"/>
  <c r="N676" i="1"/>
  <c r="O676" i="1" s="1"/>
  <c r="G334" i="1"/>
  <c r="G333" i="1"/>
  <c r="G295" i="1"/>
  <c r="V344" i="1" l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J344" i="1"/>
  <c r="K344" i="1" s="1"/>
  <c r="H344" i="1"/>
  <c r="I344" i="1" s="1"/>
  <c r="G344" i="1"/>
  <c r="J651" i="1" l="1"/>
  <c r="J654" i="1"/>
  <c r="J655" i="1"/>
  <c r="J656" i="1"/>
  <c r="J657" i="1"/>
  <c r="J658" i="1"/>
  <c r="J652" i="1"/>
  <c r="J626" i="1"/>
  <c r="J627" i="1"/>
  <c r="J628" i="1"/>
  <c r="J629" i="1"/>
  <c r="J635" i="1"/>
  <c r="J642" i="1"/>
  <c r="J643" i="1"/>
  <c r="J644" i="1"/>
  <c r="J646" i="1"/>
  <c r="J647" i="1"/>
  <c r="J648" i="1"/>
  <c r="J649" i="1"/>
  <c r="J650" i="1"/>
  <c r="J624" i="1"/>
  <c r="K624" i="1" s="1"/>
  <c r="J623" i="1"/>
  <c r="J621" i="1"/>
  <c r="J620" i="1"/>
  <c r="J619" i="1"/>
  <c r="J618" i="1"/>
  <c r="G336" i="1" l="1"/>
  <c r="G343" i="1" l="1"/>
  <c r="F411" i="1"/>
  <c r="R411" i="1" l="1"/>
  <c r="S411" i="1" s="1"/>
  <c r="V411" i="1"/>
  <c r="W411" i="1" s="1"/>
  <c r="L411" i="1"/>
  <c r="M411" i="1" s="1"/>
  <c r="N411" i="1"/>
  <c r="O411" i="1" s="1"/>
  <c r="P411" i="1"/>
  <c r="Q411" i="1" s="1"/>
  <c r="T411" i="1"/>
  <c r="U411" i="1" s="1"/>
  <c r="F744" i="1"/>
  <c r="V744" i="1" s="1"/>
  <c r="W744" i="1" s="1"/>
  <c r="R747" i="1"/>
  <c r="V473" i="1"/>
  <c r="T473" i="1"/>
  <c r="J473" i="1"/>
  <c r="L473" i="1"/>
  <c r="N473" i="1"/>
  <c r="P473" i="1"/>
  <c r="R473" i="1"/>
  <c r="T472" i="1"/>
  <c r="R472" i="1"/>
  <c r="L472" i="1"/>
  <c r="V500" i="1"/>
  <c r="W500" i="1" s="1"/>
  <c r="J747" i="1" l="1"/>
  <c r="K747" i="1" s="1"/>
  <c r="L747" i="1"/>
  <c r="M747" i="1" s="1"/>
  <c r="N747" i="1"/>
  <c r="O747" i="1" s="1"/>
  <c r="P747" i="1"/>
  <c r="Q747" i="1" s="1"/>
  <c r="H747" i="1"/>
  <c r="I747" i="1" s="1"/>
  <c r="V747" i="1"/>
  <c r="W747" i="1" s="1"/>
  <c r="P744" i="1"/>
  <c r="Q744" i="1" s="1"/>
  <c r="T747" i="1"/>
  <c r="U747" i="1" s="1"/>
  <c r="N744" i="1"/>
  <c r="O744" i="1" s="1"/>
  <c r="L744" i="1"/>
  <c r="M744" i="1" s="1"/>
  <c r="R744" i="1"/>
  <c r="S744" i="1" s="1"/>
  <c r="G744" i="1"/>
  <c r="H744" i="1"/>
  <c r="I744" i="1" s="1"/>
  <c r="T744" i="1"/>
  <c r="U744" i="1" s="1"/>
  <c r="J744" i="1"/>
  <c r="K744" i="1" s="1"/>
  <c r="G747" i="1"/>
  <c r="S747" i="1"/>
  <c r="T500" i="1"/>
  <c r="U500" i="1" s="1"/>
  <c r="J500" i="1"/>
  <c r="K500" i="1" s="1"/>
  <c r="L500" i="1"/>
  <c r="M500" i="1" s="1"/>
  <c r="P500" i="1"/>
  <c r="Q500" i="1" s="1"/>
  <c r="H500" i="1"/>
  <c r="I500" i="1" s="1"/>
  <c r="N500" i="1"/>
  <c r="O500" i="1" s="1"/>
  <c r="R500" i="1"/>
  <c r="S500" i="1" s="1"/>
  <c r="G500" i="1"/>
  <c r="P495" i="1"/>
  <c r="Q495" i="1" s="1"/>
  <c r="V491" i="1"/>
  <c r="W491" i="1" s="1"/>
  <c r="L491" i="1" l="1"/>
  <c r="M491" i="1" s="1"/>
  <c r="N491" i="1"/>
  <c r="O491" i="1" s="1"/>
  <c r="R491" i="1"/>
  <c r="S491" i="1" s="1"/>
  <c r="P491" i="1"/>
  <c r="Q491" i="1" s="1"/>
  <c r="G491" i="1"/>
  <c r="H491" i="1"/>
  <c r="I491" i="1" s="1"/>
  <c r="T491" i="1"/>
  <c r="U491" i="1" s="1"/>
  <c r="J491" i="1"/>
  <c r="K491" i="1" s="1"/>
  <c r="L495" i="1"/>
  <c r="M495" i="1" s="1"/>
  <c r="G495" i="1"/>
  <c r="H495" i="1"/>
  <c r="I495" i="1" s="1"/>
  <c r="T495" i="1"/>
  <c r="U495" i="1" s="1"/>
  <c r="J495" i="1"/>
  <c r="K495" i="1" s="1"/>
  <c r="V495" i="1"/>
  <c r="W495" i="1" s="1"/>
  <c r="N495" i="1"/>
  <c r="O495" i="1" s="1"/>
  <c r="R495" i="1"/>
  <c r="S495" i="1" s="1"/>
  <c r="F501" i="1"/>
  <c r="J501" i="1" s="1"/>
  <c r="K501" i="1" s="1"/>
  <c r="P497" i="1"/>
  <c r="Q497" i="1" s="1"/>
  <c r="N501" i="1" l="1"/>
  <c r="O501" i="1" s="1"/>
  <c r="R501" i="1"/>
  <c r="S501" i="1" s="1"/>
  <c r="G501" i="1"/>
  <c r="T501" i="1"/>
  <c r="U501" i="1" s="1"/>
  <c r="L501" i="1"/>
  <c r="M501" i="1" s="1"/>
  <c r="V501" i="1"/>
  <c r="W501" i="1" s="1"/>
  <c r="P501" i="1"/>
  <c r="Q501" i="1" s="1"/>
  <c r="L497" i="1"/>
  <c r="M497" i="1" s="1"/>
  <c r="N497" i="1"/>
  <c r="O497" i="1" s="1"/>
  <c r="T497" i="1"/>
  <c r="U497" i="1" s="1"/>
  <c r="R497" i="1"/>
  <c r="S497" i="1" s="1"/>
  <c r="J497" i="1"/>
  <c r="K497" i="1" s="1"/>
  <c r="V497" i="1"/>
  <c r="W497" i="1" s="1"/>
  <c r="G497" i="1"/>
  <c r="H497" i="1"/>
  <c r="I497" i="1" s="1"/>
  <c r="T617" i="1"/>
  <c r="U617" i="1" s="1"/>
  <c r="F331" i="1"/>
  <c r="V331" i="1" l="1"/>
  <c r="W331" i="1" s="1"/>
  <c r="H331" i="1"/>
  <c r="I331" i="1" s="1"/>
  <c r="T331" i="1"/>
  <c r="U331" i="1" s="1"/>
  <c r="R331" i="1"/>
  <c r="S331" i="1" s="1"/>
  <c r="P331" i="1"/>
  <c r="Q331" i="1" s="1"/>
  <c r="N331" i="1"/>
  <c r="O331" i="1" s="1"/>
  <c r="L331" i="1"/>
  <c r="M331" i="1" s="1"/>
  <c r="J331" i="1"/>
  <c r="K331" i="1" s="1"/>
  <c r="V617" i="1"/>
  <c r="W617" i="1" s="1"/>
  <c r="G617" i="1"/>
  <c r="L617" i="1"/>
  <c r="M617" i="1" s="1"/>
  <c r="N617" i="1"/>
  <c r="O617" i="1" s="1"/>
  <c r="P617" i="1"/>
  <c r="Q617" i="1" s="1"/>
  <c r="R617" i="1"/>
  <c r="S617" i="1" s="1"/>
  <c r="G331" i="1"/>
  <c r="V472" i="1" l="1"/>
  <c r="P472" i="1"/>
  <c r="N472" i="1"/>
  <c r="O472" i="1" s="1"/>
  <c r="T482" i="1"/>
  <c r="U482" i="1" s="1"/>
  <c r="R482" i="1"/>
  <c r="S482" i="1" s="1"/>
  <c r="P482" i="1"/>
  <c r="Q482" i="1" s="1"/>
  <c r="N482" i="1"/>
  <c r="O482" i="1" s="1"/>
  <c r="L482" i="1"/>
  <c r="M482" i="1" s="1"/>
  <c r="T481" i="1"/>
  <c r="U481" i="1" s="1"/>
  <c r="R481" i="1"/>
  <c r="S481" i="1" s="1"/>
  <c r="P481" i="1"/>
  <c r="Q481" i="1" s="1"/>
  <c r="N481" i="1"/>
  <c r="O481" i="1" s="1"/>
  <c r="L481" i="1"/>
  <c r="M481" i="1" s="1"/>
  <c r="T480" i="1"/>
  <c r="U480" i="1" s="1"/>
  <c r="R480" i="1"/>
  <c r="S480" i="1" s="1"/>
  <c r="P480" i="1"/>
  <c r="Q480" i="1" s="1"/>
  <c r="N480" i="1"/>
  <c r="O480" i="1" s="1"/>
  <c r="L480" i="1"/>
  <c r="M480" i="1" s="1"/>
  <c r="T474" i="1"/>
  <c r="R474" i="1"/>
  <c r="P474" i="1"/>
  <c r="N474" i="1"/>
  <c r="L474" i="1"/>
  <c r="G337" i="1" l="1"/>
  <c r="P499" i="1"/>
  <c r="Q499" i="1" s="1"/>
  <c r="V496" i="1"/>
  <c r="W496" i="1" s="1"/>
  <c r="G494" i="1"/>
  <c r="L499" i="1" l="1"/>
  <c r="M499" i="1" s="1"/>
  <c r="N499" i="1"/>
  <c r="O499" i="1" s="1"/>
  <c r="R499" i="1"/>
  <c r="S499" i="1" s="1"/>
  <c r="G499" i="1"/>
  <c r="H499" i="1"/>
  <c r="I499" i="1" s="1"/>
  <c r="T499" i="1"/>
  <c r="U499" i="1" s="1"/>
  <c r="J499" i="1"/>
  <c r="K499" i="1" s="1"/>
  <c r="V499" i="1"/>
  <c r="W499" i="1" s="1"/>
  <c r="J496" i="1"/>
  <c r="K496" i="1" s="1"/>
  <c r="H496" i="1"/>
  <c r="I496" i="1" s="1"/>
  <c r="L496" i="1"/>
  <c r="M496" i="1" s="1"/>
  <c r="R496" i="1"/>
  <c r="S496" i="1" s="1"/>
  <c r="T496" i="1"/>
  <c r="U496" i="1" s="1"/>
  <c r="N496" i="1"/>
  <c r="O496" i="1" s="1"/>
  <c r="P496" i="1"/>
  <c r="Q496" i="1" s="1"/>
  <c r="G496" i="1"/>
  <c r="J494" i="1" l="1"/>
  <c r="K494" i="1" s="1"/>
  <c r="L494" i="1" l="1"/>
  <c r="M494" i="1" s="1"/>
  <c r="N494" i="1"/>
  <c r="O494" i="1" s="1"/>
  <c r="P494" i="1"/>
  <c r="Q494" i="1" s="1"/>
  <c r="R494" i="1"/>
  <c r="S494" i="1" s="1"/>
  <c r="T494" i="1"/>
  <c r="U494" i="1" s="1"/>
  <c r="V494" i="1"/>
  <c r="W494" i="1" s="1"/>
  <c r="H494" i="1"/>
  <c r="I494" i="1" s="1"/>
  <c r="V217" i="1"/>
  <c r="W217" i="1" s="1"/>
  <c r="U217" i="1"/>
  <c r="S217" i="1"/>
  <c r="Q217" i="1"/>
  <c r="O217" i="1"/>
  <c r="G217" i="1"/>
  <c r="V694" i="1" l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G16" i="1"/>
  <c r="F350" i="1" l="1"/>
  <c r="V250" i="1" l="1"/>
  <c r="W250" i="1" s="1"/>
  <c r="N667" i="1" l="1"/>
  <c r="O667" i="1" s="1"/>
  <c r="J667" i="1"/>
  <c r="V667" i="1"/>
  <c r="W667" i="1" s="1"/>
  <c r="K667" i="1"/>
  <c r="L667" i="1"/>
  <c r="M667" i="1" s="1"/>
  <c r="P667" i="1"/>
  <c r="Q667" i="1" s="1"/>
  <c r="R667" i="1"/>
  <c r="S667" i="1" s="1"/>
  <c r="G667" i="1"/>
  <c r="H667" i="1"/>
  <c r="I667" i="1" s="1"/>
  <c r="T667" i="1"/>
  <c r="U667" i="1" s="1"/>
  <c r="G250" i="1"/>
  <c r="U250" i="1"/>
  <c r="G120" i="1"/>
  <c r="G119" i="1"/>
  <c r="G118" i="1"/>
  <c r="F653" i="1" l="1"/>
  <c r="J653" i="1" s="1"/>
  <c r="J659" i="1"/>
  <c r="F661" i="1"/>
  <c r="J661" i="1" s="1"/>
  <c r="J625" i="1"/>
  <c r="J611" i="1"/>
  <c r="J622" i="1"/>
  <c r="J606" i="1"/>
  <c r="M135" i="1" l="1"/>
  <c r="G416" i="1" l="1"/>
  <c r="G61" i="1" l="1"/>
  <c r="V684" i="1" l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298" i="1" l="1"/>
  <c r="W298" i="1" s="1"/>
  <c r="L298" i="1" l="1"/>
  <c r="M298" i="1" s="1"/>
  <c r="R298" i="1"/>
  <c r="S298" i="1" s="1"/>
  <c r="T298" i="1"/>
  <c r="U298" i="1" s="1"/>
  <c r="N298" i="1"/>
  <c r="O298" i="1" s="1"/>
  <c r="G298" i="1"/>
  <c r="P298" i="1"/>
  <c r="Q298" i="1" s="1"/>
  <c r="J298" i="1"/>
  <c r="K298" i="1" s="1"/>
  <c r="F536" i="1" l="1"/>
  <c r="F206" i="1"/>
  <c r="F184" i="1"/>
  <c r="F183" i="1"/>
  <c r="L184" i="1" l="1"/>
  <c r="M184" i="1" s="1"/>
  <c r="J184" i="1"/>
  <c r="K184" i="1" s="1"/>
  <c r="V184" i="1"/>
  <c r="H184" i="1"/>
  <c r="I184" i="1" s="1"/>
  <c r="P184" i="1"/>
  <c r="Q184" i="1" s="1"/>
  <c r="T184" i="1"/>
  <c r="U184" i="1" s="1"/>
  <c r="R184" i="1"/>
  <c r="S184" i="1" s="1"/>
  <c r="N184" i="1"/>
  <c r="O184" i="1" s="1"/>
  <c r="V576" i="1"/>
  <c r="W576" i="1" s="1"/>
  <c r="J576" i="1" l="1"/>
  <c r="K576" i="1" s="1"/>
  <c r="L576" i="1"/>
  <c r="M576" i="1" s="1"/>
  <c r="N576" i="1"/>
  <c r="O576" i="1" s="1"/>
  <c r="G576" i="1"/>
  <c r="H576" i="1"/>
  <c r="I576" i="1" s="1"/>
  <c r="P576" i="1"/>
  <c r="Q576" i="1" s="1"/>
  <c r="R576" i="1"/>
  <c r="S576" i="1" s="1"/>
  <c r="T576" i="1"/>
  <c r="U576" i="1" s="1"/>
  <c r="V623" i="1"/>
  <c r="W623" i="1" s="1"/>
  <c r="N623" i="1" l="1"/>
  <c r="O623" i="1" s="1"/>
  <c r="P623" i="1"/>
  <c r="Q623" i="1" s="1"/>
  <c r="G623" i="1"/>
  <c r="H623" i="1"/>
  <c r="I623" i="1" s="1"/>
  <c r="T623" i="1"/>
  <c r="U623" i="1" s="1"/>
  <c r="L623" i="1"/>
  <c r="M623" i="1" s="1"/>
  <c r="R623" i="1"/>
  <c r="S623" i="1" s="1"/>
  <c r="K623" i="1"/>
  <c r="T651" i="1"/>
  <c r="H651" i="1" l="1"/>
  <c r="I651" i="1" s="1"/>
  <c r="K651" i="1"/>
  <c r="L651" i="1"/>
  <c r="R651" i="1"/>
  <c r="S651" i="1" s="1"/>
  <c r="U651" i="1"/>
  <c r="N651" i="1"/>
  <c r="O651" i="1" s="1"/>
  <c r="V651" i="1"/>
  <c r="W651" i="1" s="1"/>
  <c r="P651" i="1"/>
  <c r="Q651" i="1" s="1"/>
  <c r="M651" i="1"/>
  <c r="G651" i="1"/>
  <c r="G410" i="1" l="1"/>
  <c r="F278" i="1"/>
  <c r="N278" i="1" l="1"/>
  <c r="O278" i="1" s="1"/>
  <c r="H278" i="1"/>
  <c r="I278" i="1" s="1"/>
  <c r="R278" i="1"/>
  <c r="S278" i="1" s="1"/>
  <c r="J278" i="1"/>
  <c r="K278" i="1" s="1"/>
  <c r="T278" i="1"/>
  <c r="U278" i="1" s="1"/>
  <c r="L278" i="1"/>
  <c r="M278" i="1" s="1"/>
  <c r="P278" i="1"/>
  <c r="Q278" i="1" s="1"/>
  <c r="G510" i="1"/>
  <c r="G299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69" i="1" l="1"/>
  <c r="G328" i="1" l="1"/>
  <c r="V21" i="1" l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0" i="1"/>
  <c r="J160" i="1"/>
  <c r="L160" i="1"/>
  <c r="N160" i="1"/>
  <c r="P160" i="1"/>
  <c r="R160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08" i="1"/>
  <c r="U108" i="1"/>
  <c r="S108" i="1"/>
  <c r="Q108" i="1"/>
  <c r="O108" i="1"/>
  <c r="W129" i="1"/>
  <c r="U129" i="1"/>
  <c r="S129" i="1"/>
  <c r="Q129" i="1"/>
  <c r="O129" i="1"/>
  <c r="M129" i="1"/>
  <c r="W124" i="1"/>
  <c r="U124" i="1"/>
  <c r="S124" i="1"/>
  <c r="Q124" i="1"/>
  <c r="O124" i="1"/>
  <c r="M124" i="1"/>
  <c r="O105" i="1"/>
  <c r="O104" i="1"/>
  <c r="V686" i="1" l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J691" i="1"/>
  <c r="K691" i="1" s="1"/>
  <c r="V690" i="1"/>
  <c r="W690" i="1" s="1"/>
  <c r="T690" i="1"/>
  <c r="U690" i="1" s="1"/>
  <c r="R690" i="1"/>
  <c r="S690" i="1" s="1"/>
  <c r="P690" i="1"/>
  <c r="Q690" i="1" s="1"/>
  <c r="N690" i="1"/>
  <c r="O690" i="1" s="1"/>
  <c r="L690" i="1"/>
  <c r="M690" i="1" s="1"/>
  <c r="J690" i="1"/>
  <c r="K690" i="1" s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J689" i="1"/>
  <c r="K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J688" i="1"/>
  <c r="K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J687" i="1"/>
  <c r="K687" i="1" s="1"/>
  <c r="T683" i="1"/>
  <c r="R683" i="1"/>
  <c r="P683" i="1"/>
  <c r="L683" i="1"/>
  <c r="V683" i="1"/>
  <c r="N683" i="1"/>
  <c r="J683" i="1"/>
  <c r="H755" i="1"/>
  <c r="H754" i="1"/>
  <c r="J755" i="1"/>
  <c r="J754" i="1"/>
  <c r="V755" i="1"/>
  <c r="W755" i="1" s="1"/>
  <c r="T755" i="1"/>
  <c r="U755" i="1" s="1"/>
  <c r="R755" i="1"/>
  <c r="S755" i="1" s="1"/>
  <c r="P755" i="1"/>
  <c r="Q755" i="1" s="1"/>
  <c r="N755" i="1"/>
  <c r="O755" i="1" s="1"/>
  <c r="L755" i="1"/>
  <c r="M755" i="1" s="1"/>
  <c r="V754" i="1"/>
  <c r="W754" i="1" s="1"/>
  <c r="T754" i="1"/>
  <c r="U754" i="1" s="1"/>
  <c r="R754" i="1"/>
  <c r="S754" i="1" s="1"/>
  <c r="P754" i="1"/>
  <c r="Q754" i="1" s="1"/>
  <c r="N754" i="1"/>
  <c r="O754" i="1" s="1"/>
  <c r="L754" i="1"/>
  <c r="M754" i="1" s="1"/>
  <c r="V753" i="1"/>
  <c r="W753" i="1" s="1"/>
  <c r="T753" i="1"/>
  <c r="U753" i="1" s="1"/>
  <c r="R753" i="1"/>
  <c r="S753" i="1" s="1"/>
  <c r="P753" i="1"/>
  <c r="Q753" i="1" s="1"/>
  <c r="N753" i="1"/>
  <c r="O753" i="1" s="1"/>
  <c r="L753" i="1"/>
  <c r="M753" i="1" s="1"/>
  <c r="V751" i="1"/>
  <c r="W751" i="1" s="1"/>
  <c r="T751" i="1"/>
  <c r="U751" i="1" s="1"/>
  <c r="R751" i="1"/>
  <c r="S751" i="1" s="1"/>
  <c r="P751" i="1"/>
  <c r="Q751" i="1" s="1"/>
  <c r="N751" i="1"/>
  <c r="O751" i="1" s="1"/>
  <c r="L751" i="1"/>
  <c r="M751" i="1" s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V723" i="1"/>
  <c r="W723" i="1" s="1"/>
  <c r="T723" i="1"/>
  <c r="U723" i="1" s="1"/>
  <c r="R723" i="1"/>
  <c r="S723" i="1" s="1"/>
  <c r="P723" i="1"/>
  <c r="Q723" i="1" s="1"/>
  <c r="V722" i="1"/>
  <c r="W722" i="1" s="1"/>
  <c r="T722" i="1"/>
  <c r="U722" i="1" s="1"/>
  <c r="R722" i="1"/>
  <c r="S722" i="1" s="1"/>
  <c r="P722" i="1"/>
  <c r="Q722" i="1" s="1"/>
  <c r="V716" i="1"/>
  <c r="W716" i="1" s="1"/>
  <c r="T716" i="1"/>
  <c r="U716" i="1" s="1"/>
  <c r="R716" i="1"/>
  <c r="S716" i="1" s="1"/>
  <c r="P716" i="1"/>
  <c r="Q716" i="1" s="1"/>
  <c r="V715" i="1"/>
  <c r="W715" i="1" s="1"/>
  <c r="T715" i="1"/>
  <c r="U715" i="1" s="1"/>
  <c r="R715" i="1"/>
  <c r="S715" i="1" s="1"/>
  <c r="P715" i="1"/>
  <c r="Q715" i="1" s="1"/>
  <c r="V714" i="1"/>
  <c r="W714" i="1" s="1"/>
  <c r="T714" i="1"/>
  <c r="U714" i="1" s="1"/>
  <c r="R714" i="1"/>
  <c r="S714" i="1" s="1"/>
  <c r="P714" i="1"/>
  <c r="Q714" i="1" s="1"/>
  <c r="V713" i="1"/>
  <c r="W713" i="1" s="1"/>
  <c r="T713" i="1"/>
  <c r="U713" i="1" s="1"/>
  <c r="R713" i="1"/>
  <c r="S713" i="1" s="1"/>
  <c r="P713" i="1"/>
  <c r="Q713" i="1" s="1"/>
  <c r="V712" i="1"/>
  <c r="W712" i="1" s="1"/>
  <c r="T712" i="1"/>
  <c r="U712" i="1" s="1"/>
  <c r="R712" i="1"/>
  <c r="S712" i="1" s="1"/>
  <c r="P712" i="1"/>
  <c r="Q712" i="1" s="1"/>
  <c r="V711" i="1"/>
  <c r="W711" i="1" s="1"/>
  <c r="T711" i="1"/>
  <c r="U711" i="1" s="1"/>
  <c r="R711" i="1"/>
  <c r="S711" i="1" s="1"/>
  <c r="P711" i="1"/>
  <c r="Q711" i="1" s="1"/>
  <c r="V740" i="1"/>
  <c r="W740" i="1" s="1"/>
  <c r="T740" i="1"/>
  <c r="U740" i="1" s="1"/>
  <c r="R740" i="1"/>
  <c r="S740" i="1" s="1"/>
  <c r="P740" i="1"/>
  <c r="Q740" i="1" s="1"/>
  <c r="N740" i="1"/>
  <c r="O740" i="1" s="1"/>
  <c r="L740" i="1"/>
  <c r="M740" i="1" s="1"/>
  <c r="J740" i="1"/>
  <c r="K740" i="1" s="1"/>
  <c r="H740" i="1"/>
  <c r="I740" i="1" s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J739" i="1"/>
  <c r="K739" i="1" s="1"/>
  <c r="H739" i="1"/>
  <c r="I739" i="1" s="1"/>
  <c r="V737" i="1"/>
  <c r="W737" i="1" s="1"/>
  <c r="T737" i="1"/>
  <c r="U737" i="1" s="1"/>
  <c r="R737" i="1"/>
  <c r="S737" i="1" s="1"/>
  <c r="V736" i="1"/>
  <c r="W736" i="1" s="1"/>
  <c r="T736" i="1"/>
  <c r="U736" i="1" s="1"/>
  <c r="R736" i="1"/>
  <c r="S736" i="1" s="1"/>
  <c r="V735" i="1"/>
  <c r="W735" i="1" s="1"/>
  <c r="T735" i="1"/>
  <c r="U735" i="1" s="1"/>
  <c r="R735" i="1"/>
  <c r="S735" i="1" s="1"/>
  <c r="V734" i="1"/>
  <c r="W734" i="1" s="1"/>
  <c r="T734" i="1"/>
  <c r="U734" i="1" s="1"/>
  <c r="R734" i="1"/>
  <c r="S734" i="1" s="1"/>
  <c r="V733" i="1"/>
  <c r="W733" i="1" s="1"/>
  <c r="T733" i="1"/>
  <c r="U733" i="1" s="1"/>
  <c r="R733" i="1"/>
  <c r="S733" i="1" s="1"/>
  <c r="P733" i="1"/>
  <c r="Q733" i="1" s="1"/>
  <c r="N733" i="1"/>
  <c r="O733" i="1" s="1"/>
  <c r="L733" i="1"/>
  <c r="M733" i="1" s="1"/>
  <c r="W484" i="1" l="1"/>
  <c r="U484" i="1"/>
  <c r="S484" i="1"/>
  <c r="Q484" i="1"/>
  <c r="O484" i="1"/>
  <c r="M484" i="1"/>
  <c r="K484" i="1"/>
  <c r="T759" i="1"/>
  <c r="U759" i="1" s="1"/>
  <c r="T760" i="1"/>
  <c r="U760" i="1" s="1"/>
  <c r="R758" i="1"/>
  <c r="S758" i="1" s="1"/>
  <c r="T756" i="1"/>
  <c r="U756" i="1" s="1"/>
  <c r="R756" i="1"/>
  <c r="S756" i="1" s="1"/>
  <c r="P756" i="1"/>
  <c r="Q756" i="1" s="1"/>
  <c r="N756" i="1"/>
  <c r="O756" i="1" s="1"/>
  <c r="L756" i="1"/>
  <c r="M756" i="1" s="1"/>
  <c r="J756" i="1"/>
  <c r="K756" i="1" s="1"/>
  <c r="T752" i="1"/>
  <c r="U752" i="1" s="1"/>
  <c r="R752" i="1"/>
  <c r="S752" i="1" s="1"/>
  <c r="P752" i="1"/>
  <c r="Q752" i="1" s="1"/>
  <c r="N752" i="1"/>
  <c r="O752" i="1" s="1"/>
  <c r="L752" i="1"/>
  <c r="M752" i="1" s="1"/>
  <c r="J752" i="1"/>
  <c r="K752" i="1" s="1"/>
  <c r="J632" i="1"/>
  <c r="J631" i="1"/>
  <c r="L758" i="1" l="1"/>
  <c r="M758" i="1" s="1"/>
  <c r="N758" i="1"/>
  <c r="O758" i="1" s="1"/>
  <c r="N760" i="1"/>
  <c r="O760" i="1" s="1"/>
  <c r="P760" i="1"/>
  <c r="Q760" i="1" s="1"/>
  <c r="T758" i="1"/>
  <c r="U758" i="1" s="1"/>
  <c r="N759" i="1"/>
  <c r="O759" i="1" s="1"/>
  <c r="P759" i="1"/>
  <c r="Q759" i="1" s="1"/>
  <c r="J759" i="1"/>
  <c r="K759" i="1" s="1"/>
  <c r="R759" i="1"/>
  <c r="S759" i="1" s="1"/>
  <c r="L759" i="1"/>
  <c r="M759" i="1" s="1"/>
  <c r="J760" i="1"/>
  <c r="K760" i="1" s="1"/>
  <c r="R760" i="1"/>
  <c r="S760" i="1" s="1"/>
  <c r="L760" i="1"/>
  <c r="M760" i="1" s="1"/>
  <c r="P758" i="1"/>
  <c r="Q758" i="1" s="1"/>
  <c r="J758" i="1"/>
  <c r="K758" i="1" s="1"/>
  <c r="V587" i="1" l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H587" i="1"/>
  <c r="I587" i="1" s="1"/>
  <c r="V595" i="1"/>
  <c r="W595" i="1" s="1"/>
  <c r="T595" i="1"/>
  <c r="U595" i="1" s="1"/>
  <c r="R595" i="1"/>
  <c r="S595" i="1" s="1"/>
  <c r="P595" i="1"/>
  <c r="Q595" i="1" s="1"/>
  <c r="N595" i="1"/>
  <c r="O595" i="1" s="1"/>
  <c r="L595" i="1"/>
  <c r="M595" i="1" s="1"/>
  <c r="J595" i="1"/>
  <c r="K595" i="1" s="1"/>
  <c r="H595" i="1"/>
  <c r="I595" i="1" s="1"/>
  <c r="V624" i="1"/>
  <c r="W624" i="1" s="1"/>
  <c r="T624" i="1"/>
  <c r="U624" i="1" s="1"/>
  <c r="R624" i="1"/>
  <c r="S624" i="1" s="1"/>
  <c r="P624" i="1"/>
  <c r="Q624" i="1" s="1"/>
  <c r="N624" i="1"/>
  <c r="O624" i="1" s="1"/>
  <c r="L624" i="1"/>
  <c r="M624" i="1" s="1"/>
  <c r="H631" i="1"/>
  <c r="I631" i="1" s="1"/>
  <c r="K631" i="1"/>
  <c r="L631" i="1"/>
  <c r="M631" i="1" s="1"/>
  <c r="N631" i="1"/>
  <c r="O631" i="1" s="1"/>
  <c r="P631" i="1"/>
  <c r="Q631" i="1" s="1"/>
  <c r="R631" i="1"/>
  <c r="S631" i="1" s="1"/>
  <c r="T631" i="1"/>
  <c r="U631" i="1" s="1"/>
  <c r="V631" i="1"/>
  <c r="W631" i="1" s="1"/>
  <c r="H632" i="1"/>
  <c r="I632" i="1" s="1"/>
  <c r="K632" i="1"/>
  <c r="L632" i="1"/>
  <c r="M632" i="1" s="1"/>
  <c r="N632" i="1"/>
  <c r="O632" i="1" s="1"/>
  <c r="P632" i="1"/>
  <c r="Q632" i="1" s="1"/>
  <c r="R632" i="1"/>
  <c r="S632" i="1" s="1"/>
  <c r="T632" i="1"/>
  <c r="U632" i="1" s="1"/>
  <c r="V632" i="1"/>
  <c r="W632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K620" i="1"/>
  <c r="H620" i="1"/>
  <c r="I620" i="1" s="1"/>
  <c r="V613" i="1"/>
  <c r="W613" i="1" s="1"/>
  <c r="T613" i="1"/>
  <c r="U613" i="1" s="1"/>
  <c r="R613" i="1"/>
  <c r="S613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H535" i="1"/>
  <c r="H534" i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J540" i="1"/>
  <c r="K540" i="1" s="1"/>
  <c r="V539" i="1"/>
  <c r="W539" i="1" s="1"/>
  <c r="T539" i="1"/>
  <c r="U539" i="1" s="1"/>
  <c r="R539" i="1"/>
  <c r="S539" i="1" s="1"/>
  <c r="P539" i="1"/>
  <c r="Q539" i="1" s="1"/>
  <c r="N539" i="1"/>
  <c r="O539" i="1" s="1"/>
  <c r="L539" i="1"/>
  <c r="M539" i="1" s="1"/>
  <c r="J539" i="1"/>
  <c r="K539" i="1" s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J525" i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H532" i="1"/>
  <c r="I532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H531" i="1"/>
  <c r="I531" i="1" s="1"/>
  <c r="L530" i="1"/>
  <c r="M530" i="1" s="1"/>
  <c r="J530" i="1"/>
  <c r="K530" i="1" s="1"/>
  <c r="H530" i="1"/>
  <c r="I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H529" i="1"/>
  <c r="I529" i="1" s="1"/>
  <c r="T528" i="1"/>
  <c r="V528" i="1"/>
  <c r="R528" i="1"/>
  <c r="P528" i="1"/>
  <c r="N528" i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H528" i="1"/>
  <c r="J528" i="1"/>
  <c r="L528" i="1"/>
  <c r="V527" i="1"/>
  <c r="N527" i="1"/>
  <c r="L527" i="1"/>
  <c r="P527" i="1"/>
  <c r="R527" i="1"/>
  <c r="T527" i="1"/>
  <c r="W472" i="1" l="1"/>
  <c r="W473" i="1"/>
  <c r="H473" i="1"/>
  <c r="N374" i="1"/>
  <c r="O374" i="1" s="1"/>
  <c r="L374" i="1"/>
  <c r="M374" i="1" s="1"/>
  <c r="J374" i="1"/>
  <c r="K374" i="1" s="1"/>
  <c r="H374" i="1"/>
  <c r="I374" i="1" s="1"/>
  <c r="U253" i="1"/>
  <c r="V253" i="1"/>
  <c r="W253" i="1" s="1"/>
  <c r="U256" i="1"/>
  <c r="V256" i="1"/>
  <c r="W256" i="1" s="1"/>
  <c r="V518" i="1"/>
  <c r="W518" i="1" s="1"/>
  <c r="T518" i="1"/>
  <c r="U518" i="1" s="1"/>
  <c r="R518" i="1"/>
  <c r="S518" i="1" s="1"/>
  <c r="P518" i="1"/>
  <c r="Q518" i="1" s="1"/>
  <c r="N518" i="1"/>
  <c r="O518" i="1" s="1"/>
  <c r="L518" i="1"/>
  <c r="M518" i="1" s="1"/>
  <c r="J518" i="1"/>
  <c r="K518" i="1" s="1"/>
  <c r="V195" i="1" l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N249" i="1"/>
  <c r="P249" i="1"/>
  <c r="R249" i="1"/>
  <c r="T249" i="1"/>
  <c r="V249" i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V192" i="1"/>
  <c r="W192" i="1" s="1"/>
  <c r="T192" i="1"/>
  <c r="U192" i="1" s="1"/>
  <c r="R192" i="1"/>
  <c r="S192" i="1" s="1"/>
  <c r="P192" i="1"/>
  <c r="Q192" i="1" s="1"/>
  <c r="N192" i="1"/>
  <c r="O192" i="1" s="1"/>
  <c r="T191" i="1"/>
  <c r="V191" i="1"/>
  <c r="R191" i="1"/>
  <c r="P191" i="1"/>
  <c r="N191" i="1"/>
  <c r="V133" i="1" l="1"/>
  <c r="T133" i="1"/>
  <c r="R133" i="1"/>
  <c r="P133" i="1"/>
  <c r="N133" i="1"/>
  <c r="L133" i="1"/>
  <c r="P132" i="1"/>
  <c r="Q132" i="1" s="1"/>
  <c r="N132" i="1"/>
  <c r="O132" i="1" s="1"/>
  <c r="L132" i="1"/>
  <c r="M132" i="1" s="1"/>
  <c r="J132" i="1"/>
  <c r="K132" i="1" s="1"/>
  <c r="G348" i="1" l="1"/>
  <c r="V270" i="1" l="1"/>
  <c r="W270" i="1" s="1"/>
  <c r="T270" i="1"/>
  <c r="U270" i="1" s="1"/>
  <c r="G271" i="1"/>
  <c r="G270" i="1"/>
  <c r="J662" i="1"/>
  <c r="H658" i="1" l="1"/>
  <c r="I658" i="1" s="1"/>
  <c r="N658" i="1"/>
  <c r="O658" i="1" s="1"/>
  <c r="L658" i="1"/>
  <c r="M658" i="1" s="1"/>
  <c r="T658" i="1"/>
  <c r="U658" i="1" s="1"/>
  <c r="V658" i="1"/>
  <c r="W658" i="1" s="1"/>
  <c r="P658" i="1"/>
  <c r="Q658" i="1" s="1"/>
  <c r="R658" i="1"/>
  <c r="S658" i="1" s="1"/>
  <c r="K658" i="1"/>
  <c r="H662" i="1"/>
  <c r="I662" i="1" s="1"/>
  <c r="N662" i="1"/>
  <c r="O662" i="1" s="1"/>
  <c r="L662" i="1"/>
  <c r="M662" i="1" s="1"/>
  <c r="T662" i="1"/>
  <c r="U662" i="1" s="1"/>
  <c r="V662" i="1"/>
  <c r="W662" i="1" s="1"/>
  <c r="K662" i="1"/>
  <c r="P662" i="1"/>
  <c r="Q662" i="1" s="1"/>
  <c r="R662" i="1"/>
  <c r="S662" i="1" s="1"/>
  <c r="N136" i="1" l="1"/>
  <c r="O136" i="1" s="1"/>
  <c r="L136" i="1"/>
  <c r="M136" i="1" s="1"/>
  <c r="J136" i="1"/>
  <c r="V136" i="1"/>
  <c r="W136" i="1" s="1"/>
  <c r="T136" i="1"/>
  <c r="U136" i="1" s="1"/>
  <c r="R136" i="1"/>
  <c r="S136" i="1" s="1"/>
  <c r="P136" i="1"/>
  <c r="Q136" i="1" s="1"/>
  <c r="G180" i="1"/>
  <c r="H20" i="1" l="1"/>
  <c r="I20" i="1" s="1"/>
  <c r="H21" i="1"/>
  <c r="I21" i="1" s="1"/>
  <c r="W58" i="1"/>
  <c r="U58" i="1"/>
  <c r="S58" i="1"/>
  <c r="Q58" i="1"/>
  <c r="O58" i="1"/>
  <c r="M58" i="1"/>
  <c r="T541" i="1" l="1"/>
  <c r="U541" i="1" s="1"/>
  <c r="L541" i="1"/>
  <c r="M541" i="1" s="1"/>
  <c r="R541" i="1"/>
  <c r="S541" i="1" s="1"/>
  <c r="J541" i="1"/>
  <c r="K541" i="1" s="1"/>
  <c r="P541" i="1"/>
  <c r="Q541" i="1" s="1"/>
  <c r="N541" i="1"/>
  <c r="O541" i="1" s="1"/>
  <c r="H541" i="1"/>
  <c r="I541" i="1" s="1"/>
  <c r="V541" i="1"/>
  <c r="W541" i="1" s="1"/>
  <c r="V542" i="1"/>
  <c r="W542" i="1" s="1"/>
  <c r="P542" i="1"/>
  <c r="Q542" i="1" s="1"/>
  <c r="T542" i="1"/>
  <c r="U542" i="1" s="1"/>
  <c r="J542" i="1"/>
  <c r="K542" i="1" s="1"/>
  <c r="N542" i="1"/>
  <c r="O542" i="1" s="1"/>
  <c r="R542" i="1"/>
  <c r="S542" i="1" s="1"/>
  <c r="L542" i="1"/>
  <c r="M542" i="1" s="1"/>
  <c r="H542" i="1"/>
  <c r="I542" i="1" s="1"/>
  <c r="G542" i="1"/>
  <c r="G541" i="1"/>
  <c r="G712" i="1" l="1"/>
  <c r="G711" i="1"/>
  <c r="G713" i="1"/>
  <c r="G714" i="1"/>
  <c r="G715" i="1"/>
  <c r="G716" i="1"/>
  <c r="G722" i="1"/>
  <c r="G723" i="1"/>
  <c r="G458" i="1" l="1"/>
  <c r="J677" i="1"/>
  <c r="L677" i="1" l="1"/>
  <c r="M677" i="1" s="1"/>
  <c r="R677" i="1"/>
  <c r="S677" i="1" s="1"/>
  <c r="H677" i="1"/>
  <c r="I677" i="1" s="1"/>
  <c r="N677" i="1"/>
  <c r="O677" i="1" s="1"/>
  <c r="K677" i="1"/>
  <c r="P677" i="1"/>
  <c r="Q677" i="1" s="1"/>
  <c r="T677" i="1"/>
  <c r="U677" i="1" s="1"/>
  <c r="V677" i="1"/>
  <c r="W677" i="1" s="1"/>
  <c r="G677" i="1"/>
  <c r="G384" i="1" l="1"/>
  <c r="G456" i="1"/>
  <c r="F248" i="1" l="1"/>
  <c r="R248" i="1" l="1"/>
  <c r="S248" i="1" s="1"/>
  <c r="V248" i="1"/>
  <c r="W248" i="1" s="1"/>
  <c r="T248" i="1"/>
  <c r="U248" i="1" s="1"/>
  <c r="P248" i="1"/>
  <c r="Q248" i="1" s="1"/>
  <c r="N248" i="1"/>
  <c r="O248" i="1" s="1"/>
  <c r="L248" i="1"/>
  <c r="M248" i="1" s="1"/>
  <c r="J248" i="1"/>
  <c r="K248" i="1" s="1"/>
  <c r="H248" i="1"/>
  <c r="I248" i="1" s="1"/>
  <c r="F675" i="1"/>
  <c r="J675" i="1" s="1"/>
  <c r="L675" i="1" l="1"/>
  <c r="M675" i="1" s="1"/>
  <c r="R675" i="1"/>
  <c r="S675" i="1" s="1"/>
  <c r="H675" i="1"/>
  <c r="I675" i="1" s="1"/>
  <c r="N675" i="1"/>
  <c r="O675" i="1" s="1"/>
  <c r="K675" i="1"/>
  <c r="T675" i="1"/>
  <c r="U675" i="1" s="1"/>
  <c r="V675" i="1"/>
  <c r="W675" i="1" s="1"/>
  <c r="P675" i="1"/>
  <c r="Q675" i="1" s="1"/>
  <c r="G675" i="1"/>
  <c r="F101" i="1" l="1"/>
  <c r="R101" i="1" l="1"/>
  <c r="S101" i="1" s="1"/>
  <c r="P101" i="1"/>
  <c r="Q101" i="1" s="1"/>
  <c r="N101" i="1"/>
  <c r="O101" i="1" s="1"/>
  <c r="L101" i="1"/>
  <c r="M101" i="1" s="1"/>
  <c r="J101" i="1"/>
  <c r="K101" i="1" s="1"/>
  <c r="T101" i="1"/>
  <c r="U101" i="1" s="1"/>
  <c r="V101" i="1"/>
  <c r="W101" i="1" s="1"/>
  <c r="G101" i="1"/>
  <c r="G184" i="1" l="1"/>
  <c r="W184" i="1"/>
  <c r="R183" i="1"/>
  <c r="S183" i="1" s="1"/>
  <c r="P183" i="1"/>
  <c r="Q183" i="1" s="1"/>
  <c r="N183" i="1"/>
  <c r="O183" i="1" s="1"/>
  <c r="L183" i="1"/>
  <c r="M183" i="1" s="1"/>
  <c r="J183" i="1"/>
  <c r="K183" i="1" s="1"/>
  <c r="H183" i="1"/>
  <c r="I183" i="1" s="1"/>
  <c r="T183" i="1"/>
  <c r="U183" i="1" s="1"/>
  <c r="V183" i="1"/>
  <c r="W183" i="1" s="1"/>
  <c r="G183" i="1" l="1"/>
  <c r="G178" i="1"/>
  <c r="F607" i="1"/>
  <c r="P607" i="1" l="1"/>
  <c r="Q607" i="1" s="1"/>
  <c r="T607" i="1"/>
  <c r="U607" i="1" s="1"/>
  <c r="N607" i="1"/>
  <c r="O607" i="1" s="1"/>
  <c r="V607" i="1"/>
  <c r="W607" i="1" s="1"/>
  <c r="L607" i="1"/>
  <c r="M607" i="1" s="1"/>
  <c r="R607" i="1"/>
  <c r="S607" i="1" s="1"/>
  <c r="G607" i="1"/>
  <c r="F609" i="1" l="1"/>
  <c r="N609" i="1" l="1"/>
  <c r="O609" i="1" s="1"/>
  <c r="P609" i="1"/>
  <c r="Q609" i="1" s="1"/>
  <c r="T442" i="1" l="1"/>
  <c r="U442" i="1" s="1"/>
  <c r="N442" i="1"/>
  <c r="O442" i="1" s="1"/>
  <c r="J442" i="1"/>
  <c r="K442" i="1" s="1"/>
  <c r="V442" i="1"/>
  <c r="W442" i="1" s="1"/>
  <c r="H442" i="1"/>
  <c r="I442" i="1" s="1"/>
  <c r="L442" i="1"/>
  <c r="M442" i="1" s="1"/>
  <c r="R442" i="1"/>
  <c r="S442" i="1" s="1"/>
  <c r="P442" i="1"/>
  <c r="Q442" i="1" s="1"/>
  <c r="H652" i="1" l="1"/>
  <c r="I652" i="1" s="1"/>
  <c r="L652" i="1"/>
  <c r="M652" i="1" s="1"/>
  <c r="P652" i="1"/>
  <c r="Q652" i="1" s="1"/>
  <c r="T652" i="1"/>
  <c r="U652" i="1" s="1"/>
  <c r="K652" i="1"/>
  <c r="V652" i="1"/>
  <c r="W652" i="1" s="1"/>
  <c r="N652" i="1"/>
  <c r="O652" i="1" s="1"/>
  <c r="R652" i="1"/>
  <c r="S652" i="1" s="1"/>
  <c r="G652" i="1"/>
  <c r="F455" i="1" l="1"/>
  <c r="F454" i="1"/>
  <c r="F207" i="1"/>
  <c r="V454" i="1" l="1"/>
  <c r="W454" i="1" s="1"/>
  <c r="P454" i="1"/>
  <c r="Q454" i="1" s="1"/>
  <c r="H454" i="1"/>
  <c r="I454" i="1" s="1"/>
  <c r="L454" i="1"/>
  <c r="M454" i="1" s="1"/>
  <c r="R454" i="1"/>
  <c r="S454" i="1" s="1"/>
  <c r="T454" i="1"/>
  <c r="U454" i="1" s="1"/>
  <c r="N454" i="1"/>
  <c r="O454" i="1" s="1"/>
  <c r="J454" i="1"/>
  <c r="K454" i="1" s="1"/>
  <c r="V455" i="1"/>
  <c r="W455" i="1" s="1"/>
  <c r="N455" i="1"/>
  <c r="O455" i="1" s="1"/>
  <c r="J455" i="1"/>
  <c r="K455" i="1" s="1"/>
  <c r="P455" i="1"/>
  <c r="Q455" i="1" s="1"/>
  <c r="T455" i="1"/>
  <c r="U455" i="1" s="1"/>
  <c r="L455" i="1"/>
  <c r="M455" i="1" s="1"/>
  <c r="R455" i="1"/>
  <c r="S455" i="1" s="1"/>
  <c r="H455" i="1"/>
  <c r="I455" i="1" s="1"/>
  <c r="R614" i="1"/>
  <c r="S614" i="1" s="1"/>
  <c r="V614" i="1"/>
  <c r="W614" i="1" s="1"/>
  <c r="P614" i="1"/>
  <c r="Q614" i="1" s="1"/>
  <c r="N614" i="1"/>
  <c r="O614" i="1" s="1"/>
  <c r="T614" i="1"/>
  <c r="U614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H207" i="1"/>
  <c r="I207" i="1" s="1"/>
  <c r="G613" i="1"/>
  <c r="G455" i="1"/>
  <c r="G454" i="1"/>
  <c r="G207" i="1"/>
  <c r="N206" i="1" l="1"/>
  <c r="O206" i="1" s="1"/>
  <c r="V206" i="1"/>
  <c r="W206" i="1" s="1"/>
  <c r="T206" i="1"/>
  <c r="U206" i="1" s="1"/>
  <c r="R206" i="1"/>
  <c r="S206" i="1" s="1"/>
  <c r="P206" i="1"/>
  <c r="Q206" i="1" s="1"/>
  <c r="H206" i="1"/>
  <c r="I206" i="1" s="1"/>
  <c r="L206" i="1"/>
  <c r="M206" i="1" s="1"/>
  <c r="J206" i="1"/>
  <c r="K206" i="1" s="1"/>
  <c r="G206" i="1"/>
  <c r="G175" i="1"/>
  <c r="F741" i="1"/>
  <c r="F730" i="1"/>
  <c r="F745" i="1"/>
  <c r="F251" i="1"/>
  <c r="L251" i="1" l="1"/>
  <c r="M251" i="1" s="1"/>
  <c r="P251" i="1"/>
  <c r="Q251" i="1" s="1"/>
  <c r="R251" i="1"/>
  <c r="S251" i="1" s="1"/>
  <c r="H251" i="1"/>
  <c r="I251" i="1" s="1"/>
  <c r="T251" i="1"/>
  <c r="J251" i="1"/>
  <c r="K251" i="1" s="1"/>
  <c r="N251" i="1"/>
  <c r="O251" i="1" s="1"/>
  <c r="T741" i="1"/>
  <c r="U741" i="1" s="1"/>
  <c r="L741" i="1"/>
  <c r="M741" i="1" s="1"/>
  <c r="R741" i="1"/>
  <c r="S741" i="1" s="1"/>
  <c r="J741" i="1"/>
  <c r="K741" i="1" s="1"/>
  <c r="P741" i="1"/>
  <c r="Q741" i="1" s="1"/>
  <c r="V741" i="1"/>
  <c r="W741" i="1" s="1"/>
  <c r="N741" i="1"/>
  <c r="O741" i="1" s="1"/>
  <c r="T745" i="1"/>
  <c r="U745" i="1" s="1"/>
  <c r="J745" i="1"/>
  <c r="K745" i="1" s="1"/>
  <c r="N745" i="1"/>
  <c r="O745" i="1" s="1"/>
  <c r="H745" i="1"/>
  <c r="I745" i="1" s="1"/>
  <c r="P745" i="1"/>
  <c r="Q745" i="1" s="1"/>
  <c r="R745" i="1"/>
  <c r="S745" i="1" s="1"/>
  <c r="L745" i="1"/>
  <c r="M745" i="1" s="1"/>
  <c r="V745" i="1"/>
  <c r="W745" i="1" s="1"/>
  <c r="V730" i="1"/>
  <c r="W730" i="1" s="1"/>
  <c r="J730" i="1"/>
  <c r="K730" i="1" s="1"/>
  <c r="T730" i="1"/>
  <c r="U730" i="1" s="1"/>
  <c r="L730" i="1"/>
  <c r="M730" i="1" s="1"/>
  <c r="P730" i="1"/>
  <c r="Q730" i="1" s="1"/>
  <c r="R730" i="1"/>
  <c r="S730" i="1" s="1"/>
  <c r="N730" i="1"/>
  <c r="O730" i="1" s="1"/>
  <c r="V251" i="1"/>
  <c r="W251" i="1" s="1"/>
  <c r="U251" i="1"/>
  <c r="V269" i="1"/>
  <c r="W269" i="1" s="1"/>
  <c r="T269" i="1"/>
  <c r="U269" i="1" s="1"/>
  <c r="V252" i="1"/>
  <c r="W252" i="1" s="1"/>
  <c r="U252" i="1"/>
  <c r="G741" i="1"/>
  <c r="G730" i="1"/>
  <c r="H730" i="1"/>
  <c r="I730" i="1" s="1"/>
  <c r="G745" i="1"/>
  <c r="G251" i="1"/>
  <c r="G252" i="1"/>
  <c r="G269" i="1" l="1"/>
  <c r="J673" i="1" l="1"/>
  <c r="J672" i="1"/>
  <c r="J671" i="1"/>
  <c r="J660" i="1"/>
  <c r="J633" i="1"/>
  <c r="P619" i="1" l="1"/>
  <c r="Q619" i="1" s="1"/>
  <c r="H619" i="1"/>
  <c r="I619" i="1" s="1"/>
  <c r="V619" i="1"/>
  <c r="W619" i="1" s="1"/>
  <c r="N619" i="1"/>
  <c r="O619" i="1" s="1"/>
  <c r="T619" i="1"/>
  <c r="U619" i="1" s="1"/>
  <c r="L619" i="1"/>
  <c r="M619" i="1" s="1"/>
  <c r="R619" i="1"/>
  <c r="S619" i="1" s="1"/>
  <c r="K619" i="1"/>
  <c r="H648" i="1"/>
  <c r="I648" i="1" s="1"/>
  <c r="L648" i="1"/>
  <c r="M648" i="1" s="1"/>
  <c r="P648" i="1"/>
  <c r="Q648" i="1" s="1"/>
  <c r="T648" i="1"/>
  <c r="U648" i="1" s="1"/>
  <c r="N648" i="1"/>
  <c r="O648" i="1" s="1"/>
  <c r="V648" i="1"/>
  <c r="W648" i="1" s="1"/>
  <c r="R648" i="1"/>
  <c r="S648" i="1" s="1"/>
  <c r="K648" i="1"/>
  <c r="H653" i="1"/>
  <c r="I653" i="1" s="1"/>
  <c r="L653" i="1"/>
  <c r="M653" i="1" s="1"/>
  <c r="P653" i="1"/>
  <c r="Q653" i="1" s="1"/>
  <c r="T653" i="1"/>
  <c r="U653" i="1" s="1"/>
  <c r="K653" i="1"/>
  <c r="V653" i="1"/>
  <c r="W653" i="1" s="1"/>
  <c r="R653" i="1"/>
  <c r="S653" i="1" s="1"/>
  <c r="N653" i="1"/>
  <c r="O653" i="1" s="1"/>
  <c r="V562" i="1"/>
  <c r="L562" i="1"/>
  <c r="R562" i="1"/>
  <c r="J562" i="1"/>
  <c r="P562" i="1"/>
  <c r="N562" i="1"/>
  <c r="T562" i="1"/>
  <c r="H562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54" i="1"/>
  <c r="I654" i="1" s="1"/>
  <c r="L654" i="1"/>
  <c r="M654" i="1" s="1"/>
  <c r="P654" i="1"/>
  <c r="Q654" i="1" s="1"/>
  <c r="T654" i="1"/>
  <c r="U654" i="1" s="1"/>
  <c r="K654" i="1"/>
  <c r="V654" i="1"/>
  <c r="W654" i="1" s="1"/>
  <c r="N654" i="1"/>
  <c r="O654" i="1" s="1"/>
  <c r="R654" i="1"/>
  <c r="S654" i="1" s="1"/>
  <c r="L671" i="1"/>
  <c r="M671" i="1" s="1"/>
  <c r="R671" i="1"/>
  <c r="S671" i="1" s="1"/>
  <c r="H671" i="1"/>
  <c r="I671" i="1" s="1"/>
  <c r="N671" i="1"/>
  <c r="O671" i="1" s="1"/>
  <c r="K671" i="1"/>
  <c r="T671" i="1"/>
  <c r="U671" i="1" s="1"/>
  <c r="V671" i="1"/>
  <c r="W671" i="1" s="1"/>
  <c r="P671" i="1"/>
  <c r="Q671" i="1" s="1"/>
  <c r="P563" i="1"/>
  <c r="R563" i="1"/>
  <c r="N563" i="1"/>
  <c r="T563" i="1"/>
  <c r="L563" i="1"/>
  <c r="J563" i="1"/>
  <c r="H563" i="1"/>
  <c r="V563" i="1"/>
  <c r="P608" i="1"/>
  <c r="Q608" i="1" s="1"/>
  <c r="N608" i="1"/>
  <c r="O608" i="1" s="1"/>
  <c r="R608" i="1"/>
  <c r="S608" i="1" s="1"/>
  <c r="T608" i="1"/>
  <c r="U608" i="1" s="1"/>
  <c r="K633" i="1"/>
  <c r="T633" i="1"/>
  <c r="U633" i="1" s="1"/>
  <c r="P633" i="1"/>
  <c r="Q633" i="1" s="1"/>
  <c r="V633" i="1"/>
  <c r="W633" i="1" s="1"/>
  <c r="L633" i="1"/>
  <c r="M633" i="1" s="1"/>
  <c r="N633" i="1"/>
  <c r="O633" i="1" s="1"/>
  <c r="R633" i="1"/>
  <c r="S633" i="1" s="1"/>
  <c r="H633" i="1"/>
  <c r="I633" i="1" s="1"/>
  <c r="H659" i="1"/>
  <c r="I659" i="1" s="1"/>
  <c r="N659" i="1"/>
  <c r="O659" i="1" s="1"/>
  <c r="R659" i="1"/>
  <c r="S659" i="1" s="1"/>
  <c r="L659" i="1"/>
  <c r="M659" i="1" s="1"/>
  <c r="T659" i="1"/>
  <c r="U659" i="1" s="1"/>
  <c r="K659" i="1"/>
  <c r="P659" i="1"/>
  <c r="Q659" i="1" s="1"/>
  <c r="V659" i="1"/>
  <c r="W659" i="1" s="1"/>
  <c r="L672" i="1"/>
  <c r="M672" i="1" s="1"/>
  <c r="R672" i="1"/>
  <c r="S672" i="1" s="1"/>
  <c r="H672" i="1"/>
  <c r="I672" i="1" s="1"/>
  <c r="N672" i="1"/>
  <c r="O672" i="1" s="1"/>
  <c r="P672" i="1"/>
  <c r="Q672" i="1" s="1"/>
  <c r="K672" i="1"/>
  <c r="T672" i="1"/>
  <c r="U672" i="1" s="1"/>
  <c r="V672" i="1"/>
  <c r="W672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61" i="1"/>
  <c r="I661" i="1" s="1"/>
  <c r="N661" i="1"/>
  <c r="O661" i="1" s="1"/>
  <c r="V661" i="1"/>
  <c r="W661" i="1" s="1"/>
  <c r="K661" i="1"/>
  <c r="P661" i="1"/>
  <c r="Q661" i="1" s="1"/>
  <c r="T661" i="1"/>
  <c r="U661" i="1" s="1"/>
  <c r="L661" i="1"/>
  <c r="M661" i="1" s="1"/>
  <c r="R661" i="1"/>
  <c r="S661" i="1" s="1"/>
  <c r="P625" i="1"/>
  <c r="Q625" i="1" s="1"/>
  <c r="H625" i="1"/>
  <c r="I625" i="1" s="1"/>
  <c r="V625" i="1"/>
  <c r="W625" i="1" s="1"/>
  <c r="N625" i="1"/>
  <c r="O625" i="1" s="1"/>
  <c r="T625" i="1"/>
  <c r="U625" i="1" s="1"/>
  <c r="R625" i="1"/>
  <c r="S625" i="1" s="1"/>
  <c r="L625" i="1"/>
  <c r="M625" i="1" s="1"/>
  <c r="K625" i="1"/>
  <c r="R615" i="1"/>
  <c r="S615" i="1" s="1"/>
  <c r="V615" i="1"/>
  <c r="W615" i="1" s="1"/>
  <c r="P615" i="1"/>
  <c r="Q615" i="1" s="1"/>
  <c r="T615" i="1"/>
  <c r="U615" i="1" s="1"/>
  <c r="N615" i="1"/>
  <c r="O615" i="1" s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60" i="1"/>
  <c r="I660" i="1" s="1"/>
  <c r="N660" i="1"/>
  <c r="O660" i="1" s="1"/>
  <c r="K660" i="1"/>
  <c r="P660" i="1"/>
  <c r="Q660" i="1" s="1"/>
  <c r="R660" i="1"/>
  <c r="S660" i="1" s="1"/>
  <c r="L660" i="1"/>
  <c r="M660" i="1" s="1"/>
  <c r="T660" i="1"/>
  <c r="U660" i="1" s="1"/>
  <c r="V660" i="1"/>
  <c r="W660" i="1" s="1"/>
  <c r="L673" i="1"/>
  <c r="M673" i="1" s="1"/>
  <c r="R673" i="1"/>
  <c r="S673" i="1" s="1"/>
  <c r="H673" i="1"/>
  <c r="I673" i="1" s="1"/>
  <c r="N673" i="1"/>
  <c r="O673" i="1" s="1"/>
  <c r="K673" i="1"/>
  <c r="T673" i="1"/>
  <c r="U673" i="1" s="1"/>
  <c r="P673" i="1"/>
  <c r="Q673" i="1" s="1"/>
  <c r="V673" i="1"/>
  <c r="W673" i="1" s="1"/>
  <c r="R493" i="1"/>
  <c r="S493" i="1" s="1"/>
  <c r="P493" i="1"/>
  <c r="Q493" i="1" s="1"/>
  <c r="T493" i="1"/>
  <c r="U493" i="1" s="1"/>
  <c r="L493" i="1"/>
  <c r="M493" i="1" s="1"/>
  <c r="H493" i="1"/>
  <c r="I493" i="1" s="1"/>
  <c r="N493" i="1"/>
  <c r="O493" i="1" s="1"/>
  <c r="J493" i="1"/>
  <c r="K493" i="1" s="1"/>
  <c r="G173" i="1"/>
  <c r="G653" i="1"/>
  <c r="F273" i="1" l="1"/>
  <c r="F265" i="1"/>
  <c r="F202" i="1"/>
  <c r="F208" i="1"/>
  <c r="F102" i="1"/>
  <c r="F100" i="1"/>
  <c r="F99" i="1"/>
  <c r="F98" i="1"/>
  <c r="F97" i="1"/>
  <c r="V208" i="1" l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R265" i="1"/>
  <c r="S265" i="1" s="1"/>
  <c r="L265" i="1"/>
  <c r="M265" i="1" s="1"/>
  <c r="J265" i="1"/>
  <c r="K265" i="1" s="1"/>
  <c r="H265" i="1"/>
  <c r="I265" i="1" s="1"/>
  <c r="P265" i="1"/>
  <c r="Q265" i="1" s="1"/>
  <c r="N265" i="1"/>
  <c r="O265" i="1" s="1"/>
  <c r="N273" i="1"/>
  <c r="O273" i="1" s="1"/>
  <c r="R273" i="1"/>
  <c r="S273" i="1" s="1"/>
  <c r="H273" i="1"/>
  <c r="I273" i="1" s="1"/>
  <c r="J273" i="1"/>
  <c r="K273" i="1" s="1"/>
  <c r="T273" i="1"/>
  <c r="U273" i="1" s="1"/>
  <c r="L273" i="1"/>
  <c r="M273" i="1" s="1"/>
  <c r="P273" i="1"/>
  <c r="Q273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I99" i="1" s="1"/>
  <c r="T99" i="1"/>
  <c r="U99" i="1" s="1"/>
  <c r="V99" i="1"/>
  <c r="W99" i="1" s="1"/>
  <c r="H102" i="1"/>
  <c r="V102" i="1"/>
  <c r="W102" i="1" s="1"/>
  <c r="T102" i="1"/>
  <c r="U102" i="1" s="1"/>
  <c r="R102" i="1"/>
  <c r="S102" i="1" s="1"/>
  <c r="P102" i="1"/>
  <c r="Q102" i="1" s="1"/>
  <c r="N102" i="1"/>
  <c r="O102" i="1" s="1"/>
  <c r="L102" i="1"/>
  <c r="M102" i="1" s="1"/>
  <c r="J102" i="1"/>
  <c r="K102" i="1" s="1"/>
  <c r="V97" i="1"/>
  <c r="W97" i="1" s="1"/>
  <c r="T97" i="1"/>
  <c r="U97" i="1" s="1"/>
  <c r="R97" i="1"/>
  <c r="S97" i="1" s="1"/>
  <c r="P97" i="1"/>
  <c r="Q97" i="1" s="1"/>
  <c r="N97" i="1"/>
  <c r="O97" i="1" s="1"/>
  <c r="J97" i="1"/>
  <c r="K97" i="1" s="1"/>
  <c r="H97" i="1"/>
  <c r="I97" i="1" s="1"/>
  <c r="L97" i="1"/>
  <c r="M97" i="1" s="1"/>
  <c r="J98" i="1"/>
  <c r="K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H98" i="1"/>
  <c r="I98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P25" i="1"/>
  <c r="Q25" i="1" s="1"/>
  <c r="T25" i="1"/>
  <c r="U25" i="1" s="1"/>
  <c r="N25" i="1"/>
  <c r="O25" i="1" s="1"/>
  <c r="R25" i="1"/>
  <c r="S25" i="1" s="1"/>
  <c r="L25" i="1"/>
  <c r="M25" i="1" s="1"/>
  <c r="V433" i="1"/>
  <c r="W433" i="1" s="1"/>
  <c r="N433" i="1"/>
  <c r="O433" i="1" s="1"/>
  <c r="J433" i="1"/>
  <c r="K433" i="1" s="1"/>
  <c r="H433" i="1"/>
  <c r="I433" i="1" s="1"/>
  <c r="T433" i="1"/>
  <c r="U433" i="1" s="1"/>
  <c r="L433" i="1"/>
  <c r="M433" i="1" s="1"/>
  <c r="R433" i="1"/>
  <c r="S433" i="1" s="1"/>
  <c r="P433" i="1"/>
  <c r="Q433" i="1" s="1"/>
  <c r="R443" i="1"/>
  <c r="S443" i="1" s="1"/>
  <c r="L443" i="1"/>
  <c r="M443" i="1" s="1"/>
  <c r="T443" i="1"/>
  <c r="U443" i="1" s="1"/>
  <c r="H443" i="1"/>
  <c r="I443" i="1" s="1"/>
  <c r="V443" i="1"/>
  <c r="W443" i="1" s="1"/>
  <c r="P443" i="1"/>
  <c r="Q443" i="1" s="1"/>
  <c r="J443" i="1"/>
  <c r="K443" i="1" s="1"/>
  <c r="N443" i="1"/>
  <c r="O443" i="1" s="1"/>
  <c r="V182" i="1"/>
  <c r="W182" i="1" s="1"/>
  <c r="T182" i="1"/>
  <c r="U182" i="1" s="1"/>
  <c r="R182" i="1"/>
  <c r="S182" i="1" s="1"/>
  <c r="P182" i="1"/>
  <c r="Q182" i="1" s="1"/>
  <c r="N182" i="1"/>
  <c r="O182" i="1" s="1"/>
  <c r="J182" i="1"/>
  <c r="K182" i="1" s="1"/>
  <c r="L182" i="1"/>
  <c r="M182" i="1" s="1"/>
  <c r="H182" i="1"/>
  <c r="I182" i="1" s="1"/>
  <c r="U259" i="1"/>
  <c r="V259" i="1"/>
  <c r="W259" i="1" s="1"/>
  <c r="G181" i="1"/>
  <c r="R181" i="1"/>
  <c r="S181" i="1" s="1"/>
  <c r="P181" i="1"/>
  <c r="Q181" i="1" s="1"/>
  <c r="N181" i="1"/>
  <c r="O181" i="1" s="1"/>
  <c r="J181" i="1"/>
  <c r="K181" i="1" s="1"/>
  <c r="H181" i="1"/>
  <c r="I181" i="1" s="1"/>
  <c r="T181" i="1"/>
  <c r="U181" i="1" s="1"/>
  <c r="L181" i="1"/>
  <c r="M181" i="1" s="1"/>
  <c r="V181" i="1"/>
  <c r="W181" i="1" s="1"/>
  <c r="U263" i="1"/>
  <c r="V263" i="1"/>
  <c r="W263" i="1" s="1"/>
  <c r="V283" i="1"/>
  <c r="W283" i="1" s="1"/>
  <c r="T265" i="1"/>
  <c r="U265" i="1" s="1"/>
  <c r="V265" i="1"/>
  <c r="W265" i="1" s="1"/>
  <c r="T266" i="1"/>
  <c r="U266" i="1" s="1"/>
  <c r="V266" i="1"/>
  <c r="W266" i="1" s="1"/>
  <c r="V273" i="1"/>
  <c r="W273" i="1" s="1"/>
  <c r="V274" i="1"/>
  <c r="W274" i="1" s="1"/>
  <c r="V279" i="1"/>
  <c r="W279" i="1" s="1"/>
  <c r="T27" i="1"/>
  <c r="U27" i="1" s="1"/>
  <c r="R27" i="1"/>
  <c r="S27" i="1" s="1"/>
  <c r="P27" i="1"/>
  <c r="Q27" i="1" s="1"/>
  <c r="N27" i="1"/>
  <c r="O27" i="1" s="1"/>
  <c r="L27" i="1"/>
  <c r="M27" i="1" s="1"/>
  <c r="R214" i="1" l="1"/>
  <c r="S214" i="1" s="1"/>
  <c r="V214" i="1"/>
  <c r="W214" i="1" s="1"/>
  <c r="P214" i="1"/>
  <c r="Q214" i="1" s="1"/>
  <c r="N214" i="1"/>
  <c r="O214" i="1" s="1"/>
  <c r="J214" i="1"/>
  <c r="K214" i="1" s="1"/>
  <c r="L214" i="1"/>
  <c r="M214" i="1" s="1"/>
  <c r="T214" i="1"/>
  <c r="U214" i="1" s="1"/>
  <c r="J138" i="1"/>
  <c r="V138" i="1"/>
  <c r="W138" i="1" s="1"/>
  <c r="T138" i="1"/>
  <c r="U138" i="1" s="1"/>
  <c r="N138" i="1"/>
  <c r="O138" i="1" s="1"/>
  <c r="R138" i="1"/>
  <c r="S138" i="1" s="1"/>
  <c r="P138" i="1"/>
  <c r="Q138" i="1" s="1"/>
  <c r="L138" i="1"/>
  <c r="M138" i="1" s="1"/>
  <c r="R137" i="1"/>
  <c r="S137" i="1" s="1"/>
  <c r="P137" i="1"/>
  <c r="Q137" i="1" s="1"/>
  <c r="J137" i="1"/>
  <c r="N137" i="1"/>
  <c r="O137" i="1" s="1"/>
  <c r="L137" i="1"/>
  <c r="M137" i="1" s="1"/>
  <c r="T137" i="1"/>
  <c r="U137" i="1" s="1"/>
  <c r="V137" i="1"/>
  <c r="W137" i="1" s="1"/>
  <c r="F281" i="1"/>
  <c r="J281" i="1" l="1"/>
  <c r="K281" i="1" s="1"/>
  <c r="N281" i="1"/>
  <c r="O281" i="1" s="1"/>
  <c r="P281" i="1"/>
  <c r="Q281" i="1" s="1"/>
  <c r="H281" i="1"/>
  <c r="I281" i="1" s="1"/>
  <c r="T281" i="1"/>
  <c r="U281" i="1" s="1"/>
  <c r="R281" i="1"/>
  <c r="S281" i="1" s="1"/>
  <c r="L281" i="1"/>
  <c r="M281" i="1" s="1"/>
  <c r="T440" i="1"/>
  <c r="U440" i="1" s="1"/>
  <c r="H440" i="1"/>
  <c r="I440" i="1" s="1"/>
  <c r="L440" i="1"/>
  <c r="M440" i="1" s="1"/>
  <c r="P440" i="1"/>
  <c r="Q440" i="1" s="1"/>
  <c r="N440" i="1"/>
  <c r="O440" i="1" s="1"/>
  <c r="R440" i="1"/>
  <c r="S440" i="1" s="1"/>
  <c r="V440" i="1"/>
  <c r="W440" i="1" s="1"/>
  <c r="J440" i="1"/>
  <c r="K440" i="1" s="1"/>
  <c r="I346" i="1"/>
  <c r="K346" i="1"/>
  <c r="P444" i="1"/>
  <c r="Q444" i="1" s="1"/>
  <c r="H444" i="1"/>
  <c r="I444" i="1" s="1"/>
  <c r="T444" i="1"/>
  <c r="U444" i="1" s="1"/>
  <c r="J444" i="1"/>
  <c r="K444" i="1" s="1"/>
  <c r="V444" i="1"/>
  <c r="W444" i="1" s="1"/>
  <c r="N444" i="1"/>
  <c r="O444" i="1" s="1"/>
  <c r="L444" i="1"/>
  <c r="M444" i="1" s="1"/>
  <c r="R444" i="1"/>
  <c r="S444" i="1" s="1"/>
  <c r="T450" i="1"/>
  <c r="U450" i="1" s="1"/>
  <c r="P450" i="1"/>
  <c r="Q450" i="1" s="1"/>
  <c r="H450" i="1"/>
  <c r="I450" i="1" s="1"/>
  <c r="R450" i="1"/>
  <c r="S450" i="1" s="1"/>
  <c r="N450" i="1"/>
  <c r="O450" i="1" s="1"/>
  <c r="L450" i="1"/>
  <c r="M450" i="1" s="1"/>
  <c r="V450" i="1"/>
  <c r="W450" i="1" s="1"/>
  <c r="J450" i="1"/>
  <c r="K450" i="1" s="1"/>
  <c r="V435" i="1"/>
  <c r="W435" i="1" s="1"/>
  <c r="P435" i="1"/>
  <c r="Q435" i="1" s="1"/>
  <c r="J435" i="1"/>
  <c r="K435" i="1" s="1"/>
  <c r="N435" i="1"/>
  <c r="O435" i="1" s="1"/>
  <c r="R435" i="1"/>
  <c r="S435" i="1" s="1"/>
  <c r="T435" i="1"/>
  <c r="U435" i="1" s="1"/>
  <c r="H435" i="1"/>
  <c r="I435" i="1" s="1"/>
  <c r="L435" i="1"/>
  <c r="M435" i="1" s="1"/>
  <c r="T447" i="1"/>
  <c r="U447" i="1" s="1"/>
  <c r="L447" i="1"/>
  <c r="M447" i="1" s="1"/>
  <c r="P447" i="1"/>
  <c r="Q447" i="1" s="1"/>
  <c r="V447" i="1"/>
  <c r="W447" i="1" s="1"/>
  <c r="R447" i="1"/>
  <c r="S447" i="1" s="1"/>
  <c r="J447" i="1"/>
  <c r="K447" i="1" s="1"/>
  <c r="H447" i="1"/>
  <c r="I447" i="1" s="1"/>
  <c r="N447" i="1"/>
  <c r="O447" i="1" s="1"/>
  <c r="T580" i="1"/>
  <c r="U580" i="1" s="1"/>
  <c r="L580" i="1"/>
  <c r="M580" i="1" s="1"/>
  <c r="R580" i="1"/>
  <c r="S580" i="1" s="1"/>
  <c r="J580" i="1"/>
  <c r="K580" i="1" s="1"/>
  <c r="H580" i="1"/>
  <c r="I580" i="1" s="1"/>
  <c r="V580" i="1"/>
  <c r="W580" i="1" s="1"/>
  <c r="P580" i="1"/>
  <c r="Q580" i="1" s="1"/>
  <c r="N580" i="1"/>
  <c r="O580" i="1" s="1"/>
  <c r="N434" i="1"/>
  <c r="O434" i="1" s="1"/>
  <c r="P434" i="1"/>
  <c r="Q434" i="1" s="1"/>
  <c r="T434" i="1"/>
  <c r="U434" i="1" s="1"/>
  <c r="H434" i="1"/>
  <c r="I434" i="1" s="1"/>
  <c r="R434" i="1"/>
  <c r="S434" i="1" s="1"/>
  <c r="L434" i="1"/>
  <c r="M434" i="1" s="1"/>
  <c r="V434" i="1"/>
  <c r="W434" i="1" s="1"/>
  <c r="J434" i="1"/>
  <c r="K434" i="1" s="1"/>
  <c r="T577" i="1"/>
  <c r="U577" i="1" s="1"/>
  <c r="L577" i="1"/>
  <c r="M577" i="1" s="1"/>
  <c r="R577" i="1"/>
  <c r="S577" i="1" s="1"/>
  <c r="J577" i="1"/>
  <c r="K577" i="1" s="1"/>
  <c r="H577" i="1"/>
  <c r="I577" i="1" s="1"/>
  <c r="V577" i="1"/>
  <c r="W577" i="1" s="1"/>
  <c r="P577" i="1"/>
  <c r="Q577" i="1" s="1"/>
  <c r="N577" i="1"/>
  <c r="O577" i="1" s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V445" i="1"/>
  <c r="W445" i="1" s="1"/>
  <c r="N445" i="1"/>
  <c r="O445" i="1" s="1"/>
  <c r="J445" i="1"/>
  <c r="K445" i="1" s="1"/>
  <c r="H445" i="1"/>
  <c r="I445" i="1" s="1"/>
  <c r="T445" i="1"/>
  <c r="U445" i="1" s="1"/>
  <c r="L445" i="1"/>
  <c r="M445" i="1" s="1"/>
  <c r="R445" i="1"/>
  <c r="S445" i="1" s="1"/>
  <c r="P445" i="1"/>
  <c r="Q445" i="1" s="1"/>
  <c r="R448" i="1"/>
  <c r="S448" i="1" s="1"/>
  <c r="L448" i="1"/>
  <c r="M448" i="1" s="1"/>
  <c r="V448" i="1"/>
  <c r="W448" i="1" s="1"/>
  <c r="P448" i="1"/>
  <c r="Q448" i="1" s="1"/>
  <c r="J448" i="1"/>
  <c r="K448" i="1" s="1"/>
  <c r="T448" i="1"/>
  <c r="U448" i="1" s="1"/>
  <c r="H448" i="1"/>
  <c r="I448" i="1" s="1"/>
  <c r="N448" i="1"/>
  <c r="O448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P571" i="1"/>
  <c r="Q571" i="1" s="1"/>
  <c r="N571" i="1"/>
  <c r="O571" i="1" s="1"/>
  <c r="V571" i="1"/>
  <c r="W571" i="1" s="1"/>
  <c r="H571" i="1"/>
  <c r="I571" i="1" s="1"/>
  <c r="R441" i="1"/>
  <c r="S441" i="1" s="1"/>
  <c r="L441" i="1"/>
  <c r="M441" i="1" s="1"/>
  <c r="N441" i="1"/>
  <c r="O441" i="1" s="1"/>
  <c r="V441" i="1"/>
  <c r="W441" i="1" s="1"/>
  <c r="P441" i="1"/>
  <c r="Q441" i="1" s="1"/>
  <c r="J441" i="1"/>
  <c r="K441" i="1" s="1"/>
  <c r="T441" i="1"/>
  <c r="U441" i="1" s="1"/>
  <c r="H441" i="1"/>
  <c r="I441" i="1" s="1"/>
  <c r="N446" i="1"/>
  <c r="O446" i="1" s="1"/>
  <c r="H446" i="1"/>
  <c r="I446" i="1" s="1"/>
  <c r="R446" i="1"/>
  <c r="S446" i="1" s="1"/>
  <c r="V446" i="1"/>
  <c r="W446" i="1" s="1"/>
  <c r="T446" i="1"/>
  <c r="U446" i="1" s="1"/>
  <c r="L446" i="1"/>
  <c r="M446" i="1" s="1"/>
  <c r="J446" i="1"/>
  <c r="K446" i="1" s="1"/>
  <c r="P446" i="1"/>
  <c r="Q446" i="1" s="1"/>
  <c r="V579" i="1"/>
  <c r="W579" i="1" s="1"/>
  <c r="P579" i="1"/>
  <c r="Q579" i="1" s="1"/>
  <c r="T579" i="1"/>
  <c r="U579" i="1" s="1"/>
  <c r="J579" i="1"/>
  <c r="K579" i="1" s="1"/>
  <c r="H579" i="1"/>
  <c r="I579" i="1" s="1"/>
  <c r="R579" i="1"/>
  <c r="S579" i="1" s="1"/>
  <c r="N579" i="1"/>
  <c r="O579" i="1" s="1"/>
  <c r="L579" i="1"/>
  <c r="M579" i="1" s="1"/>
  <c r="V574" i="1"/>
  <c r="W574" i="1" s="1"/>
  <c r="P574" i="1"/>
  <c r="Q574" i="1" s="1"/>
  <c r="T574" i="1"/>
  <c r="U574" i="1" s="1"/>
  <c r="J574" i="1"/>
  <c r="K574" i="1" s="1"/>
  <c r="N574" i="1"/>
  <c r="O574" i="1" s="1"/>
  <c r="L574" i="1"/>
  <c r="M574" i="1" s="1"/>
  <c r="R574" i="1"/>
  <c r="S574" i="1" s="1"/>
  <c r="H574" i="1"/>
  <c r="I574" i="1" s="1"/>
  <c r="V281" i="1"/>
  <c r="W281" i="1" s="1"/>
  <c r="G332" i="1"/>
  <c r="G326" i="1"/>
  <c r="G281" i="1"/>
  <c r="G412" i="1"/>
  <c r="G413" i="1"/>
  <c r="G445" i="1" l="1"/>
  <c r="F517" i="1" l="1"/>
  <c r="G540" i="1"/>
  <c r="F537" i="1"/>
  <c r="F731" i="1"/>
  <c r="F746" i="1"/>
  <c r="V746" i="1" s="1"/>
  <c r="T748" i="1" l="1"/>
  <c r="N748" i="1"/>
  <c r="L748" i="1"/>
  <c r="P748" i="1"/>
  <c r="J748" i="1"/>
  <c r="K748" i="1" s="1"/>
  <c r="R748" i="1"/>
  <c r="R743" i="1"/>
  <c r="P743" i="1"/>
  <c r="T743" i="1"/>
  <c r="J743" i="1"/>
  <c r="K743" i="1" s="1"/>
  <c r="V743" i="1"/>
  <c r="L743" i="1"/>
  <c r="N743" i="1"/>
  <c r="R746" i="1"/>
  <c r="S746" i="1" s="1"/>
  <c r="J746" i="1"/>
  <c r="K746" i="1" s="1"/>
  <c r="P746" i="1"/>
  <c r="Q746" i="1" s="1"/>
  <c r="H746" i="1"/>
  <c r="I746" i="1" s="1"/>
  <c r="T746" i="1"/>
  <c r="U746" i="1" s="1"/>
  <c r="W746" i="1"/>
  <c r="N746" i="1"/>
  <c r="O746" i="1" s="1"/>
  <c r="L746" i="1"/>
  <c r="M746" i="1" s="1"/>
  <c r="R731" i="1"/>
  <c r="S731" i="1" s="1"/>
  <c r="J731" i="1"/>
  <c r="K731" i="1" s="1"/>
  <c r="T731" i="1"/>
  <c r="U731" i="1" s="1"/>
  <c r="L731" i="1"/>
  <c r="M731" i="1" s="1"/>
  <c r="P731" i="1"/>
  <c r="Q731" i="1" s="1"/>
  <c r="H731" i="1"/>
  <c r="I731" i="1" s="1"/>
  <c r="V731" i="1"/>
  <c r="W731" i="1" s="1"/>
  <c r="N731" i="1"/>
  <c r="O731" i="1" s="1"/>
  <c r="R536" i="1"/>
  <c r="S536" i="1" s="1"/>
  <c r="L536" i="1"/>
  <c r="M536" i="1" s="1"/>
  <c r="H536" i="1"/>
  <c r="I536" i="1" s="1"/>
  <c r="V536" i="1"/>
  <c r="W536" i="1" s="1"/>
  <c r="P536" i="1"/>
  <c r="Q536" i="1" s="1"/>
  <c r="N536" i="1"/>
  <c r="O536" i="1" s="1"/>
  <c r="T536" i="1"/>
  <c r="U536" i="1" s="1"/>
  <c r="J536" i="1"/>
  <c r="K536" i="1" s="1"/>
  <c r="H537" i="1"/>
  <c r="I537" i="1" s="1"/>
  <c r="N537" i="1"/>
  <c r="O537" i="1" s="1"/>
  <c r="R537" i="1"/>
  <c r="S537" i="1" s="1"/>
  <c r="L537" i="1"/>
  <c r="M537" i="1" s="1"/>
  <c r="T537" i="1"/>
  <c r="U537" i="1" s="1"/>
  <c r="J537" i="1"/>
  <c r="K537" i="1" s="1"/>
  <c r="V537" i="1"/>
  <c r="W537" i="1" s="1"/>
  <c r="P537" i="1"/>
  <c r="Q537" i="1" s="1"/>
  <c r="T546" i="1"/>
  <c r="U546" i="1" s="1"/>
  <c r="L546" i="1"/>
  <c r="M546" i="1" s="1"/>
  <c r="R546" i="1"/>
  <c r="S546" i="1" s="1"/>
  <c r="J546" i="1"/>
  <c r="K546" i="1" s="1"/>
  <c r="N546" i="1"/>
  <c r="O546" i="1" s="1"/>
  <c r="V546" i="1"/>
  <c r="W546" i="1" s="1"/>
  <c r="P546" i="1"/>
  <c r="Q546" i="1" s="1"/>
  <c r="R520" i="1"/>
  <c r="S520" i="1" s="1"/>
  <c r="H520" i="1"/>
  <c r="I520" i="1" s="1"/>
  <c r="V520" i="1"/>
  <c r="W520" i="1" s="1"/>
  <c r="T520" i="1"/>
  <c r="U520" i="1" s="1"/>
  <c r="P520" i="1"/>
  <c r="Q520" i="1" s="1"/>
  <c r="L520" i="1"/>
  <c r="M520" i="1" s="1"/>
  <c r="N520" i="1"/>
  <c r="O520" i="1" s="1"/>
  <c r="J520" i="1"/>
  <c r="K520" i="1" s="1"/>
  <c r="L517" i="1"/>
  <c r="M517" i="1" s="1"/>
  <c r="J517" i="1"/>
  <c r="K517" i="1" s="1"/>
  <c r="N517" i="1"/>
  <c r="O517" i="1" s="1"/>
  <c r="H517" i="1"/>
  <c r="I517" i="1" s="1"/>
  <c r="V517" i="1"/>
  <c r="W517" i="1" s="1"/>
  <c r="R517" i="1"/>
  <c r="S517" i="1" s="1"/>
  <c r="P517" i="1"/>
  <c r="Q517" i="1" s="1"/>
  <c r="T517" i="1"/>
  <c r="U517" i="1" s="1"/>
  <c r="G537" i="1"/>
  <c r="G536" i="1"/>
  <c r="G731" i="1"/>
  <c r="G746" i="1"/>
  <c r="J674" i="1" l="1"/>
  <c r="L674" i="1" l="1"/>
  <c r="M674" i="1" s="1"/>
  <c r="R674" i="1"/>
  <c r="S674" i="1" s="1"/>
  <c r="H674" i="1"/>
  <c r="I674" i="1" s="1"/>
  <c r="N674" i="1"/>
  <c r="O674" i="1" s="1"/>
  <c r="K674" i="1"/>
  <c r="V674" i="1"/>
  <c r="W674" i="1" s="1"/>
  <c r="P674" i="1"/>
  <c r="Q674" i="1" s="1"/>
  <c r="T674" i="1"/>
  <c r="U674" i="1" s="1"/>
  <c r="H14" i="1"/>
  <c r="R14" i="1"/>
  <c r="J14" i="1"/>
  <c r="T14" i="1"/>
  <c r="L14" i="1"/>
  <c r="P14" i="1"/>
  <c r="N14" i="1"/>
  <c r="G674" i="1"/>
  <c r="G504" i="1"/>
  <c r="G435" i="1" l="1"/>
  <c r="G503" i="1"/>
  <c r="G246" i="1" l="1"/>
  <c r="G587" i="1" l="1"/>
  <c r="S300" i="1" l="1"/>
  <c r="O300" i="1"/>
  <c r="M300" i="1"/>
  <c r="K300" i="1"/>
  <c r="I300" i="1"/>
  <c r="W300" i="1"/>
  <c r="U300" i="1"/>
  <c r="Q300" i="1"/>
  <c r="G300" i="1"/>
  <c r="G279" i="1" l="1"/>
  <c r="V438" i="1" l="1"/>
  <c r="W438" i="1" s="1"/>
  <c r="N438" i="1"/>
  <c r="O438" i="1" s="1"/>
  <c r="J438" i="1"/>
  <c r="K438" i="1" s="1"/>
  <c r="H438" i="1"/>
  <c r="I438" i="1" s="1"/>
  <c r="T438" i="1"/>
  <c r="U438" i="1" s="1"/>
  <c r="L438" i="1"/>
  <c r="M438" i="1" s="1"/>
  <c r="R438" i="1"/>
  <c r="S438" i="1" s="1"/>
  <c r="P438" i="1"/>
  <c r="Q438" i="1" s="1"/>
  <c r="P453" i="1"/>
  <c r="Q453" i="1" s="1"/>
  <c r="H453" i="1"/>
  <c r="I453" i="1" s="1"/>
  <c r="L453" i="1"/>
  <c r="M453" i="1" s="1"/>
  <c r="R453" i="1"/>
  <c r="S453" i="1" s="1"/>
  <c r="V453" i="1"/>
  <c r="W453" i="1" s="1"/>
  <c r="N453" i="1"/>
  <c r="O453" i="1" s="1"/>
  <c r="T453" i="1"/>
  <c r="U453" i="1" s="1"/>
  <c r="J453" i="1"/>
  <c r="K453" i="1" s="1"/>
  <c r="G453" i="1"/>
  <c r="G438" i="1"/>
  <c r="K525" i="1"/>
  <c r="G525" i="1"/>
  <c r="I690" i="1"/>
  <c r="W527" i="1"/>
  <c r="U527" i="1"/>
  <c r="S527" i="1"/>
  <c r="Q527" i="1"/>
  <c r="O527" i="1"/>
  <c r="M527" i="1"/>
  <c r="P439" i="1" l="1"/>
  <c r="Q439" i="1" s="1"/>
  <c r="H439" i="1"/>
  <c r="I439" i="1" s="1"/>
  <c r="J439" i="1"/>
  <c r="K439" i="1" s="1"/>
  <c r="V439" i="1"/>
  <c r="W439" i="1" s="1"/>
  <c r="N439" i="1"/>
  <c r="O439" i="1" s="1"/>
  <c r="T439" i="1"/>
  <c r="U439" i="1" s="1"/>
  <c r="L439" i="1"/>
  <c r="M439" i="1" s="1"/>
  <c r="R439" i="1"/>
  <c r="S439" i="1" s="1"/>
  <c r="U257" i="1"/>
  <c r="V257" i="1"/>
  <c r="W257" i="1" s="1"/>
  <c r="G615" i="1"/>
  <c r="G257" i="1"/>
  <c r="G439" i="1"/>
  <c r="J502" i="1" l="1"/>
  <c r="K502" i="1" s="1"/>
  <c r="L502" i="1"/>
  <c r="M502" i="1" s="1"/>
  <c r="O502" i="1"/>
  <c r="W502" i="1"/>
  <c r="U502" i="1"/>
  <c r="S502" i="1"/>
  <c r="Q502" i="1"/>
  <c r="G502" i="1"/>
  <c r="G264" i="1" l="1"/>
  <c r="G385" i="1" l="1"/>
  <c r="G654" i="1" l="1"/>
  <c r="P622" i="1" l="1"/>
  <c r="Q622" i="1" s="1"/>
  <c r="H622" i="1"/>
  <c r="I622" i="1" s="1"/>
  <c r="V622" i="1"/>
  <c r="W622" i="1" s="1"/>
  <c r="N622" i="1"/>
  <c r="O622" i="1" s="1"/>
  <c r="T622" i="1"/>
  <c r="U622" i="1" s="1"/>
  <c r="L622" i="1"/>
  <c r="M622" i="1" s="1"/>
  <c r="K622" i="1"/>
  <c r="R622" i="1"/>
  <c r="S622" i="1" s="1"/>
  <c r="H649" i="1"/>
  <c r="I649" i="1" s="1"/>
  <c r="L649" i="1"/>
  <c r="M649" i="1" s="1"/>
  <c r="P649" i="1"/>
  <c r="Q649" i="1" s="1"/>
  <c r="T649" i="1"/>
  <c r="U649" i="1" s="1"/>
  <c r="N649" i="1"/>
  <c r="O649" i="1" s="1"/>
  <c r="V649" i="1"/>
  <c r="W649" i="1" s="1"/>
  <c r="K649" i="1"/>
  <c r="R649" i="1"/>
  <c r="S649" i="1" s="1"/>
  <c r="P621" i="1"/>
  <c r="Q621" i="1" s="1"/>
  <c r="H621" i="1"/>
  <c r="I621" i="1" s="1"/>
  <c r="V621" i="1"/>
  <c r="W621" i="1" s="1"/>
  <c r="N621" i="1"/>
  <c r="O621" i="1" s="1"/>
  <c r="T621" i="1"/>
  <c r="U621" i="1" s="1"/>
  <c r="R621" i="1"/>
  <c r="S621" i="1" s="1"/>
  <c r="L621" i="1"/>
  <c r="M621" i="1" s="1"/>
  <c r="K621" i="1"/>
  <c r="H643" i="1"/>
  <c r="I643" i="1" s="1"/>
  <c r="L643" i="1"/>
  <c r="M643" i="1" s="1"/>
  <c r="P643" i="1"/>
  <c r="Q643" i="1" s="1"/>
  <c r="T643" i="1"/>
  <c r="U643" i="1" s="1"/>
  <c r="N643" i="1"/>
  <c r="O643" i="1" s="1"/>
  <c r="V643" i="1"/>
  <c r="W643" i="1" s="1"/>
  <c r="K643" i="1"/>
  <c r="R643" i="1"/>
  <c r="S643" i="1" s="1"/>
  <c r="P626" i="1"/>
  <c r="Q626" i="1" s="1"/>
  <c r="H626" i="1"/>
  <c r="I626" i="1" s="1"/>
  <c r="V626" i="1"/>
  <c r="W626" i="1" s="1"/>
  <c r="N626" i="1"/>
  <c r="O626" i="1" s="1"/>
  <c r="T626" i="1"/>
  <c r="U626" i="1" s="1"/>
  <c r="L626" i="1"/>
  <c r="M626" i="1" s="1"/>
  <c r="K626" i="1"/>
  <c r="R626" i="1"/>
  <c r="S626" i="1" s="1"/>
  <c r="H629" i="1"/>
  <c r="I629" i="1" s="1"/>
  <c r="L629" i="1"/>
  <c r="M629" i="1" s="1"/>
  <c r="P629" i="1"/>
  <c r="Q629" i="1" s="1"/>
  <c r="T629" i="1"/>
  <c r="U629" i="1" s="1"/>
  <c r="K629" i="1"/>
  <c r="R629" i="1"/>
  <c r="S629" i="1" s="1"/>
  <c r="V629" i="1"/>
  <c r="W629" i="1" s="1"/>
  <c r="N629" i="1"/>
  <c r="O629" i="1" s="1"/>
  <c r="P628" i="1"/>
  <c r="Q628" i="1" s="1"/>
  <c r="H628" i="1"/>
  <c r="I628" i="1" s="1"/>
  <c r="V628" i="1"/>
  <c r="W628" i="1" s="1"/>
  <c r="N628" i="1"/>
  <c r="O628" i="1" s="1"/>
  <c r="T628" i="1"/>
  <c r="U628" i="1" s="1"/>
  <c r="L628" i="1"/>
  <c r="M628" i="1" s="1"/>
  <c r="K628" i="1"/>
  <c r="R628" i="1"/>
  <c r="S628" i="1" s="1"/>
  <c r="G649" i="1"/>
  <c r="G626" i="1"/>
  <c r="G622" i="1"/>
  <c r="F335" i="1" l="1"/>
  <c r="F307" i="1"/>
  <c r="F292" i="1"/>
  <c r="F285" i="1"/>
  <c r="F268" i="1"/>
  <c r="F267" i="1"/>
  <c r="F243" i="1"/>
  <c r="F170" i="1"/>
  <c r="F169" i="1"/>
  <c r="P268" i="1" l="1"/>
  <c r="Q268" i="1" s="1"/>
  <c r="J268" i="1"/>
  <c r="K268" i="1" s="1"/>
  <c r="L268" i="1"/>
  <c r="M268" i="1" s="1"/>
  <c r="N268" i="1"/>
  <c r="O268" i="1" s="1"/>
  <c r="R268" i="1"/>
  <c r="S268" i="1" s="1"/>
  <c r="H268" i="1"/>
  <c r="I268" i="1" s="1"/>
  <c r="H292" i="1"/>
  <c r="I292" i="1" s="1"/>
  <c r="R292" i="1"/>
  <c r="S292" i="1" s="1"/>
  <c r="L292" i="1"/>
  <c r="M292" i="1" s="1"/>
  <c r="N292" i="1"/>
  <c r="O292" i="1" s="1"/>
  <c r="P292" i="1"/>
  <c r="Q292" i="1" s="1"/>
  <c r="T292" i="1"/>
  <c r="U292" i="1" s="1"/>
  <c r="J292" i="1"/>
  <c r="K292" i="1" s="1"/>
  <c r="T243" i="1"/>
  <c r="U243" i="1" s="1"/>
  <c r="R243" i="1"/>
  <c r="S243" i="1" s="1"/>
  <c r="P243" i="1"/>
  <c r="Q243" i="1" s="1"/>
  <c r="J243" i="1"/>
  <c r="K243" i="1" s="1"/>
  <c r="V243" i="1"/>
  <c r="W243" i="1" s="1"/>
  <c r="N243" i="1"/>
  <c r="O243" i="1" s="1"/>
  <c r="L243" i="1"/>
  <c r="M243" i="1" s="1"/>
  <c r="H267" i="1"/>
  <c r="I267" i="1" s="1"/>
  <c r="R267" i="1"/>
  <c r="S267" i="1" s="1"/>
  <c r="N267" i="1"/>
  <c r="O267" i="1" s="1"/>
  <c r="P267" i="1"/>
  <c r="Q267" i="1" s="1"/>
  <c r="L267" i="1"/>
  <c r="M267" i="1" s="1"/>
  <c r="J267" i="1"/>
  <c r="K267" i="1" s="1"/>
  <c r="P285" i="1"/>
  <c r="Q285" i="1" s="1"/>
  <c r="J285" i="1"/>
  <c r="K285" i="1" s="1"/>
  <c r="T285" i="1"/>
  <c r="U285" i="1" s="1"/>
  <c r="L285" i="1"/>
  <c r="M285" i="1" s="1"/>
  <c r="H285" i="1"/>
  <c r="I285" i="1" s="1"/>
  <c r="N285" i="1"/>
  <c r="O285" i="1" s="1"/>
  <c r="R285" i="1"/>
  <c r="S285" i="1" s="1"/>
  <c r="V307" i="1"/>
  <c r="W307" i="1" s="1"/>
  <c r="N307" i="1"/>
  <c r="O307" i="1" s="1"/>
  <c r="T307" i="1"/>
  <c r="U307" i="1" s="1"/>
  <c r="L307" i="1"/>
  <c r="M307" i="1" s="1"/>
  <c r="R307" i="1"/>
  <c r="S307" i="1" s="1"/>
  <c r="J307" i="1"/>
  <c r="K307" i="1" s="1"/>
  <c r="P307" i="1"/>
  <c r="Q307" i="1" s="1"/>
  <c r="H307" i="1"/>
  <c r="I307" i="1" s="1"/>
  <c r="P169" i="1"/>
  <c r="Q169" i="1" s="1"/>
  <c r="T169" i="1"/>
  <c r="U169" i="1" s="1"/>
  <c r="N169" i="1"/>
  <c r="O169" i="1" s="1"/>
  <c r="L169" i="1"/>
  <c r="M169" i="1" s="1"/>
  <c r="J169" i="1"/>
  <c r="K169" i="1" s="1"/>
  <c r="V169" i="1"/>
  <c r="W169" i="1" s="1"/>
  <c r="R169" i="1"/>
  <c r="S169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J335" i="1"/>
  <c r="K335" i="1" s="1"/>
  <c r="H335" i="1"/>
  <c r="I335" i="1" s="1"/>
  <c r="H642" i="1"/>
  <c r="I642" i="1" s="1"/>
  <c r="L642" i="1"/>
  <c r="M642" i="1" s="1"/>
  <c r="K642" i="1"/>
  <c r="V276" i="1"/>
  <c r="W276" i="1" s="1"/>
  <c r="V277" i="1"/>
  <c r="W277" i="1" s="1"/>
  <c r="V292" i="1"/>
  <c r="W292" i="1" s="1"/>
  <c r="T268" i="1"/>
  <c r="U268" i="1" s="1"/>
  <c r="V268" i="1"/>
  <c r="W268" i="1" s="1"/>
  <c r="T606" i="1"/>
  <c r="U606" i="1" s="1"/>
  <c r="K606" i="1"/>
  <c r="V606" i="1"/>
  <c r="W606" i="1" s="1"/>
  <c r="N606" i="1"/>
  <c r="O606" i="1" s="1"/>
  <c r="P606" i="1"/>
  <c r="Q606" i="1" s="1"/>
  <c r="L606" i="1"/>
  <c r="M606" i="1" s="1"/>
  <c r="R606" i="1"/>
  <c r="S606" i="1" s="1"/>
  <c r="U255" i="1"/>
  <c r="V255" i="1"/>
  <c r="W255" i="1" s="1"/>
  <c r="V289" i="1"/>
  <c r="W289" i="1" s="1"/>
  <c r="V267" i="1"/>
  <c r="W267" i="1" s="1"/>
  <c r="T267" i="1"/>
  <c r="U267" i="1" s="1"/>
  <c r="V285" i="1"/>
  <c r="W285" i="1" s="1"/>
  <c r="J170" i="1"/>
  <c r="K170" i="1" s="1"/>
  <c r="H170" i="1"/>
  <c r="V170" i="1"/>
  <c r="W170" i="1" s="1"/>
  <c r="T170" i="1"/>
  <c r="U170" i="1" s="1"/>
  <c r="R170" i="1"/>
  <c r="S170" i="1" s="1"/>
  <c r="L170" i="1"/>
  <c r="M170" i="1" s="1"/>
  <c r="P170" i="1"/>
  <c r="Q170" i="1" s="1"/>
  <c r="N170" i="1"/>
  <c r="O170" i="1" s="1"/>
  <c r="V258" i="1"/>
  <c r="W258" i="1" s="1"/>
  <c r="U258" i="1"/>
  <c r="G292" i="1"/>
  <c r="G255" i="1"/>
  <c r="G606" i="1"/>
  <c r="G404" i="1" l="1"/>
  <c r="H611" i="1" l="1"/>
  <c r="T611" i="1"/>
  <c r="U611" i="1" s="1"/>
  <c r="L611" i="1"/>
  <c r="M611" i="1" s="1"/>
  <c r="R611" i="1"/>
  <c r="S611" i="1" s="1"/>
  <c r="K611" i="1"/>
  <c r="N611" i="1"/>
  <c r="O611" i="1" s="1"/>
  <c r="V611" i="1"/>
  <c r="W611" i="1" s="1"/>
  <c r="P611" i="1"/>
  <c r="Q611" i="1" s="1"/>
  <c r="W683" i="1"/>
  <c r="U683" i="1"/>
  <c r="S683" i="1"/>
  <c r="Q683" i="1"/>
  <c r="O683" i="1"/>
  <c r="M683" i="1"/>
  <c r="K683" i="1"/>
  <c r="N757" i="1" l="1"/>
  <c r="O757" i="1" s="1"/>
  <c r="P757" i="1"/>
  <c r="Q757" i="1" s="1"/>
  <c r="T757" i="1"/>
  <c r="U757" i="1" s="1"/>
  <c r="L757" i="1"/>
  <c r="M757" i="1" s="1"/>
  <c r="R757" i="1"/>
  <c r="S757" i="1" s="1"/>
  <c r="J757" i="1"/>
  <c r="K757" i="1" s="1"/>
  <c r="G330" i="1"/>
  <c r="G338" i="1" l="1"/>
  <c r="V519" i="1" l="1"/>
  <c r="W519" i="1" s="1"/>
  <c r="T519" i="1"/>
  <c r="U519" i="1" s="1"/>
  <c r="P519" i="1"/>
  <c r="Q519" i="1" s="1"/>
  <c r="J519" i="1"/>
  <c r="K519" i="1" s="1"/>
  <c r="L519" i="1"/>
  <c r="M519" i="1" s="1"/>
  <c r="N519" i="1"/>
  <c r="O519" i="1" s="1"/>
  <c r="H519" i="1"/>
  <c r="I519" i="1" s="1"/>
  <c r="R519" i="1"/>
  <c r="S519" i="1" s="1"/>
  <c r="G433" i="1"/>
  <c r="V543" i="1" l="1"/>
  <c r="P543" i="1"/>
  <c r="T543" i="1"/>
  <c r="R543" i="1"/>
  <c r="H543" i="1"/>
  <c r="N543" i="1"/>
  <c r="J543" i="1"/>
  <c r="L543" i="1"/>
  <c r="T544" i="1"/>
  <c r="U544" i="1" s="1"/>
  <c r="L544" i="1"/>
  <c r="M544" i="1" s="1"/>
  <c r="R544" i="1"/>
  <c r="S544" i="1" s="1"/>
  <c r="J544" i="1"/>
  <c r="K544" i="1" s="1"/>
  <c r="H544" i="1"/>
  <c r="I544" i="1" s="1"/>
  <c r="V544" i="1"/>
  <c r="W544" i="1" s="1"/>
  <c r="P544" i="1"/>
  <c r="Q544" i="1" s="1"/>
  <c r="N544" i="1"/>
  <c r="O544" i="1" s="1"/>
  <c r="T610" i="1" l="1"/>
  <c r="U610" i="1" s="1"/>
  <c r="N610" i="1"/>
  <c r="O610" i="1" s="1"/>
  <c r="P610" i="1"/>
  <c r="Q610" i="1" s="1"/>
  <c r="V610" i="1"/>
  <c r="W610" i="1" s="1"/>
  <c r="R610" i="1"/>
  <c r="S610" i="1" s="1"/>
  <c r="G610" i="1"/>
  <c r="G609" i="1"/>
  <c r="G608" i="1"/>
  <c r="P627" i="1" l="1"/>
  <c r="Q627" i="1" s="1"/>
  <c r="H627" i="1"/>
  <c r="I627" i="1" s="1"/>
  <c r="V627" i="1"/>
  <c r="W627" i="1" s="1"/>
  <c r="N627" i="1"/>
  <c r="O627" i="1" s="1"/>
  <c r="T627" i="1"/>
  <c r="U627" i="1" s="1"/>
  <c r="R627" i="1"/>
  <c r="S627" i="1" s="1"/>
  <c r="L627" i="1"/>
  <c r="M627" i="1" s="1"/>
  <c r="K627" i="1"/>
  <c r="G627" i="1"/>
  <c r="F260" i="1" l="1"/>
  <c r="F706" i="1"/>
  <c r="G168" i="1"/>
  <c r="N260" i="1" l="1"/>
  <c r="O260" i="1" s="1"/>
  <c r="R260" i="1"/>
  <c r="S260" i="1" s="1"/>
  <c r="J260" i="1"/>
  <c r="K260" i="1" s="1"/>
  <c r="T260" i="1"/>
  <c r="L260" i="1"/>
  <c r="M260" i="1" s="1"/>
  <c r="P260" i="1"/>
  <c r="Q260" i="1" s="1"/>
  <c r="H260" i="1"/>
  <c r="I260" i="1" s="1"/>
  <c r="P498" i="1"/>
  <c r="Q498" i="1" s="1"/>
  <c r="H498" i="1"/>
  <c r="I498" i="1" s="1"/>
  <c r="V498" i="1"/>
  <c r="W498" i="1" s="1"/>
  <c r="N498" i="1"/>
  <c r="O498" i="1" s="1"/>
  <c r="T498" i="1"/>
  <c r="U498" i="1" s="1"/>
  <c r="L498" i="1"/>
  <c r="M498" i="1" s="1"/>
  <c r="R498" i="1"/>
  <c r="S498" i="1" s="1"/>
  <c r="J498" i="1"/>
  <c r="K498" i="1" s="1"/>
  <c r="J706" i="1"/>
  <c r="K706" i="1" s="1"/>
  <c r="P706" i="1"/>
  <c r="Q706" i="1" s="1"/>
  <c r="N706" i="1"/>
  <c r="O706" i="1" s="1"/>
  <c r="L706" i="1"/>
  <c r="M706" i="1" s="1"/>
  <c r="V287" i="1"/>
  <c r="W287" i="1" s="1"/>
  <c r="V260" i="1"/>
  <c r="W260" i="1" s="1"/>
  <c r="U260" i="1"/>
  <c r="G419" i="1"/>
  <c r="G420" i="1"/>
  <c r="G260" i="1"/>
  <c r="G706" i="1"/>
  <c r="G136" i="1"/>
  <c r="K136" i="1"/>
  <c r="G325" i="1" l="1"/>
  <c r="V278" i="1" l="1"/>
  <c r="W278" i="1" s="1"/>
  <c r="G278" i="1"/>
  <c r="G301" i="1"/>
  <c r="G268" i="1" l="1"/>
  <c r="J670" i="1"/>
  <c r="L670" i="1" l="1"/>
  <c r="M670" i="1" s="1"/>
  <c r="R670" i="1"/>
  <c r="S670" i="1" s="1"/>
  <c r="H670" i="1"/>
  <c r="I670" i="1" s="1"/>
  <c r="N670" i="1"/>
  <c r="O670" i="1" s="1"/>
  <c r="V670" i="1"/>
  <c r="W670" i="1" s="1"/>
  <c r="P670" i="1"/>
  <c r="Q670" i="1" s="1"/>
  <c r="K670" i="1"/>
  <c r="T670" i="1"/>
  <c r="U670" i="1" s="1"/>
  <c r="G670" i="1"/>
  <c r="G306" i="1" l="1"/>
  <c r="G287" i="1"/>
  <c r="G368" i="1" l="1"/>
  <c r="T564" i="1" l="1"/>
  <c r="U564" i="1" s="1"/>
  <c r="L564" i="1"/>
  <c r="M564" i="1" s="1"/>
  <c r="R564" i="1"/>
  <c r="S564" i="1" s="1"/>
  <c r="J564" i="1"/>
  <c r="K564" i="1" s="1"/>
  <c r="P564" i="1"/>
  <c r="Q564" i="1" s="1"/>
  <c r="N564" i="1"/>
  <c r="O564" i="1" s="1"/>
  <c r="V564" i="1"/>
  <c r="W564" i="1" s="1"/>
  <c r="H564" i="1"/>
  <c r="I564" i="1" s="1"/>
  <c r="T565" i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H565" i="1"/>
  <c r="I565" i="1" s="1"/>
  <c r="V565" i="1"/>
  <c r="W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G381" i="1"/>
  <c r="G751" i="1"/>
  <c r="G750" i="1"/>
  <c r="F707" i="1"/>
  <c r="G533" i="1"/>
  <c r="T707" i="1" l="1"/>
  <c r="U707" i="1" s="1"/>
  <c r="L707" i="1"/>
  <c r="M707" i="1" s="1"/>
  <c r="P707" i="1"/>
  <c r="Q707" i="1" s="1"/>
  <c r="R707" i="1"/>
  <c r="S707" i="1" s="1"/>
  <c r="J707" i="1"/>
  <c r="K707" i="1" s="1"/>
  <c r="H707" i="1"/>
  <c r="I707" i="1" s="1"/>
  <c r="V707" i="1"/>
  <c r="W707" i="1" s="1"/>
  <c r="N707" i="1"/>
  <c r="O707" i="1" s="1"/>
  <c r="G132" i="1" l="1"/>
  <c r="G448" i="1" l="1"/>
  <c r="F742" i="1"/>
  <c r="F705" i="1"/>
  <c r="F567" i="1"/>
  <c r="V742" i="1" l="1"/>
  <c r="W742" i="1" s="1"/>
  <c r="R742" i="1"/>
  <c r="S742" i="1" s="1"/>
  <c r="N742" i="1"/>
  <c r="O742" i="1" s="1"/>
  <c r="T742" i="1"/>
  <c r="U742" i="1" s="1"/>
  <c r="P742" i="1"/>
  <c r="Q742" i="1" s="1"/>
  <c r="L742" i="1"/>
  <c r="M742" i="1" s="1"/>
  <c r="H650" i="1"/>
  <c r="I650" i="1" s="1"/>
  <c r="L650" i="1"/>
  <c r="M650" i="1" s="1"/>
  <c r="P650" i="1"/>
  <c r="Q650" i="1" s="1"/>
  <c r="T650" i="1"/>
  <c r="U650" i="1" s="1"/>
  <c r="K650" i="1"/>
  <c r="V650" i="1"/>
  <c r="W650" i="1" s="1"/>
  <c r="R650" i="1"/>
  <c r="S650" i="1" s="1"/>
  <c r="N650" i="1"/>
  <c r="O650" i="1" s="1"/>
  <c r="T705" i="1"/>
  <c r="U705" i="1" s="1"/>
  <c r="L705" i="1"/>
  <c r="M705" i="1" s="1"/>
  <c r="P705" i="1"/>
  <c r="Q705" i="1" s="1"/>
  <c r="V705" i="1"/>
  <c r="W705" i="1" s="1"/>
  <c r="R705" i="1"/>
  <c r="S705" i="1" s="1"/>
  <c r="J705" i="1"/>
  <c r="K705" i="1" s="1"/>
  <c r="H705" i="1"/>
  <c r="I705" i="1" s="1"/>
  <c r="N705" i="1"/>
  <c r="O705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V567" i="1"/>
  <c r="W567" i="1" s="1"/>
  <c r="H567" i="1"/>
  <c r="I567" i="1" s="1"/>
  <c r="H655" i="1"/>
  <c r="I655" i="1" s="1"/>
  <c r="N655" i="1"/>
  <c r="O655" i="1" s="1"/>
  <c r="R655" i="1"/>
  <c r="S655" i="1" s="1"/>
  <c r="L655" i="1"/>
  <c r="M655" i="1" s="1"/>
  <c r="T655" i="1"/>
  <c r="U655" i="1" s="1"/>
  <c r="V655" i="1"/>
  <c r="W655" i="1" s="1"/>
  <c r="P655" i="1"/>
  <c r="Q655" i="1" s="1"/>
  <c r="K655" i="1"/>
  <c r="P618" i="1"/>
  <c r="Q618" i="1" s="1"/>
  <c r="H618" i="1"/>
  <c r="I618" i="1" s="1"/>
  <c r="V618" i="1"/>
  <c r="W618" i="1" s="1"/>
  <c r="N618" i="1"/>
  <c r="O618" i="1" s="1"/>
  <c r="T618" i="1"/>
  <c r="U618" i="1" s="1"/>
  <c r="K618" i="1"/>
  <c r="R618" i="1"/>
  <c r="S618" i="1" s="1"/>
  <c r="L618" i="1"/>
  <c r="M618" i="1" s="1"/>
  <c r="H656" i="1"/>
  <c r="I656" i="1" s="1"/>
  <c r="N656" i="1"/>
  <c r="O656" i="1" s="1"/>
  <c r="K656" i="1"/>
  <c r="P656" i="1"/>
  <c r="Q656" i="1" s="1"/>
  <c r="R656" i="1"/>
  <c r="S656" i="1" s="1"/>
  <c r="T656" i="1"/>
  <c r="U656" i="1" s="1"/>
  <c r="V656" i="1"/>
  <c r="W656" i="1" s="1"/>
  <c r="L656" i="1"/>
  <c r="M656" i="1" s="1"/>
  <c r="Q347" i="1"/>
  <c r="W347" i="1"/>
  <c r="O347" i="1"/>
  <c r="U347" i="1"/>
  <c r="M347" i="1"/>
  <c r="S347" i="1"/>
  <c r="H647" i="1"/>
  <c r="I647" i="1" s="1"/>
  <c r="L647" i="1"/>
  <c r="M647" i="1" s="1"/>
  <c r="P647" i="1"/>
  <c r="Q647" i="1" s="1"/>
  <c r="T647" i="1"/>
  <c r="U647" i="1" s="1"/>
  <c r="N647" i="1"/>
  <c r="O647" i="1" s="1"/>
  <c r="V647" i="1"/>
  <c r="W647" i="1" s="1"/>
  <c r="K647" i="1"/>
  <c r="R647" i="1"/>
  <c r="S647" i="1" s="1"/>
  <c r="H657" i="1"/>
  <c r="I657" i="1" s="1"/>
  <c r="N657" i="1"/>
  <c r="O657" i="1" s="1"/>
  <c r="V657" i="1"/>
  <c r="W657" i="1" s="1"/>
  <c r="K657" i="1"/>
  <c r="P657" i="1"/>
  <c r="Q657" i="1" s="1"/>
  <c r="R657" i="1"/>
  <c r="S657" i="1" s="1"/>
  <c r="L657" i="1"/>
  <c r="M657" i="1" s="1"/>
  <c r="T657" i="1"/>
  <c r="U657" i="1" s="1"/>
  <c r="F599" i="1"/>
  <c r="F598" i="1"/>
  <c r="F457" i="1"/>
  <c r="F222" i="1"/>
  <c r="N457" i="1" l="1"/>
  <c r="O457" i="1" s="1"/>
  <c r="L457" i="1"/>
  <c r="M457" i="1" s="1"/>
  <c r="H457" i="1"/>
  <c r="I457" i="1" s="1"/>
  <c r="P457" i="1"/>
  <c r="Q457" i="1" s="1"/>
  <c r="V457" i="1"/>
  <c r="W457" i="1" s="1"/>
  <c r="T457" i="1"/>
  <c r="U457" i="1" s="1"/>
  <c r="R457" i="1"/>
  <c r="S457" i="1" s="1"/>
  <c r="J457" i="1"/>
  <c r="K457" i="1" s="1"/>
  <c r="J222" i="1"/>
  <c r="K222" i="1" s="1"/>
  <c r="H222" i="1"/>
  <c r="I222" i="1" s="1"/>
  <c r="T222" i="1"/>
  <c r="U222" i="1" s="1"/>
  <c r="N222" i="1"/>
  <c r="O222" i="1" s="1"/>
  <c r="L222" i="1"/>
  <c r="M222" i="1" s="1"/>
  <c r="V222" i="1"/>
  <c r="W222" i="1" s="1"/>
  <c r="R222" i="1"/>
  <c r="S222" i="1" s="1"/>
  <c r="P222" i="1"/>
  <c r="Q222" i="1" s="1"/>
  <c r="R451" i="1"/>
  <c r="S451" i="1" s="1"/>
  <c r="L451" i="1"/>
  <c r="M451" i="1" s="1"/>
  <c r="P451" i="1"/>
  <c r="Q451" i="1" s="1"/>
  <c r="V451" i="1"/>
  <c r="W451" i="1" s="1"/>
  <c r="J451" i="1"/>
  <c r="K451" i="1" s="1"/>
  <c r="T451" i="1"/>
  <c r="U451" i="1" s="1"/>
  <c r="N451" i="1"/>
  <c r="O451" i="1" s="1"/>
  <c r="V598" i="1"/>
  <c r="W598" i="1" s="1"/>
  <c r="P598" i="1"/>
  <c r="Q598" i="1" s="1"/>
  <c r="T598" i="1"/>
  <c r="U598" i="1" s="1"/>
  <c r="J598" i="1"/>
  <c r="K598" i="1" s="1"/>
  <c r="H598" i="1"/>
  <c r="I598" i="1" s="1"/>
  <c r="R598" i="1"/>
  <c r="S598" i="1" s="1"/>
  <c r="N598" i="1"/>
  <c r="O598" i="1" s="1"/>
  <c r="L598" i="1"/>
  <c r="M598" i="1" s="1"/>
  <c r="N436" i="1"/>
  <c r="O436" i="1" s="1"/>
  <c r="P436" i="1"/>
  <c r="Q436" i="1" s="1"/>
  <c r="R436" i="1"/>
  <c r="S436" i="1" s="1"/>
  <c r="L436" i="1"/>
  <c r="M436" i="1" s="1"/>
  <c r="V436" i="1"/>
  <c r="W436" i="1" s="1"/>
  <c r="J436" i="1"/>
  <c r="K436" i="1" s="1"/>
  <c r="T436" i="1"/>
  <c r="U436" i="1" s="1"/>
  <c r="H436" i="1"/>
  <c r="I436" i="1" s="1"/>
  <c r="L599" i="1"/>
  <c r="M599" i="1" s="1"/>
  <c r="J599" i="1"/>
  <c r="K599" i="1" s="1"/>
  <c r="H599" i="1"/>
  <c r="I599" i="1" s="1"/>
  <c r="N599" i="1"/>
  <c r="O599" i="1" s="1"/>
  <c r="G303" i="1" l="1"/>
  <c r="U254" i="1" l="1"/>
  <c r="V254" i="1"/>
  <c r="W254" i="1" s="1"/>
  <c r="V261" i="1"/>
  <c r="W261" i="1" s="1"/>
  <c r="U261" i="1"/>
  <c r="F291" i="1"/>
  <c r="F282" i="1"/>
  <c r="F452" i="1"/>
  <c r="F284" i="1"/>
  <c r="P282" i="1" l="1"/>
  <c r="Q282" i="1" s="1"/>
  <c r="H282" i="1"/>
  <c r="I282" i="1" s="1"/>
  <c r="T282" i="1"/>
  <c r="U282" i="1" s="1"/>
  <c r="J282" i="1"/>
  <c r="K282" i="1" s="1"/>
  <c r="L282" i="1"/>
  <c r="M282" i="1" s="1"/>
  <c r="N282" i="1"/>
  <c r="O282" i="1" s="1"/>
  <c r="R282" i="1"/>
  <c r="S282" i="1" s="1"/>
  <c r="J284" i="1"/>
  <c r="K284" i="1" s="1"/>
  <c r="T284" i="1"/>
  <c r="U284" i="1" s="1"/>
  <c r="N284" i="1"/>
  <c r="O284" i="1" s="1"/>
  <c r="P284" i="1"/>
  <c r="Q284" i="1" s="1"/>
  <c r="H284" i="1"/>
  <c r="I284" i="1" s="1"/>
  <c r="R284" i="1"/>
  <c r="S284" i="1" s="1"/>
  <c r="L284" i="1"/>
  <c r="M284" i="1" s="1"/>
  <c r="H275" i="1"/>
  <c r="I275" i="1" s="1"/>
  <c r="R275" i="1"/>
  <c r="S275" i="1" s="1"/>
  <c r="L275" i="1"/>
  <c r="M275" i="1" s="1"/>
  <c r="N275" i="1"/>
  <c r="O275" i="1" s="1"/>
  <c r="J275" i="1"/>
  <c r="K275" i="1" s="1"/>
  <c r="P275" i="1"/>
  <c r="Q275" i="1" s="1"/>
  <c r="T275" i="1"/>
  <c r="U275" i="1" s="1"/>
  <c r="L291" i="1"/>
  <c r="M291" i="1" s="1"/>
  <c r="P291" i="1"/>
  <c r="Q291" i="1" s="1"/>
  <c r="H291" i="1"/>
  <c r="I291" i="1" s="1"/>
  <c r="R291" i="1"/>
  <c r="S291" i="1" s="1"/>
  <c r="J291" i="1"/>
  <c r="K291" i="1" s="1"/>
  <c r="T291" i="1"/>
  <c r="U291" i="1" s="1"/>
  <c r="N291" i="1"/>
  <c r="O291" i="1" s="1"/>
  <c r="P452" i="1"/>
  <c r="Q452" i="1" s="1"/>
  <c r="H452" i="1"/>
  <c r="I452" i="1" s="1"/>
  <c r="L452" i="1"/>
  <c r="M452" i="1" s="1"/>
  <c r="R452" i="1"/>
  <c r="S452" i="1" s="1"/>
  <c r="V452" i="1"/>
  <c r="W452" i="1" s="1"/>
  <c r="N452" i="1"/>
  <c r="O452" i="1" s="1"/>
  <c r="T452" i="1"/>
  <c r="U452" i="1" s="1"/>
  <c r="J452" i="1"/>
  <c r="K452" i="1" s="1"/>
  <c r="V275" i="1"/>
  <c r="W275" i="1" s="1"/>
  <c r="V282" i="1"/>
  <c r="W282" i="1" s="1"/>
  <c r="V291" i="1"/>
  <c r="W291" i="1" s="1"/>
  <c r="V284" i="1"/>
  <c r="W284" i="1" s="1"/>
  <c r="G203" i="1"/>
  <c r="G291" i="1"/>
  <c r="G661" i="1"/>
  <c r="R732" i="1" l="1"/>
  <c r="S732" i="1" s="1"/>
  <c r="L732" i="1"/>
  <c r="M732" i="1" s="1"/>
  <c r="V732" i="1"/>
  <c r="W732" i="1" s="1"/>
  <c r="P732" i="1"/>
  <c r="Q732" i="1" s="1"/>
  <c r="T732" i="1"/>
  <c r="U732" i="1" s="1"/>
  <c r="J732" i="1"/>
  <c r="K732" i="1" s="1"/>
  <c r="N732" i="1"/>
  <c r="O732" i="1" s="1"/>
  <c r="H732" i="1"/>
  <c r="I732" i="1" s="1"/>
  <c r="F573" i="1"/>
  <c r="F572" i="1"/>
  <c r="T573" i="1" l="1"/>
  <c r="U573" i="1" s="1"/>
  <c r="L573" i="1"/>
  <c r="M573" i="1" s="1"/>
  <c r="R573" i="1"/>
  <c r="S573" i="1" s="1"/>
  <c r="J573" i="1"/>
  <c r="K573" i="1" s="1"/>
  <c r="P573" i="1"/>
  <c r="Q573" i="1" s="1"/>
  <c r="N573" i="1"/>
  <c r="O573" i="1" s="1"/>
  <c r="H573" i="1"/>
  <c r="I573" i="1" s="1"/>
  <c r="V573" i="1"/>
  <c r="W573" i="1" s="1"/>
  <c r="H646" i="1"/>
  <c r="I646" i="1" s="1"/>
  <c r="L646" i="1"/>
  <c r="M646" i="1" s="1"/>
  <c r="P646" i="1"/>
  <c r="Q646" i="1" s="1"/>
  <c r="T646" i="1"/>
  <c r="U646" i="1" s="1"/>
  <c r="N646" i="1"/>
  <c r="O646" i="1" s="1"/>
  <c r="V646" i="1"/>
  <c r="W646" i="1" s="1"/>
  <c r="R646" i="1"/>
  <c r="S646" i="1" s="1"/>
  <c r="K646" i="1"/>
  <c r="T588" i="1"/>
  <c r="U588" i="1" s="1"/>
  <c r="L588" i="1"/>
  <c r="M588" i="1" s="1"/>
  <c r="R588" i="1"/>
  <c r="S588" i="1" s="1"/>
  <c r="J588" i="1"/>
  <c r="K588" i="1" s="1"/>
  <c r="P588" i="1"/>
  <c r="Q588" i="1" s="1"/>
  <c r="N588" i="1"/>
  <c r="O588" i="1" s="1"/>
  <c r="H588" i="1"/>
  <c r="I588" i="1" s="1"/>
  <c r="V588" i="1"/>
  <c r="W588" i="1" s="1"/>
  <c r="H644" i="1"/>
  <c r="I644" i="1" s="1"/>
  <c r="L644" i="1"/>
  <c r="M644" i="1" s="1"/>
  <c r="P644" i="1"/>
  <c r="Q644" i="1" s="1"/>
  <c r="T644" i="1"/>
  <c r="U644" i="1" s="1"/>
  <c r="N644" i="1"/>
  <c r="O644" i="1" s="1"/>
  <c r="V644" i="1"/>
  <c r="W644" i="1" s="1"/>
  <c r="R644" i="1"/>
  <c r="S644" i="1" s="1"/>
  <c r="K644" i="1"/>
  <c r="T589" i="1"/>
  <c r="U589" i="1" s="1"/>
  <c r="L589" i="1"/>
  <c r="M589" i="1" s="1"/>
  <c r="R589" i="1"/>
  <c r="S589" i="1" s="1"/>
  <c r="J589" i="1"/>
  <c r="K589" i="1" s="1"/>
  <c r="H589" i="1"/>
  <c r="I589" i="1" s="1"/>
  <c r="V589" i="1"/>
  <c r="W589" i="1" s="1"/>
  <c r="P589" i="1"/>
  <c r="Q589" i="1" s="1"/>
  <c r="N589" i="1"/>
  <c r="O589" i="1" s="1"/>
  <c r="T572" i="1"/>
  <c r="U572" i="1" s="1"/>
  <c r="L572" i="1"/>
  <c r="M572" i="1" s="1"/>
  <c r="R572" i="1"/>
  <c r="S572" i="1" s="1"/>
  <c r="J572" i="1"/>
  <c r="K572" i="1" s="1"/>
  <c r="H572" i="1"/>
  <c r="I572" i="1" s="1"/>
  <c r="V572" i="1"/>
  <c r="W572" i="1" s="1"/>
  <c r="P572" i="1"/>
  <c r="Q572" i="1" s="1"/>
  <c r="N572" i="1"/>
  <c r="O572" i="1" s="1"/>
  <c r="V590" i="1"/>
  <c r="W590" i="1" s="1"/>
  <c r="P590" i="1"/>
  <c r="Q590" i="1" s="1"/>
  <c r="T590" i="1"/>
  <c r="U590" i="1" s="1"/>
  <c r="J590" i="1"/>
  <c r="K590" i="1" s="1"/>
  <c r="N590" i="1"/>
  <c r="O590" i="1" s="1"/>
  <c r="L590" i="1"/>
  <c r="M590" i="1" s="1"/>
  <c r="R590" i="1"/>
  <c r="S590" i="1" s="1"/>
  <c r="H590" i="1"/>
  <c r="I590" i="1" s="1"/>
  <c r="G644" i="1"/>
  <c r="G263" i="1" l="1"/>
  <c r="G258" i="1"/>
  <c r="G436" i="1"/>
  <c r="W249" i="1" l="1"/>
  <c r="U249" i="1"/>
  <c r="S249" i="1"/>
  <c r="Q249" i="1"/>
  <c r="O249" i="1"/>
  <c r="M249" i="1"/>
  <c r="K249" i="1"/>
  <c r="I249" i="1"/>
  <c r="K392" i="1" l="1"/>
  <c r="G392" i="1"/>
  <c r="W485" i="1"/>
  <c r="U485" i="1"/>
  <c r="S485" i="1"/>
  <c r="Q485" i="1"/>
  <c r="O485" i="1"/>
  <c r="M485" i="1"/>
  <c r="K485" i="1"/>
  <c r="G485" i="1"/>
  <c r="G486" i="1"/>
  <c r="G484" i="1"/>
  <c r="G457" i="1" l="1"/>
  <c r="G390" i="1" l="1"/>
  <c r="G387" i="1"/>
  <c r="G345" i="1"/>
  <c r="W515" i="1" l="1"/>
  <c r="U515" i="1"/>
  <c r="S515" i="1"/>
  <c r="Q515" i="1"/>
  <c r="O515" i="1"/>
  <c r="K137" i="1" l="1"/>
  <c r="G380" i="1"/>
  <c r="G277" i="1"/>
  <c r="G137" i="1"/>
  <c r="G520" i="1"/>
  <c r="G386" i="1" l="1"/>
  <c r="G210" i="1"/>
  <c r="G323" i="1" l="1"/>
  <c r="U130" i="1" l="1"/>
  <c r="S130" i="1"/>
  <c r="Q130" i="1"/>
  <c r="O130" i="1"/>
  <c r="M130" i="1"/>
  <c r="W125" i="1"/>
  <c r="U125" i="1"/>
  <c r="S125" i="1"/>
  <c r="Q125" i="1"/>
  <c r="O125" i="1"/>
  <c r="M125" i="1"/>
  <c r="G324" i="1" l="1"/>
  <c r="G273" i="1"/>
  <c r="U26" i="1" l="1"/>
  <c r="S26" i="1"/>
  <c r="Q26" i="1"/>
  <c r="O26" i="1"/>
  <c r="M26" i="1"/>
  <c r="G284" i="1" l="1"/>
  <c r="J634" i="1" l="1"/>
  <c r="K634" i="1" l="1"/>
  <c r="T634" i="1"/>
  <c r="U634" i="1" s="1"/>
  <c r="P634" i="1"/>
  <c r="Q634" i="1" s="1"/>
  <c r="V634" i="1"/>
  <c r="W634" i="1" s="1"/>
  <c r="R634" i="1"/>
  <c r="S634" i="1" s="1"/>
  <c r="H634" i="1"/>
  <c r="I634" i="1" s="1"/>
  <c r="L634" i="1"/>
  <c r="M634" i="1" s="1"/>
  <c r="N634" i="1"/>
  <c r="O634" i="1" s="1"/>
  <c r="W123" i="1"/>
  <c r="U123" i="1"/>
  <c r="S123" i="1"/>
  <c r="Q123" i="1"/>
  <c r="O123" i="1"/>
  <c r="M123" i="1"/>
  <c r="W128" i="1"/>
  <c r="U128" i="1"/>
  <c r="S128" i="1"/>
  <c r="Q128" i="1"/>
  <c r="O128" i="1"/>
  <c r="M128" i="1"/>
  <c r="S126" i="1"/>
  <c r="K62" i="1" l="1"/>
  <c r="G62" i="1"/>
  <c r="G63" i="1" l="1"/>
  <c r="K63" i="1"/>
  <c r="M63" i="1"/>
  <c r="O63" i="1"/>
  <c r="Q63" i="1"/>
  <c r="S63" i="1"/>
  <c r="U63" i="1"/>
  <c r="W63" i="1"/>
  <c r="W133" i="1" l="1"/>
  <c r="U133" i="1"/>
  <c r="S133" i="1"/>
  <c r="Q133" i="1"/>
  <c r="O133" i="1"/>
  <c r="M133" i="1"/>
  <c r="G133" i="1"/>
  <c r="G518" i="1" l="1"/>
  <c r="G313" i="1"/>
  <c r="G60" i="1" l="1"/>
  <c r="G643" i="1" l="1"/>
  <c r="G578" i="1" l="1"/>
  <c r="G577" i="1"/>
  <c r="G450" i="1" l="1"/>
  <c r="I754" i="1" l="1"/>
  <c r="I755" i="1"/>
  <c r="K755" i="1" l="1"/>
  <c r="G755" i="1"/>
  <c r="G614" i="1" l="1"/>
  <c r="F702" i="1" l="1"/>
  <c r="P702" i="1" l="1"/>
  <c r="Q702" i="1" s="1"/>
  <c r="H702" i="1"/>
  <c r="T702" i="1"/>
  <c r="U702" i="1" s="1"/>
  <c r="R702" i="1"/>
  <c r="S702" i="1" s="1"/>
  <c r="J702" i="1"/>
  <c r="K702" i="1" s="1"/>
  <c r="V702" i="1"/>
  <c r="W702" i="1" s="1"/>
  <c r="N702" i="1"/>
  <c r="O702" i="1" s="1"/>
  <c r="L702" i="1"/>
  <c r="M702" i="1" s="1"/>
  <c r="G702" i="1" l="1"/>
  <c r="I702" i="1"/>
  <c r="U563" i="1" l="1"/>
  <c r="W562" i="1"/>
  <c r="O562" i="1" l="1"/>
  <c r="I562" i="1"/>
  <c r="K562" i="1"/>
  <c r="M562" i="1"/>
  <c r="Q562" i="1"/>
  <c r="S562" i="1"/>
  <c r="U562" i="1"/>
  <c r="W563" i="1"/>
  <c r="M563" i="1"/>
  <c r="O563" i="1"/>
  <c r="K563" i="1"/>
  <c r="Q563" i="1"/>
  <c r="S563" i="1"/>
  <c r="G563" i="1"/>
  <c r="I563" i="1"/>
  <c r="G562" i="1"/>
  <c r="G625" i="1" l="1"/>
  <c r="G660" i="1" l="1"/>
  <c r="G659" i="1"/>
  <c r="J663" i="1" l="1"/>
  <c r="H663" i="1" l="1"/>
  <c r="I663" i="1" s="1"/>
  <c r="N663" i="1"/>
  <c r="O663" i="1" s="1"/>
  <c r="R663" i="1"/>
  <c r="S663" i="1" s="1"/>
  <c r="L663" i="1"/>
  <c r="M663" i="1" s="1"/>
  <c r="T663" i="1"/>
  <c r="U663" i="1" s="1"/>
  <c r="P663" i="1"/>
  <c r="Q663" i="1" s="1"/>
  <c r="K663" i="1"/>
  <c r="V663" i="1"/>
  <c r="W663" i="1" s="1"/>
  <c r="G663" i="1"/>
  <c r="G658" i="1"/>
  <c r="G732" i="1" l="1"/>
  <c r="G707" i="1" l="1"/>
  <c r="G705" i="1"/>
  <c r="F575" i="1"/>
  <c r="T575" i="1" l="1"/>
  <c r="U575" i="1" s="1"/>
  <c r="L575" i="1"/>
  <c r="M575" i="1" s="1"/>
  <c r="R575" i="1"/>
  <c r="S575" i="1" s="1"/>
  <c r="J575" i="1"/>
  <c r="K575" i="1" s="1"/>
  <c r="H575" i="1"/>
  <c r="I575" i="1" s="1"/>
  <c r="V575" i="1"/>
  <c r="W575" i="1" s="1"/>
  <c r="P575" i="1"/>
  <c r="Q575" i="1" s="1"/>
  <c r="N575" i="1"/>
  <c r="O575" i="1" s="1"/>
  <c r="F262" i="1"/>
  <c r="R262" i="1" l="1"/>
  <c r="S262" i="1" s="1"/>
  <c r="L262" i="1"/>
  <c r="M262" i="1" s="1"/>
  <c r="N262" i="1"/>
  <c r="O262" i="1" s="1"/>
  <c r="P262" i="1"/>
  <c r="Q262" i="1" s="1"/>
  <c r="T262" i="1"/>
  <c r="U262" i="1" s="1"/>
  <c r="H262" i="1"/>
  <c r="I262" i="1" s="1"/>
  <c r="J262" i="1"/>
  <c r="K262" i="1" s="1"/>
  <c r="V262" i="1"/>
  <c r="W262" i="1" s="1"/>
  <c r="G14" i="1"/>
  <c r="U14" i="1" l="1"/>
  <c r="S14" i="1"/>
  <c r="Q14" i="1"/>
  <c r="O14" i="1"/>
  <c r="M14" i="1"/>
  <c r="K14" i="1"/>
  <c r="I14" i="1"/>
  <c r="G28" i="1" l="1"/>
  <c r="F581" i="1"/>
  <c r="F569" i="1"/>
  <c r="F568" i="1"/>
  <c r="T569" i="1" l="1"/>
  <c r="U569" i="1" s="1"/>
  <c r="L569" i="1"/>
  <c r="M569" i="1" s="1"/>
  <c r="R569" i="1"/>
  <c r="S569" i="1" s="1"/>
  <c r="J569" i="1"/>
  <c r="K569" i="1" s="1"/>
  <c r="P569" i="1"/>
  <c r="Q569" i="1" s="1"/>
  <c r="N569" i="1"/>
  <c r="O569" i="1" s="1"/>
  <c r="H569" i="1"/>
  <c r="I569" i="1" s="1"/>
  <c r="V569" i="1"/>
  <c r="W569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V568" i="1"/>
  <c r="W568" i="1" s="1"/>
  <c r="P568" i="1"/>
  <c r="Q568" i="1" s="1"/>
  <c r="T568" i="1"/>
  <c r="U568" i="1" s="1"/>
  <c r="J568" i="1"/>
  <c r="K568" i="1" s="1"/>
  <c r="N568" i="1"/>
  <c r="O568" i="1" s="1"/>
  <c r="L568" i="1"/>
  <c r="M568" i="1" s="1"/>
  <c r="R568" i="1"/>
  <c r="S568" i="1" s="1"/>
  <c r="H568" i="1"/>
  <c r="I568" i="1" s="1"/>
  <c r="G564" i="1"/>
  <c r="F508" i="1"/>
  <c r="F437" i="1"/>
  <c r="V508" i="1" l="1"/>
  <c r="W508" i="1" s="1"/>
  <c r="R508" i="1"/>
  <c r="S508" i="1" s="1"/>
  <c r="J508" i="1"/>
  <c r="K508" i="1" s="1"/>
  <c r="P508" i="1"/>
  <c r="Q508" i="1" s="1"/>
  <c r="N508" i="1"/>
  <c r="O508" i="1" s="1"/>
  <c r="L508" i="1"/>
  <c r="M508" i="1" s="1"/>
  <c r="T508" i="1"/>
  <c r="U508" i="1" s="1"/>
  <c r="N437" i="1"/>
  <c r="O437" i="1" s="1"/>
  <c r="T437" i="1"/>
  <c r="U437" i="1" s="1"/>
  <c r="H437" i="1"/>
  <c r="I437" i="1" s="1"/>
  <c r="R437" i="1"/>
  <c r="S437" i="1" s="1"/>
  <c r="L437" i="1"/>
  <c r="M437" i="1" s="1"/>
  <c r="V437" i="1"/>
  <c r="W437" i="1" s="1"/>
  <c r="J437" i="1"/>
  <c r="K437" i="1" s="1"/>
  <c r="P437" i="1"/>
  <c r="Q437" i="1" s="1"/>
  <c r="F288" i="1"/>
  <c r="F286" i="1"/>
  <c r="F242" i="1"/>
  <c r="F241" i="1"/>
  <c r="F95" i="1"/>
  <c r="L288" i="1" l="1"/>
  <c r="M288" i="1" s="1"/>
  <c r="P288" i="1"/>
  <c r="Q288" i="1" s="1"/>
  <c r="H288" i="1"/>
  <c r="I288" i="1" s="1"/>
  <c r="R288" i="1"/>
  <c r="S288" i="1" s="1"/>
  <c r="J288" i="1"/>
  <c r="K288" i="1" s="1"/>
  <c r="N288" i="1"/>
  <c r="O288" i="1" s="1"/>
  <c r="T288" i="1"/>
  <c r="U288" i="1" s="1"/>
  <c r="V242" i="1"/>
  <c r="W242" i="1" s="1"/>
  <c r="J242" i="1"/>
  <c r="K242" i="1" s="1"/>
  <c r="T242" i="1"/>
  <c r="U242" i="1" s="1"/>
  <c r="L242" i="1"/>
  <c r="M242" i="1" s="1"/>
  <c r="R242" i="1"/>
  <c r="S242" i="1" s="1"/>
  <c r="P242" i="1"/>
  <c r="Q242" i="1" s="1"/>
  <c r="N242" i="1"/>
  <c r="O242" i="1" s="1"/>
  <c r="V241" i="1"/>
  <c r="W241" i="1" s="1"/>
  <c r="J241" i="1"/>
  <c r="K241" i="1" s="1"/>
  <c r="T241" i="1"/>
  <c r="U241" i="1" s="1"/>
  <c r="L241" i="1"/>
  <c r="M241" i="1" s="1"/>
  <c r="R241" i="1"/>
  <c r="S241" i="1" s="1"/>
  <c r="P241" i="1"/>
  <c r="Q241" i="1" s="1"/>
  <c r="N241" i="1"/>
  <c r="O241" i="1" s="1"/>
  <c r="T286" i="1"/>
  <c r="U286" i="1" s="1"/>
  <c r="P286" i="1"/>
  <c r="Q286" i="1" s="1"/>
  <c r="H286" i="1"/>
  <c r="I286" i="1" s="1"/>
  <c r="R286" i="1"/>
  <c r="S286" i="1" s="1"/>
  <c r="J286" i="1"/>
  <c r="K286" i="1" s="1"/>
  <c r="L286" i="1"/>
  <c r="M286" i="1" s="1"/>
  <c r="N286" i="1"/>
  <c r="O286" i="1" s="1"/>
  <c r="J95" i="1"/>
  <c r="K95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O358" i="1"/>
  <c r="M358" i="1"/>
  <c r="V288" i="1"/>
  <c r="W288" i="1" s="1"/>
  <c r="W154" i="1"/>
  <c r="U154" i="1"/>
  <c r="S154" i="1"/>
  <c r="Q154" i="1"/>
  <c r="O154" i="1"/>
  <c r="I154" i="1"/>
  <c r="M154" i="1"/>
  <c r="K154" i="1"/>
  <c r="V286" i="1"/>
  <c r="W286" i="1" s="1"/>
  <c r="I102" i="1"/>
  <c r="G673" i="1" l="1"/>
  <c r="G377" i="1"/>
  <c r="G376" i="1" l="1"/>
  <c r="G446" i="1" l="1"/>
  <c r="G447" i="1"/>
  <c r="G254" i="1"/>
  <c r="J11" i="1" l="1"/>
  <c r="G11" i="1"/>
  <c r="I473" i="1" l="1"/>
  <c r="G259" i="1" l="1"/>
  <c r="G261" i="1" l="1"/>
  <c r="G375" i="1" l="1"/>
  <c r="G425" i="1"/>
  <c r="G546" i="1" l="1"/>
  <c r="U196" i="1" l="1"/>
  <c r="S196" i="1"/>
  <c r="Q196" i="1"/>
  <c r="O196" i="1"/>
  <c r="M196" i="1"/>
  <c r="J10" i="1"/>
  <c r="I69" i="1"/>
  <c r="G452" i="1" l="1"/>
  <c r="U473" i="1" l="1"/>
  <c r="S473" i="1"/>
  <c r="Q473" i="1"/>
  <c r="O473" i="1"/>
  <c r="M473" i="1"/>
  <c r="K473" i="1"/>
  <c r="G473" i="1"/>
  <c r="G566" i="1" l="1"/>
  <c r="G565" i="1"/>
  <c r="U149" i="1"/>
  <c r="W149" i="1"/>
  <c r="S149" i="1"/>
  <c r="Q149" i="1"/>
  <c r="O149" i="1"/>
  <c r="M149" i="1"/>
  <c r="K149" i="1"/>
  <c r="W148" i="1"/>
  <c r="U148" i="1"/>
  <c r="S148" i="1"/>
  <c r="Q148" i="1"/>
  <c r="O148" i="1"/>
  <c r="M148" i="1"/>
  <c r="K148" i="1"/>
  <c r="G428" i="1" l="1"/>
  <c r="G580" i="1" l="1"/>
  <c r="I535" i="1" l="1"/>
  <c r="I534" i="1"/>
  <c r="G528" i="1" l="1"/>
  <c r="Q528" i="1" l="1"/>
  <c r="O528" i="1"/>
  <c r="M528" i="1"/>
  <c r="W528" i="1"/>
  <c r="K528" i="1"/>
  <c r="U528" i="1"/>
  <c r="S528" i="1"/>
  <c r="I528" i="1"/>
  <c r="G441" i="1" l="1"/>
  <c r="F17" i="1" l="1"/>
  <c r="H17" i="1" s="1"/>
  <c r="F18" i="1"/>
  <c r="H18" i="1" s="1"/>
  <c r="I170" i="1" l="1"/>
  <c r="G642" i="1"/>
  <c r="G434" i="1" l="1"/>
  <c r="G567" i="1" l="1"/>
  <c r="G407" i="1" l="1"/>
  <c r="T596" i="1" l="1"/>
  <c r="U596" i="1" s="1"/>
  <c r="L596" i="1"/>
  <c r="M596" i="1" s="1"/>
  <c r="R596" i="1"/>
  <c r="S596" i="1" s="1"/>
  <c r="J596" i="1"/>
  <c r="K596" i="1" s="1"/>
  <c r="H596" i="1"/>
  <c r="I596" i="1" s="1"/>
  <c r="V596" i="1"/>
  <c r="W596" i="1" s="1"/>
  <c r="P596" i="1"/>
  <c r="Q596" i="1" s="1"/>
  <c r="N596" i="1"/>
  <c r="O596" i="1" s="1"/>
  <c r="G596" i="1"/>
  <c r="G408" i="1" l="1"/>
  <c r="G405" i="1" l="1"/>
  <c r="G619" i="1" l="1"/>
  <c r="G662" i="1"/>
  <c r="G98" i="1"/>
  <c r="G498" i="1" l="1"/>
  <c r="G742" i="1"/>
  <c r="G406" i="1" l="1"/>
  <c r="S160" i="1" l="1"/>
  <c r="Q160" i="1"/>
  <c r="O160" i="1"/>
  <c r="M160" i="1"/>
  <c r="K160" i="1"/>
  <c r="W516" i="1"/>
  <c r="W512" i="1"/>
  <c r="W511" i="1"/>
  <c r="U516" i="1"/>
  <c r="U512" i="1"/>
  <c r="U511" i="1"/>
  <c r="S516" i="1"/>
  <c r="S512" i="1"/>
  <c r="S511" i="1"/>
  <c r="Q516" i="1"/>
  <c r="Q512" i="1"/>
  <c r="Q511" i="1"/>
  <c r="O516" i="1"/>
  <c r="O512" i="1"/>
  <c r="O511" i="1"/>
  <c r="G514" i="1"/>
  <c r="G515" i="1"/>
  <c r="G516" i="1"/>
  <c r="G513" i="1"/>
  <c r="G512" i="1"/>
  <c r="G511" i="1"/>
  <c r="G369" i="1" l="1"/>
  <c r="F545" i="1" l="1"/>
  <c r="T545" i="1" l="1"/>
  <c r="U545" i="1" s="1"/>
  <c r="L545" i="1"/>
  <c r="M545" i="1" s="1"/>
  <c r="R545" i="1"/>
  <c r="S545" i="1" s="1"/>
  <c r="J545" i="1"/>
  <c r="K545" i="1" s="1"/>
  <c r="H545" i="1"/>
  <c r="I545" i="1" s="1"/>
  <c r="P545" i="1"/>
  <c r="Q545" i="1" s="1"/>
  <c r="V545" i="1"/>
  <c r="W545" i="1" s="1"/>
  <c r="N545" i="1"/>
  <c r="O545" i="1" s="1"/>
  <c r="T597" i="1" l="1"/>
  <c r="U597" i="1" s="1"/>
  <c r="L597" i="1"/>
  <c r="M597" i="1" s="1"/>
  <c r="R597" i="1"/>
  <c r="S597" i="1" s="1"/>
  <c r="J597" i="1"/>
  <c r="K597" i="1" s="1"/>
  <c r="H597" i="1"/>
  <c r="I597" i="1" s="1"/>
  <c r="V597" i="1"/>
  <c r="W597" i="1" s="1"/>
  <c r="P597" i="1"/>
  <c r="Q597" i="1" s="1"/>
  <c r="N597" i="1"/>
  <c r="O597" i="1" s="1"/>
  <c r="G302" i="1"/>
  <c r="G389" i="1" l="1"/>
  <c r="F190" i="1" l="1"/>
  <c r="F189" i="1"/>
  <c r="F188" i="1"/>
  <c r="F187" i="1"/>
  <c r="F186" i="1"/>
  <c r="F185" i="1"/>
  <c r="R187" i="1" l="1"/>
  <c r="S187" i="1" s="1"/>
  <c r="P187" i="1"/>
  <c r="Q187" i="1" s="1"/>
  <c r="N187" i="1"/>
  <c r="O187" i="1" s="1"/>
  <c r="T187" i="1"/>
  <c r="U187" i="1" s="1"/>
  <c r="L187" i="1"/>
  <c r="M187" i="1" s="1"/>
  <c r="J187" i="1"/>
  <c r="K187" i="1" s="1"/>
  <c r="H187" i="1"/>
  <c r="I187" i="1" s="1"/>
  <c r="M378" i="1"/>
  <c r="N185" i="1"/>
  <c r="O185" i="1" s="1"/>
  <c r="L185" i="1"/>
  <c r="M185" i="1" s="1"/>
  <c r="J185" i="1"/>
  <c r="K185" i="1" s="1"/>
  <c r="H185" i="1"/>
  <c r="I185" i="1" s="1"/>
  <c r="P185" i="1"/>
  <c r="Q185" i="1" s="1"/>
  <c r="R185" i="1"/>
  <c r="S185" i="1" s="1"/>
  <c r="T185" i="1"/>
  <c r="U185" i="1" s="1"/>
  <c r="P190" i="1"/>
  <c r="Q190" i="1" s="1"/>
  <c r="N190" i="1"/>
  <c r="O190" i="1" s="1"/>
  <c r="L190" i="1"/>
  <c r="M190" i="1" s="1"/>
  <c r="J190" i="1"/>
  <c r="K190" i="1" s="1"/>
  <c r="H190" i="1"/>
  <c r="I190" i="1" s="1"/>
  <c r="T190" i="1"/>
  <c r="U190" i="1" s="1"/>
  <c r="R190" i="1"/>
  <c r="S190" i="1" s="1"/>
  <c r="H186" i="1"/>
  <c r="I186" i="1" s="1"/>
  <c r="J186" i="1"/>
  <c r="K186" i="1" s="1"/>
  <c r="T186" i="1"/>
  <c r="U186" i="1" s="1"/>
  <c r="R186" i="1"/>
  <c r="S186" i="1" s="1"/>
  <c r="P186" i="1"/>
  <c r="Q186" i="1" s="1"/>
  <c r="N186" i="1"/>
  <c r="O186" i="1" s="1"/>
  <c r="L186" i="1"/>
  <c r="M186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P189" i="1"/>
  <c r="Q189" i="1" s="1"/>
  <c r="N189" i="1"/>
  <c r="O189" i="1" s="1"/>
  <c r="L189" i="1"/>
  <c r="M189" i="1" s="1"/>
  <c r="H189" i="1"/>
  <c r="I189" i="1" s="1"/>
  <c r="J189" i="1"/>
  <c r="K189" i="1" s="1"/>
  <c r="R189" i="1"/>
  <c r="S189" i="1" s="1"/>
  <c r="T189" i="1"/>
  <c r="U189" i="1" s="1"/>
  <c r="K138" i="1" l="1"/>
  <c r="G424" i="1"/>
  <c r="O771" i="1" l="1"/>
  <c r="G341" i="1" l="1"/>
  <c r="G759" i="1" l="1"/>
  <c r="G589" i="1" l="1"/>
  <c r="G588" i="1" l="1"/>
  <c r="G574" i="1" l="1"/>
  <c r="G569" i="1"/>
  <c r="G568" i="1" l="1"/>
  <c r="G286" i="1" l="1"/>
  <c r="G283" i="1"/>
  <c r="G267" i="1" l="1"/>
  <c r="G262" i="1"/>
  <c r="G671" i="1" l="1"/>
  <c r="G672" i="1"/>
  <c r="G544" i="1" l="1"/>
  <c r="G215" i="1" l="1"/>
  <c r="G214" i="1" l="1"/>
  <c r="G632" i="1" l="1"/>
  <c r="G631" i="1"/>
  <c r="G388" i="1" l="1"/>
  <c r="G266" i="1" l="1"/>
  <c r="G189" i="1" l="1"/>
  <c r="G190" i="1"/>
  <c r="G186" i="1" l="1"/>
  <c r="G188" i="1"/>
  <c r="G187" i="1"/>
  <c r="G185" i="1"/>
  <c r="G182" i="1"/>
  <c r="G179" i="1"/>
  <c r="G327" i="1" l="1"/>
  <c r="W678" i="1" l="1"/>
  <c r="U678" i="1"/>
  <c r="S678" i="1"/>
  <c r="Q678" i="1"/>
  <c r="O678" i="1"/>
  <c r="M678" i="1"/>
  <c r="K678" i="1"/>
  <c r="I678" i="1"/>
  <c r="W601" i="1" l="1"/>
  <c r="U601" i="1"/>
  <c r="S601" i="1"/>
  <c r="Q601" i="1"/>
  <c r="O601" i="1"/>
  <c r="M601" i="1"/>
  <c r="K601" i="1"/>
  <c r="I601" i="1"/>
  <c r="W35" i="1" l="1"/>
  <c r="U35" i="1"/>
  <c r="S35" i="1"/>
  <c r="Q35" i="1"/>
  <c r="O35" i="1"/>
  <c r="G59" i="1"/>
  <c r="U13" i="1"/>
  <c r="G451" i="1" l="1"/>
  <c r="G285" i="1" l="1"/>
  <c r="G573" i="1" l="1"/>
  <c r="G572" i="1" l="1"/>
  <c r="G200" i="1"/>
  <c r="G199" i="1"/>
  <c r="G196" i="1"/>
  <c r="W191" i="1"/>
  <c r="U191" i="1"/>
  <c r="S191" i="1"/>
  <c r="Q191" i="1"/>
  <c r="O191" i="1"/>
  <c r="G198" i="1" l="1"/>
  <c r="G197" i="1"/>
  <c r="W196" i="1"/>
  <c r="G201" i="1"/>
  <c r="G646" i="1"/>
  <c r="I774" i="1" l="1"/>
  <c r="I773" i="1"/>
  <c r="I771" i="1"/>
  <c r="I772" i="1"/>
  <c r="W771" i="1"/>
  <c r="U771" i="1"/>
  <c r="S771" i="1"/>
  <c r="Q771" i="1"/>
  <c r="M771" i="1"/>
  <c r="K771" i="1"/>
  <c r="W600" i="1" l="1"/>
  <c r="U600" i="1" l="1"/>
  <c r="I600" i="1"/>
  <c r="M600" i="1"/>
  <c r="Q600" i="1"/>
  <c r="K600" i="1"/>
  <c r="O600" i="1"/>
  <c r="S600" i="1"/>
  <c r="G571" i="1" l="1"/>
  <c r="G570" i="1"/>
  <c r="K349" i="1" l="1"/>
  <c r="I543" i="1" l="1"/>
  <c r="G265" i="1" l="1"/>
  <c r="G657" i="1" l="1"/>
  <c r="G650" i="1"/>
  <c r="G656" i="1"/>
  <c r="G624" i="1" l="1"/>
  <c r="G616" i="1" l="1"/>
  <c r="G629" i="1"/>
  <c r="G618" i="1" l="1"/>
  <c r="G628" i="1"/>
  <c r="G621" i="1"/>
  <c r="I611" i="1"/>
  <c r="G655" i="1"/>
  <c r="G648" i="1"/>
  <c r="G647" i="1"/>
  <c r="G635" i="1"/>
  <c r="G634" i="1"/>
  <c r="G633" i="1"/>
  <c r="G620" i="1"/>
  <c r="G611" i="1"/>
  <c r="G305" i="1" l="1"/>
  <c r="G429" i="1" l="1"/>
  <c r="G304" i="1" l="1"/>
  <c r="G342" i="1"/>
  <c r="G322" i="1"/>
  <c r="G320" i="1"/>
  <c r="G321" i="1"/>
  <c r="I17" i="1"/>
  <c r="I18" i="1"/>
  <c r="G18" i="1"/>
  <c r="G17" i="1"/>
  <c r="N18" i="1"/>
  <c r="G45" i="1"/>
  <c r="G44" i="1"/>
  <c r="W43" i="1"/>
  <c r="U43" i="1"/>
  <c r="S43" i="1"/>
  <c r="Q43" i="1"/>
  <c r="G43" i="1"/>
  <c r="G135" i="1"/>
  <c r="G245" i="1" l="1"/>
  <c r="G432" i="1" l="1"/>
  <c r="G757" i="1" l="1"/>
  <c r="G752" i="1" l="1"/>
  <c r="K754" i="1"/>
  <c r="G754" i="1"/>
  <c r="G482" i="1" l="1"/>
  <c r="G481" i="1"/>
  <c r="Q55" i="1" l="1"/>
  <c r="M55" i="1"/>
  <c r="K55" i="1"/>
  <c r="W55" i="1"/>
  <c r="U55" i="1"/>
  <c r="S55" i="1"/>
  <c r="O55" i="1"/>
  <c r="G55" i="1"/>
  <c r="G370" i="1" l="1"/>
  <c r="G391" i="1" l="1"/>
  <c r="G312" i="1"/>
  <c r="G249" i="1" l="1"/>
  <c r="G253" i="1"/>
  <c r="G256" i="1" l="1"/>
  <c r="I767" i="1" l="1"/>
  <c r="K767" i="1"/>
  <c r="W767" i="1"/>
  <c r="U767" i="1"/>
  <c r="S767" i="1"/>
  <c r="Q767" i="1"/>
  <c r="O767" i="1"/>
  <c r="M767" i="1"/>
  <c r="W766" i="1"/>
  <c r="U766" i="1"/>
  <c r="S766" i="1"/>
  <c r="Q766" i="1"/>
  <c r="O766" i="1"/>
  <c r="M766" i="1"/>
  <c r="S772" i="1"/>
  <c r="U772" i="1"/>
  <c r="W772" i="1"/>
  <c r="S773" i="1"/>
  <c r="U773" i="1"/>
  <c r="W773" i="1"/>
  <c r="S774" i="1"/>
  <c r="U774" i="1"/>
  <c r="W774" i="1"/>
  <c r="Q774" i="1"/>
  <c r="O774" i="1"/>
  <c r="M774" i="1"/>
  <c r="K774" i="1"/>
  <c r="M131" i="1" l="1"/>
  <c r="M127" i="1"/>
  <c r="M126" i="1"/>
  <c r="M122" i="1"/>
  <c r="M121" i="1"/>
  <c r="O107" i="1"/>
  <c r="O106" i="1"/>
  <c r="Q74" i="1" l="1"/>
  <c r="Q73" i="1"/>
  <c r="Q72" i="1"/>
  <c r="Q70" i="1"/>
  <c r="Q71" i="1"/>
  <c r="W743" i="1" l="1"/>
  <c r="U743" i="1"/>
  <c r="S743" i="1"/>
  <c r="Q743" i="1"/>
  <c r="O743" i="1"/>
  <c r="M743" i="1"/>
  <c r="W543" i="1"/>
  <c r="U543" i="1"/>
  <c r="S543" i="1"/>
  <c r="Q543" i="1"/>
  <c r="O543" i="1"/>
  <c r="M543" i="1"/>
  <c r="K543" i="1"/>
  <c r="Q505" i="1"/>
  <c r="Q474" i="1"/>
  <c r="Q472" i="1"/>
  <c r="G740" i="1" l="1"/>
  <c r="G739" i="1"/>
  <c r="Q131" i="1" l="1"/>
  <c r="Q127" i="1"/>
  <c r="Q126" i="1"/>
  <c r="Q122" i="1"/>
  <c r="Q121" i="1"/>
  <c r="Q107" i="1"/>
  <c r="Q106" i="1"/>
  <c r="Q105" i="1"/>
  <c r="Q104" i="1"/>
  <c r="K51" i="1"/>
  <c r="Q51" i="1"/>
  <c r="Q134" i="1" l="1"/>
  <c r="Q46" i="1" l="1"/>
  <c r="Q40" i="1"/>
  <c r="Q38" i="1"/>
  <c r="Q34" i="1"/>
  <c r="Q29" i="1"/>
  <c r="G597" i="1" l="1"/>
  <c r="G247" i="1"/>
  <c r="G272" i="1" l="1"/>
  <c r="G227" i="1"/>
  <c r="G493" i="1" l="1"/>
  <c r="G427" i="1" l="1"/>
  <c r="G459" i="1"/>
  <c r="G309" i="1"/>
  <c r="G401" i="1"/>
  <c r="Q151" i="1"/>
  <c r="Q150" i="1"/>
  <c r="W38" i="1"/>
  <c r="G138" i="1" l="1"/>
  <c r="G289" i="1" l="1"/>
  <c r="G205" i="1"/>
  <c r="G426" i="1" l="1"/>
  <c r="O72" i="1" l="1"/>
  <c r="G221" i="1"/>
  <c r="G310" i="1" l="1"/>
  <c r="W70" i="1" l="1"/>
  <c r="U70" i="1"/>
  <c r="S70" i="1"/>
  <c r="O70" i="1"/>
  <c r="G307" i="1"/>
  <c r="G415" i="1" l="1"/>
  <c r="G758" i="1" l="1"/>
  <c r="G760" i="1"/>
  <c r="G487" i="1" l="1"/>
  <c r="G575" i="1" l="1"/>
  <c r="G39" i="1" l="1"/>
  <c r="U38" i="1"/>
  <c r="S38" i="1"/>
  <c r="O38" i="1"/>
  <c r="G38" i="1"/>
  <c r="I687" i="1" l="1"/>
  <c r="G275" i="1" l="1"/>
  <c r="G282" i="1" l="1"/>
  <c r="G276" i="1"/>
  <c r="G174" i="1" l="1"/>
  <c r="V96" i="1" l="1"/>
  <c r="T96" i="1"/>
  <c r="R96" i="1"/>
  <c r="N96" i="1"/>
  <c r="K96" i="1"/>
  <c r="G440" i="1" l="1"/>
  <c r="G584" i="1" l="1"/>
  <c r="G222" i="1" l="1"/>
  <c r="G529" i="1" l="1"/>
  <c r="G443" i="1"/>
  <c r="I798" i="1" l="1"/>
  <c r="M134" i="1"/>
  <c r="W131" i="1"/>
  <c r="W127" i="1"/>
  <c r="W126" i="1"/>
  <c r="W122" i="1"/>
  <c r="W121" i="1"/>
  <c r="U127" i="1"/>
  <c r="U126" i="1"/>
  <c r="U122" i="1"/>
  <c r="U121" i="1"/>
  <c r="S131" i="1"/>
  <c r="S127" i="1"/>
  <c r="S122" i="1"/>
  <c r="S121" i="1"/>
  <c r="O122" i="1"/>
  <c r="O126" i="1"/>
  <c r="O127" i="1"/>
  <c r="O131" i="1"/>
  <c r="O121" i="1"/>
  <c r="W104" i="1"/>
  <c r="W105" i="1"/>
  <c r="W106" i="1"/>
  <c r="W107" i="1"/>
  <c r="U104" i="1"/>
  <c r="U105" i="1"/>
  <c r="U106" i="1"/>
  <c r="U107" i="1"/>
  <c r="S104" i="1"/>
  <c r="S105" i="1"/>
  <c r="S106" i="1"/>
  <c r="S107" i="1"/>
  <c r="W134" i="1" l="1"/>
  <c r="G599" i="1" l="1"/>
  <c r="G598" i="1"/>
  <c r="G579" i="1"/>
  <c r="G581" i="1"/>
  <c r="G595" i="1"/>
  <c r="G521" i="1" l="1"/>
  <c r="G308" i="1" l="1"/>
  <c r="G340" i="1"/>
  <c r="G311" i="1"/>
  <c r="G339" i="1" l="1"/>
  <c r="G244" i="1" l="1"/>
  <c r="G10" i="1"/>
  <c r="G229" i="1" l="1"/>
  <c r="G743" i="1" l="1"/>
  <c r="G230" i="1" l="1"/>
  <c r="O34" i="1"/>
  <c r="G204" i="1" l="1"/>
  <c r="G733" i="1" l="1"/>
  <c r="G735" i="1"/>
  <c r="G734" i="1"/>
  <c r="G430" i="1" l="1"/>
  <c r="G431" i="1"/>
  <c r="S40" i="1" l="1"/>
  <c r="G519" i="1" l="1"/>
  <c r="G756" i="1" l="1"/>
  <c r="G753" i="1"/>
  <c r="G293" i="1"/>
  <c r="G231" i="1"/>
  <c r="G228" i="1"/>
  <c r="G226" i="1"/>
  <c r="G219" i="1"/>
  <c r="G220" i="1"/>
  <c r="G218" i="1"/>
  <c r="G103" i="1"/>
  <c r="G65" i="1"/>
  <c r="G24" i="1"/>
  <c r="G22" i="1"/>
  <c r="G23" i="1"/>
  <c r="G423" i="1" l="1"/>
  <c r="U472" i="1" l="1"/>
  <c r="S472" i="1"/>
  <c r="M472" i="1"/>
  <c r="G472" i="1"/>
  <c r="J527" i="1" l="1"/>
  <c r="J524" i="1"/>
  <c r="J523" i="1"/>
  <c r="J522" i="1"/>
  <c r="J526" i="1"/>
  <c r="J521" i="1"/>
  <c r="G21" i="1" l="1"/>
  <c r="G474" i="1"/>
  <c r="M474" i="1"/>
  <c r="O474" i="1"/>
  <c r="S474" i="1"/>
  <c r="U474" i="1"/>
  <c r="G167" i="1"/>
  <c r="G25" i="1" l="1"/>
  <c r="G583" i="1" l="1"/>
  <c r="G52" i="1" l="1"/>
  <c r="G54" i="1"/>
  <c r="O29" i="1"/>
  <c r="G56" i="1"/>
  <c r="U29" i="1" l="1"/>
  <c r="G209" i="1"/>
  <c r="G27" i="1" l="1"/>
  <c r="G346" i="1"/>
  <c r="O134" i="1"/>
  <c r="S134" i="1"/>
  <c r="U134" i="1"/>
  <c r="G335" i="1" l="1"/>
  <c r="G13" i="1" l="1"/>
  <c r="G545" i="1" l="1"/>
  <c r="G154" i="1" l="1"/>
  <c r="G12" i="1"/>
  <c r="G20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1" i="1"/>
  <c r="M51" i="1"/>
  <c r="O51" i="1"/>
  <c r="S51" i="1"/>
  <c r="U51" i="1"/>
  <c r="W51" i="1"/>
  <c r="G58" i="1"/>
  <c r="G66" i="1"/>
  <c r="O71" i="1"/>
  <c r="S71" i="1"/>
  <c r="U71" i="1"/>
  <c r="W71" i="1"/>
  <c r="S72" i="1"/>
  <c r="U72" i="1"/>
  <c r="W72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9" i="1"/>
  <c r="G100" i="1"/>
  <c r="G102" i="1"/>
  <c r="G134" i="1"/>
  <c r="G146" i="1"/>
  <c r="Q146" i="1"/>
  <c r="G147" i="1"/>
  <c r="Q147" i="1"/>
  <c r="G150" i="1"/>
  <c r="G151" i="1"/>
  <c r="G169" i="1"/>
  <c r="G170" i="1"/>
  <c r="G195" i="1"/>
  <c r="G202" i="1"/>
  <c r="G208" i="1"/>
  <c r="G224" i="1"/>
  <c r="G234" i="1"/>
  <c r="M234" i="1"/>
  <c r="P234" i="1"/>
  <c r="G241" i="1"/>
  <c r="G242" i="1"/>
  <c r="G243" i="1"/>
  <c r="G248" i="1"/>
  <c r="G274" i="1"/>
  <c r="G288" i="1"/>
  <c r="G736" i="1"/>
  <c r="G737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71" i="1"/>
  <c r="G372" i="1"/>
  <c r="G373" i="1"/>
  <c r="G374" i="1"/>
  <c r="G378" i="1"/>
  <c r="G379" i="1"/>
  <c r="G382" i="1"/>
  <c r="G383" i="1"/>
  <c r="G393" i="1"/>
  <c r="G394" i="1"/>
  <c r="G400" i="1"/>
  <c r="G403" i="1"/>
  <c r="G411" i="1"/>
  <c r="G414" i="1"/>
  <c r="G417" i="1"/>
  <c r="G418" i="1"/>
  <c r="G421" i="1"/>
  <c r="G422" i="1"/>
  <c r="G437" i="1"/>
  <c r="G442" i="1"/>
  <c r="G444" i="1"/>
  <c r="G480" i="1"/>
  <c r="G488" i="1"/>
  <c r="G505" i="1"/>
  <c r="O505" i="1"/>
  <c r="S505" i="1"/>
  <c r="U505" i="1"/>
  <c r="W505" i="1"/>
  <c r="G506" i="1"/>
  <c r="G507" i="1"/>
  <c r="G508" i="1"/>
  <c r="G509" i="1"/>
  <c r="G517" i="1"/>
  <c r="G522" i="1"/>
  <c r="G523" i="1"/>
  <c r="G524" i="1"/>
  <c r="G526" i="1"/>
  <c r="G527" i="1"/>
  <c r="G530" i="1"/>
  <c r="G531" i="1"/>
  <c r="G532" i="1"/>
  <c r="G534" i="1"/>
  <c r="G535" i="1"/>
  <c r="G538" i="1"/>
  <c r="G539" i="1"/>
  <c r="G543" i="1"/>
  <c r="G590" i="1"/>
  <c r="G748" i="1"/>
  <c r="M748" i="1"/>
  <c r="O748" i="1"/>
  <c r="Q748" i="1"/>
  <c r="S748" i="1"/>
  <c r="U748" i="1"/>
  <c r="M764" i="1"/>
  <c r="O764" i="1"/>
  <c r="S764" i="1"/>
  <c r="U764" i="1"/>
  <c r="W764" i="1"/>
  <c r="K765" i="1"/>
  <c r="M765" i="1"/>
  <c r="O765" i="1"/>
  <c r="Q765" i="1"/>
  <c r="S765" i="1"/>
  <c r="U765" i="1"/>
  <c r="W765" i="1"/>
  <c r="K772" i="1"/>
  <c r="M772" i="1"/>
  <c r="O772" i="1"/>
  <c r="Q772" i="1"/>
  <c r="K773" i="1"/>
  <c r="M773" i="1"/>
  <c r="O773" i="1"/>
  <c r="Q773" i="1"/>
  <c r="M776" i="1"/>
  <c r="Q776" i="1"/>
  <c r="I797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3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<sst xmlns="http://schemas.openxmlformats.org/spreadsheetml/2006/main" count="1297" uniqueCount="1044">
  <si>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</si>
  <si>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</si>
  <si>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</si>
  <si>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</si>
  <si>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</si>
  <si>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</si>
  <si>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</si>
  <si>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</si>
  <si>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</si>
  <si>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</si>
  <si>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</si>
  <si>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</si>
  <si>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</si>
  <si>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</si>
  <si>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</si>
  <si>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</si>
  <si>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</si>
  <si>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</si>
  <si>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</si>
  <si>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</si>
  <si>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</si>
  <si>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</si>
  <si>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</si>
  <si>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</si>
  <si>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</si>
  <si>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</si>
  <si>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</si>
  <si>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</si>
  <si>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</si>
  <si>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</si>
  <si>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</si>
  <si>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</si>
  <si>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</si>
  <si>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</si>
  <si>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</si>
  <si>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</si>
  <si>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</si>
  <si>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</si>
  <si>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</si>
  <si>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</si>
  <si>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</si>
  <si>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</si>
  <si>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</si>
  <si>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</si>
  <si>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</si>
  <si>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</si>
  <si>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</si>
  <si>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</si>
  <si>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</si>
  <si>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</si>
  <si>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</si>
  <si>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</si>
  <si>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</si>
  <si>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</si>
  <si>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</si>
  <si>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</si>
  <si>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</si>
  <si>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</si>
  <si>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</si>
  <si>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</si>
  <si>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</si>
  <si>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</si>
  <si>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</si>
  <si>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</si>
  <si>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</si>
  <si>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</si>
  <si>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</si>
  <si>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</si>
  <si>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</si>
  <si>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</si>
  <si>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</si>
  <si>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</si>
  <si>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</si>
  <si>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</si>
  <si>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</si>
  <si>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</si>
  <si>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</si>
  <si>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</si>
  <si>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</si>
  <si>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</si>
  <si>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</si>
  <si>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</si>
  <si>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</si>
  <si>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</si>
  <si>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</si>
  <si>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</si>
  <si>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</si>
  <si>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</si>
  <si>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</si>
  <si>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</si>
  <si>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</si>
  <si>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</si>
  <si>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</si>
  <si>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</si>
  <si>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</si>
  <si>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</si>
  <si>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</si>
  <si>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</si>
  <si>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</si>
  <si>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</si>
  <si>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</si>
  <si>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</si>
  <si>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</si>
  <si>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</si>
  <si>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</si>
  <si>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</si>
  <si>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</si>
  <si>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</si>
  <si>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</si>
  <si>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</si>
  <si>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</si>
  <si>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</si>
  <si>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</si>
  <si>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</si>
  <si>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</si>
  <si>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</si>
  <si>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</si>
  <si>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</si>
  <si>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</si>
  <si>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</si>
  <si>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</si>
  <si>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</si>
  <si>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</si>
  <si>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</si>
  <si>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</si>
  <si>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</si>
  <si>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</si>
  <si>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</si>
  <si>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</si>
  <si>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</si>
  <si>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</si>
  <si>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</si>
  <si>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</si>
  <si>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</si>
  <si>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</si>
  <si>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</si>
  <si>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</si>
  <si>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</si>
  <si>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</si>
  <si>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</si>
  <si>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</si>
  <si>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</si>
  <si>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</si>
  <si>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</si>
  <si>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</si>
  <si>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</si>
  <si>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</si>
  <si>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</si>
  <si>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</si>
  <si>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</si>
  <si>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</si>
  <si>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</si>
  <si>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</si>
  <si>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</si>
  <si>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</si>
  <si>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</si>
  <si>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</si>
  <si>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</si>
  <si>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</si>
  <si>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</si>
  <si>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</si>
  <si>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</si>
  <si>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</si>
  <si>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</si>
  <si>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</si>
  <si>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</si>
  <si>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</si>
  <si>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</si>
  <si>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</si>
  <si>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</si>
  <si>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</si>
  <si>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</si>
  <si>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</si>
  <si>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</si>
  <si>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</si>
  <si>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</si>
  <si>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</si>
  <si>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</si>
  <si>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</si>
  <si>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</si>
  <si>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</si>
  <si>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</si>
  <si>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</si>
  <si>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</si>
  <si>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</si>
  <si>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</si>
  <si>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</si>
  <si>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</si>
  <si>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</si>
  <si>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</si>
  <si>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</si>
  <si>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</si>
  <si>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</si>
  <si>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</si>
  <si>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</si>
  <si>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</si>
  <si>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</si>
  <si>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</si>
  <si>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</si>
  <si>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</si>
  <si>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</si>
  <si>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</si>
  <si>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</si>
  <si>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</si>
  <si>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</si>
  <si>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</si>
  <si>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</si>
  <si>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</si>
  <si>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</si>
  <si>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</si>
  <si>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</si>
  <si>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</si>
  <si>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</si>
  <si>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</si>
  <si>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</si>
  <si>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</si>
  <si>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</si>
  <si>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</si>
  <si>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</si>
  <si>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</si>
  <si>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</si>
  <si>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</si>
  <si>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</si>
  <si>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</si>
  <si>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</si>
  <si>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</si>
  <si>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</si>
  <si>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</si>
  <si>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</si>
  <si>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</si>
  <si>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</si>
  <si>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</si>
  <si>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</si>
  <si>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</si>
  <si>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</si>
  <si>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</si>
  <si>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</si>
  <si>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</si>
  <si>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</si>
  <si>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</si>
  <si>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</si>
  <si>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</si>
  <si>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</si>
  <si>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</si>
  <si>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</si>
  <si>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</si>
  <si>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</si>
  <si>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</si>
  <si>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</si>
  <si>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</si>
  <si>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</si>
  <si>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</si>
  <si>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</si>
  <si>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</si>
  <si>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</si>
  <si>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</si>
  <si>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</si>
  <si>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</si>
  <si>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</si>
  <si>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</si>
  <si>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</si>
  <si>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</si>
  <si>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</si>
  <si>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</si>
  <si>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</si>
  <si>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</si>
  <si>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</si>
  <si>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</si>
  <si>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</si>
  <si>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</si>
  <si>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</si>
  <si>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</si>
  <si>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</si>
  <si>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</si>
  <si>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</si>
  <si>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</si>
  <si>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</si>
  <si>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</si>
  <si>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</si>
  <si>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</si>
  <si>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</si>
  <si>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</si>
  <si>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</si>
  <si>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</si>
  <si>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</si>
  <si>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</si>
  <si>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</si>
  <si>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</si>
  <si>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</si>
  <si>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</si>
  <si>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</si>
  <si>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</si>
  <si>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</si>
  <si>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</si>
  <si>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</si>
  <si>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</si>
  <si>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</si>
  <si>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</si>
  <si>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</si>
  <si>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</si>
  <si>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</si>
  <si>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</si>
  <si>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</si>
  <si>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</si>
  <si>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</si>
  <si>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</si>
  <si>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</si>
  <si>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</si>
  <si>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</si>
  <si>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</si>
  <si>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</si>
  <si>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</si>
  <si>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</si>
  <si>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</si>
  <si>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</si>
  <si>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</si>
  <si>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</si>
  <si>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</si>
  <si>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</si>
  <si>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</si>
  <si>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</si>
  <si>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</si>
  <si>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</si>
  <si>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</si>
  <si>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</si>
  <si>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</si>
  <si>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</si>
  <si>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</si>
  <si>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</si>
  <si>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</si>
  <si>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</si>
  <si>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</si>
  <si>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</si>
  <si>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</si>
  <si>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</si>
  <si>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</si>
  <si>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</si>
  <si>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</si>
  <si>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</si>
  <si>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</si>
  <si>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</si>
  <si>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</si>
  <si>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</si>
  <si>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</si>
  <si>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</si>
  <si>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</si>
  <si>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</si>
  <si>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</si>
  <si>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</si>
  <si>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</si>
  <si>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</si>
  <si>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</si>
  <si>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</si>
  <si>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</si>
  <si>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</si>
  <si>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</si>
  <si>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</si>
  <si>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</si>
  <si>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</si>
  <si>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</si>
  <si>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</si>
  <si>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</si>
  <si>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</si>
  <si>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</si>
  <si>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</si>
  <si>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</si>
  <si>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</si>
  <si>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</si>
  <si>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</si>
  <si>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</si>
  <si>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</si>
  <si>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</si>
  <si>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</si>
  <si>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</si>
  <si>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</si>
  <si>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</si>
  <si>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</si>
  <si>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</si>
  <si>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</si>
  <si>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</si>
  <si>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</si>
  <si>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</si>
  <si>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</si>
  <si>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</si>
  <si>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</si>
  <si>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</si>
  <si>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</si>
  <si>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</si>
  <si>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</si>
  <si>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</si>
  <si>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</si>
  <si>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</si>
  <si>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</si>
  <si>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</si>
  <si>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</si>
  <si>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</si>
  <si>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</si>
  <si>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</si>
  <si>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</si>
  <si>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</si>
  <si>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</si>
  <si>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</si>
  <si>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</si>
  <si>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</si>
  <si>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</si>
  <si>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</si>
  <si>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</si>
  <si>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</si>
  <si>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</si>
  <si>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</si>
  <si>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</si>
  <si>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</si>
  <si>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</si>
  <si>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</si>
  <si>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</si>
  <si>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</si>
  <si>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</si>
  <si>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</si>
  <si>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</si>
  <si>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</si>
  <si>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</si>
  <si>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</si>
  <si>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</si>
  <si>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</si>
  <si>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</si>
  <si>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</si>
  <si>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</si>
  <si>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</si>
  <si>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</si>
  <si>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</si>
  <si>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</si>
  <si>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</si>
  <si>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</si>
  <si>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</si>
  <si>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</si>
  <si>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</si>
  <si>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</si>
  <si>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</si>
  <si>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</si>
  <si>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</si>
  <si>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</si>
  <si>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</si>
  <si>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</si>
  <si>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</si>
  <si>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</si>
  <si>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</si>
  <si>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</si>
  <si>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</si>
  <si>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</si>
  <si>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</si>
  <si>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</si>
  <si>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</si>
  <si>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</si>
  <si>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</si>
  <si>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</si>
  <si>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</si>
  <si>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</si>
  <si>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</si>
  <si>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</si>
  <si>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</si>
  <si>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</si>
  <si>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</si>
  <si>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</si>
  <si>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</si>
  <si>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</si>
  <si>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</si>
  <si>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</si>
  <si>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</si>
  <si>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</si>
  <si>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</si>
  <si>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</si>
  <si>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</si>
  <si>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</si>
  <si>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</si>
  <si>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</si>
  <si>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</si>
  <si>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</si>
  <si>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</si>
  <si>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</si>
  <si>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</si>
  <si>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</si>
  <si>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</si>
  <si>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</si>
  <si>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</si>
  <si>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</si>
  <si>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</si>
  <si>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</si>
  <si>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</si>
  <si>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</si>
  <si>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</si>
  <si>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</si>
  <si>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</si>
  <si>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</si>
  <si>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</si>
  <si>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</si>
  <si>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</si>
  <si>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</si>
  <si>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</si>
  <si>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</si>
  <si>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</si>
  <si>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</si>
  <si>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</si>
  <si>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</si>
  <si>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</si>
  <si>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</si>
  <si>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</si>
  <si>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</si>
  <si>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</si>
  <si>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</si>
  <si>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</si>
  <si>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</si>
  <si>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</si>
  <si>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</si>
  <si>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</si>
  <si>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</si>
  <si>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</si>
  <si>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</si>
  <si>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</si>
  <si>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</si>
  <si>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</si>
  <si>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</si>
  <si>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</si>
  <si>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</si>
  <si>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</si>
  <si>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</si>
  <si>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</si>
  <si>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</si>
  <si>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</si>
  <si>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</si>
  <si>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</si>
  <si>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</si>
  <si>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</si>
  <si>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</si>
  <si>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</si>
  <si>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</si>
  <si>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</si>
  <si>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</si>
  <si>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</si>
  <si>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</si>
  <si>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</si>
  <si>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</si>
  <si>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</si>
  <si>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</si>
  <si>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</si>
  <si>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</si>
  <si>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</si>
  <si>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</si>
  <si>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</si>
  <si>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</si>
  <si>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</si>
  <si>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</si>
  <si>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</si>
  <si>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</si>
  <si>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</si>
  <si>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</si>
  <si>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</si>
  <si>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</si>
  <si>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</si>
  <si>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</si>
  <si>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</si>
  <si>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</si>
  <si>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</si>
  <si>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</si>
  <si>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</si>
  <si>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</si>
  <si>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</si>
  <si>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</si>
  <si>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</si>
  <si>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</si>
  <si>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</si>
  <si>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</si>
  <si>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</si>
  <si>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</si>
  <si>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</si>
  <si>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</si>
  <si>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</si>
  <si>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</si>
  <si>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</si>
  <si>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</si>
  <si>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</si>
  <si>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</si>
  <si>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</si>
  <si>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</si>
  <si>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</si>
  <si>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</si>
  <si>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</si>
  <si>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</si>
  <si>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</si>
  <si>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</si>
  <si>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</si>
  <si>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</si>
  <si>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</si>
  <si>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</si>
  <si>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</si>
  <si>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</si>
  <si>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</si>
  <si>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</si>
  <si>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</si>
  <si>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</si>
  <si>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</si>
  <si>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</si>
  <si>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</si>
  <si>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</si>
  <si>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</si>
  <si>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</si>
  <si>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</si>
  <si>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</si>
  <si>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</si>
  <si>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</si>
  <si>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</si>
  <si>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</si>
  <si>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</si>
  <si>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</si>
  <si>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</si>
  <si>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</si>
  <si>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</si>
  <si>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</si>
  <si>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</si>
  <si>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</si>
  <si>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</si>
  <si>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</si>
  <si>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</si>
  <si>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</si>
  <si>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</si>
  <si>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</si>
  <si>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</si>
  <si>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</si>
  <si>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</si>
  <si>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</si>
  <si>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</si>
  <si>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</si>
  <si>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</si>
  <si>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</si>
  <si>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</si>
  <si>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</si>
  <si>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</si>
  <si>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</si>
  <si>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</si>
  <si>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</si>
  <si>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</si>
  <si>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</si>
  <si>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</si>
  <si>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</si>
  <si>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</si>
  <si>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</si>
  <si>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</si>
  <si>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</si>
  <si>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</si>
  <si>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</si>
  <si>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</si>
  <si>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</si>
  <si>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</si>
  <si>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</si>
  <si>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</si>
  <si>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</si>
  <si>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</si>
  <si>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</si>
  <si>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</si>
  <si>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</si>
  <si>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</si>
  <si>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</si>
  <si>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</si>
  <si>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</si>
  <si>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</si>
  <si>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</si>
  <si>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</si>
  <si>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</si>
  <si>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</si>
  <si>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</si>
  <si>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</si>
  <si>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</si>
  <si>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</si>
  <si>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</si>
  <si>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</si>
  <si>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</si>
  <si>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</si>
  <si>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</si>
  <si>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</si>
  <si>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</si>
  <si>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</si>
  <si>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</si>
  <si>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</si>
  <si>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</si>
  <si>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</si>
  <si>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</si>
  <si>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</si>
  <si>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</si>
  <si>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</si>
  <si>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</si>
  <si>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</si>
  <si>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</si>
  <si>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</si>
  <si>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</si>
  <si>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</si>
  <si>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</si>
  <si>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</si>
  <si>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</si>
  <si>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</si>
  <si>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</si>
  <si>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</si>
  <si>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</si>
  <si>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</si>
  <si>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</si>
  <si>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</si>
  <si>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</si>
  <si>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</si>
  <si>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</si>
  <si>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</si>
  <si>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</si>
  <si>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</si>
  <si>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</si>
  <si>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</si>
  <si>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</si>
  <si>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</si>
  <si>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</si>
  <si>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</si>
  <si>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</si>
  <si>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</si>
  <si>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</si>
  <si>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</si>
  <si>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</si>
  <si>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</si>
  <si>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</si>
  <si>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</si>
  <si>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</si>
  <si>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</si>
  <si>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</si>
  <si>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</si>
  <si>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</si>
  <si>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</si>
  <si>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</si>
  <si>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</si>
  <si>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</si>
  <si>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</si>
  <si>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</si>
  <si>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</si>
  <si>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</si>
  <si>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</si>
  <si>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</si>
  <si>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</si>
  <si>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</si>
  <si>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</si>
  <si>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</si>
  <si>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</si>
  <si>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</si>
  <si>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</si>
  <si>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</si>
  <si>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</si>
  <si>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</si>
  <si>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</si>
  <si>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</si>
  <si>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</si>
  <si>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</si>
  <si>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</si>
  <si>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</si>
  <si>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</si>
  <si>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</si>
  <si>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</si>
  <si>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</si>
  <si>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</si>
  <si>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</si>
  <si>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</si>
  <si>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</si>
  <si>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</si>
  <si>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</si>
  <si>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</si>
  <si>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</si>
  <si>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</si>
  <si>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</si>
  <si>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</si>
  <si>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</si>
  <si>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</si>
  <si>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</si>
  <si>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</si>
  <si>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</si>
  <si>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</si>
  <si>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</si>
  <si>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</si>
  <si>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</si>
  <si>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</si>
  <si>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</si>
  <si>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</si>
  <si>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</si>
  <si>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</si>
  <si>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</si>
  <si>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</si>
  <si>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</si>
  <si>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</si>
  <si>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</si>
  <si>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</si>
  <si>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</si>
  <si>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</si>
  <si>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</si>
  <si>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</si>
  <si>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</si>
  <si>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</si>
  <si>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</si>
  <si>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</si>
  <si>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</si>
  <si>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</si>
  <si>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</si>
  <si>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</si>
  <si>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</si>
  <si>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</si>
  <si>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</si>
  <si>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</si>
  <si>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</si>
  <si>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</si>
  <si>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</si>
  <si>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</si>
  <si>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</si>
  <si>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</si>
  <si>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</si>
  <si>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</si>
  <si>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</si>
  <si>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</si>
  <si>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</si>
  <si>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</si>
  <si>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</si>
  <si>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</si>
  <si>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</si>
  <si>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</si>
  <si>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</si>
  <si>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</si>
  <si>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</si>
  <si>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</si>
  <si>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</si>
  <si>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</si>
  <si>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</si>
  <si>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</si>
  <si>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</si>
  <si>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</si>
  <si>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</si>
  <si>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</si>
  <si>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</si>
  <si>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</si>
  <si>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</si>
  <si>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</si>
  <si>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</si>
  <si>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</si>
  <si>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</si>
  <si>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</si>
  <si>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</si>
  <si>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</si>
  <si>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</si>
  <si>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</si>
  <si>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</si>
  <si>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</si>
  <si>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</si>
  <si>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</si>
  <si>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</si>
  <si>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</si>
  <si>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</si>
  <si>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</si>
  <si>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</si>
  <si>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</si>
  <si>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</si>
  <si>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</si>
  <si>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</si>
  <si>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</si>
  <si>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</si>
  <si>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</si>
  <si>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</si>
  <si>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</si>
  <si>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</si>
  <si>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</si>
  <si>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</si>
  <si>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</si>
  <si>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</si>
  <si>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</si>
  <si>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</si>
  <si>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</si>
  <si>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</si>
  <si>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</si>
  <si>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</si>
  <si>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</si>
  <si>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</si>
  <si>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</si>
  <si>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</si>
  <si>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</si>
  <si>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</si>
  <si>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</si>
  <si>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</si>
  <si>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</si>
  <si>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</si>
  <si>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</si>
  <si>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</si>
  <si>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</si>
  <si>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</si>
  <si>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</si>
  <si>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</si>
  <si>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</si>
  <si>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</si>
  <si>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</si>
  <si>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</si>
  <si>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</si>
  <si>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</si>
  <si>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</si>
  <si>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</si>
  <si>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</si>
  <si>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</si>
  <si>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</si>
  <si>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</si>
  <si>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</si>
  <si>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</si>
  <si>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</si>
  <si>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</si>
  <si>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</si>
  <si>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</si>
  <si>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</si>
  <si>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</si>
  <si>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</si>
  <si>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</si>
  <si>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</si>
  <si>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</si>
  <si>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</si>
  <si>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</si>
  <si>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</si>
  <si>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</si>
  <si>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</si>
  <si>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</si>
  <si>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</si>
  <si>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</si>
  <si>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</si>
  <si>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</si>
  <si>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</si>
  <si>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</si>
  <si>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</si>
  <si>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</si>
  <si>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</si>
  <si>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</si>
  <si>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</si>
  <si>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</si>
  <si>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</si>
  <si>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</si>
  <si>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</si>
  <si>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</si>
  <si>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</si>
  <si>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</si>
  <si>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</si>
  <si>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</si>
  <si>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</si>
  <si>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</si>
  <si>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</si>
  <si>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</si>
  <si>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</si>
  <si>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</si>
  <si>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</si>
  <si>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</si>
  <si>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</si>
  <si>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</si>
  <si>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</si>
  <si>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</si>
  <si>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</si>
  <si>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</si>
  <si>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</si>
  <si>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</si>
  <si>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</si>
  <si>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</si>
  <si>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</si>
  <si>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</si>
  <si>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</si>
  <si>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</si>
  <si>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</si>
  <si>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</si>
  <si>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</si>
  <si>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</si>
  <si>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</si>
  <si>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</si>
  <si>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</si>
  <si>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</si>
  <si>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</si>
  <si>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</si>
  <si>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</si>
  <si>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</si>
  <si>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</si>
  <si>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</si>
  <si>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</si>
  <si>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</si>
  <si>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</si>
  <si>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</si>
  <si>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</si>
  <si>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</si>
  <si>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</si>
  <si>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</si>
  <si>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</si>
  <si>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</si>
  <si>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</si>
  <si>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</si>
  <si>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</si>
  <si>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</si>
  <si>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</si>
  <si>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</si>
  <si>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</si>
  <si>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</si>
  <si>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</si>
  <si>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</si>
  <si>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</si>
  <si>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</si>
  <si>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</si>
  <si>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</si>
  <si>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</si>
  <si>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</si>
  <si>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</si>
  <si>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</si>
  <si>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</si>
  <si>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</si>
  <si>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</si>
  <si>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</si>
  <si>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</si>
  <si>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</si>
  <si>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</si>
  <si>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</si>
  <si>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</si>
  <si>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</si>
  <si>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</si>
  <si>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</si>
  <si>
    <t xml:space="preserve">00378 - Soporte de escritorio para celular </t>
  </si>
  <si>
    <t>LISTA DE PRECIOS Nº 10 / 2025 (En Pesos) - NO INCLUYE I.V.A. - OCTUBRE 2025</t>
  </si>
  <si>
    <t>00393 - Power Bank y Cargador Inalámbrico</t>
  </si>
  <si>
    <t>LL-101 - Llavero de aluminio con forma de CASA</t>
  </si>
  <si>
    <t>LL-95 - Llavero casco de plástico logo impreso 1 color</t>
  </si>
  <si>
    <t>LL-95</t>
  </si>
  <si>
    <t>LL-101</t>
  </si>
  <si>
    <t>LL-95-1 - Llavero casco de plástico logo impreso full color</t>
  </si>
  <si>
    <t xml:space="preserve">00601 - Carpeta Portfolio eco cuero negro </t>
  </si>
  <si>
    <r>
      <t xml:space="preserve">00900N - Paraguas gigante </t>
    </r>
    <r>
      <rPr>
        <b/>
        <sz val="8"/>
        <rFont val="Arial"/>
        <family val="2"/>
      </rPr>
      <t>NEGRO</t>
    </r>
  </si>
  <si>
    <t>00900N</t>
  </si>
  <si>
    <t>00682 - Neceser microfibra con gancho para colgar</t>
  </si>
  <si>
    <r>
      <t xml:space="preserve">00902 -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curvo madera </t>
    </r>
  </si>
  <si>
    <r>
      <t xml:space="preserve">00902B - Paraguas ejecutivo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curvo madera </t>
    </r>
  </si>
  <si>
    <t>00902B</t>
  </si>
  <si>
    <t>02267 - Bolígrafo blanco retráctil</t>
  </si>
  <si>
    <t>01076 - Botella de aluminio tapa a rosca con mosquetón 750ml</t>
  </si>
  <si>
    <r>
      <t xml:space="preserve">00897 - Paraguas gigante automático </t>
    </r>
    <r>
      <rPr>
        <b/>
        <sz val="8"/>
        <rFont val="Arial"/>
        <family val="2"/>
      </rPr>
      <t>COMBINADO O BLANCO</t>
    </r>
  </si>
  <si>
    <t>00905B</t>
  </si>
  <si>
    <t>00897L</t>
  </si>
  <si>
    <r>
      <t xml:space="preserve">00894 - Paraguas ejecutivo automático </t>
    </r>
    <r>
      <rPr>
        <b/>
        <sz val="8"/>
        <rFont val="Arial"/>
        <family val="2"/>
      </rPr>
      <t>AZUL O NEGRO</t>
    </r>
  </si>
  <si>
    <r>
      <t xml:space="preserve">00897L - Paraguas gigante automático </t>
    </r>
    <r>
      <rPr>
        <b/>
        <sz val="8"/>
        <rFont val="Arial"/>
        <family val="2"/>
      </rPr>
      <t>AZUL O NEGRO</t>
    </r>
  </si>
  <si>
    <t>01045 - Vaso térmico acero PAMPERO® PUELO 590 ml</t>
  </si>
  <si>
    <t>00924-1 - Cuaderno ecológico hojas rayadas - Nuevo modelo</t>
  </si>
  <si>
    <t>00924-1</t>
  </si>
  <si>
    <t>00962 - Cuaderno espiralado 21x14cm c/bolígrafo y estuche</t>
  </si>
  <si>
    <t>00664 - Cooler lunchera FZN 15 litros 34 x 31 x 14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</si>
</sst>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2" fontId="4" fillId="14" borderId="3" xfId="0" applyNumberFormat="1" applyFont="1" applyFill="1" applyBorder="1" applyAlignment="1">
      <alignment horizontal="center" vertical="center"/>
    </xf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6" borderId="3" xfId="0" applyNumberFormat="1" applyFont="1" applyFill="1" applyBorder="1" applyAlignment="1">
      <alignment horizontal="center" vertical="center"/>
    </xf>
    <xf numFmtId="1" fontId="59" fillId="6" borderId="8" xfId="0" applyNumberFormat="1" applyFont="1" applyFill="1" applyBorder="1" applyAlignment="1">
      <alignment horizontal="center" vertical="center"/>
    </xf>
    <xf numFmtId="2" fontId="59" fillId="6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60" fillId="7" borderId="3" xfId="0" applyFont="1" applyFill="1" applyBorder="1" applyAlignment="1">
      <alignment horizontal="center" vertical="center" wrapText="1"/>
    </xf>
    <xf numFmtId="0" fontId="1" fillId="7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/>
    </xf>
    <xf numFmtId="2" fontId="40" fillId="4" borderId="3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/>
    <xf numFmtId="1" fontId="106" fillId="4" borderId="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35" xfId="0" applyNumberFormat="1" applyFont="1" applyFill="1" applyBorder="1" applyAlignment="1">
      <alignment horizontal="center" vertical="center"/>
    </xf>
    <xf numFmtId="1" fontId="59" fillId="4" borderId="3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/>
    <xf numFmtId="3" fontId="1" fillId="4" borderId="3" xfId="0" applyNumberFormat="1" applyFont="1" applyFill="1" applyBorder="1"/>
    <xf numFmtId="3" fontId="59" fillId="7" borderId="3" xfId="0" applyNumberFormat="1" applyFont="1" applyFill="1" applyBorder="1" applyAlignment="1">
      <alignment horizontal="center" vertical="center"/>
    </xf>
    <xf numFmtId="3" fontId="59" fillId="4" borderId="3" xfId="0" applyNumberFormat="1" applyFont="1" applyFill="1" applyBorder="1" applyAlignment="1">
      <alignment horizontal="center" vertical="center"/>
    </xf>
    <xf numFmtId="3" fontId="59" fillId="4" borderId="7" xfId="0" applyNumberFormat="1" applyFont="1" applyFill="1" applyBorder="1" applyAlignment="1">
      <alignment horizontal="center" vertical="center"/>
    </xf>
    <xf numFmtId="3" fontId="59" fillId="7" borderId="7" xfId="0" applyNumberFormat="1" applyFont="1" applyFill="1" applyBorder="1" applyAlignment="1">
      <alignment horizontal="center" vertical="center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0" fontId="5" fillId="7" borderId="3" xfId="0" applyFont="1" applyFill="1" applyBorder="1" applyAlignment="1"/>
    <xf numFmtId="0" fontId="0" fillId="7" borderId="3" xfId="0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7" borderId="11" xfId="0" applyNumberFormat="1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8" fillId="4" borderId="3" xfId="0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1" fillId="7" borderId="3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0" fillId="6" borderId="3" xfId="0" applyFill="1" applyBorder="1" applyAlignment="1"/>
    <xf numFmtId="0" fontId="5" fillId="4" borderId="5" xfId="0" applyFont="1" applyFill="1" applyBorder="1" applyAlignment="1"/>
    <xf numFmtId="0" fontId="0" fillId="4" borderId="5" xfId="0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6" borderId="3" xfId="0" applyFont="1" applyFill="1" applyBorder="1" applyAlignment="1">
      <alignment wrapText="1"/>
    </xf>
    <xf numFmtId="0" fontId="66" fillId="9" borderId="0" xfId="0" applyFont="1" applyFill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5" fillId="4" borderId="3" xfId="0" applyFont="1" applyFill="1" applyBorder="1" applyAlignment="1"/>
    <xf numFmtId="0" fontId="1" fillId="6" borderId="3" xfId="0" applyFont="1" applyFill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4" borderId="3" xfId="0" applyFont="1" applyFill="1" applyBorder="1" applyAlignment="1">
      <alignment wrapText="1"/>
    </xf>
    <xf numFmtId="0" fontId="18" fillId="21" borderId="3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18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8" fillId="4" borderId="5" xfId="0" applyFont="1" applyFill="1" applyBorder="1" applyAlignment="1"/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2" fillId="0" borderId="3" xfId="0" applyFont="1" applyBorder="1" applyAlignment="1">
      <alignment horizontal="left" vertical="center" wrapText="1"/>
    </xf>
    <xf numFmtId="0" fontId="1" fillId="21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8" xfId="0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52" fillId="2" borderId="0" xfId="2" applyFont="1" applyFill="1" applyAlignment="1" applyProtection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5" fillId="21" borderId="5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17" fillId="4" borderId="1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21" borderId="5" xfId="0" applyFont="1" applyFill="1" applyBorder="1" applyAlignment="1"/>
    <xf numFmtId="0" fontId="1" fillId="4" borderId="5" xfId="0" applyFont="1" applyFill="1" applyBorder="1" applyAlignment="1"/>
    <xf numFmtId="0" fontId="5" fillId="7" borderId="18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84" fillId="4" borderId="3" xfId="0" applyFont="1" applyFill="1" applyBorder="1" applyAlignment="1">
      <alignment horizontal="left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4" fillId="7" borderId="3" xfId="0" applyFont="1" applyFill="1" applyBorder="1" applyAlignment="1">
      <alignment horizontal="left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8" fillId="4" borderId="12" xfId="0" applyFont="1" applyFill="1" applyBorder="1" applyAlignment="1"/>
    <xf numFmtId="0" fontId="18" fillId="4" borderId="9" xfId="0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61" fillId="19" borderId="15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1" fillId="4" borderId="5" xfId="0" applyNumberFormat="1" applyFont="1" applyFill="1" applyBorder="1" applyAlignment="1"/>
    <xf numFmtId="2" fontId="1" fillId="7" borderId="5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jivi.com.ar/index.ph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801</xdr:row>
      <xdr:rowOff>28575</xdr:rowOff>
    </xdr:from>
    <xdr:to>
      <xdr:col>1</xdr:col>
      <xdr:colOff>295275</xdr:colOff>
      <xdr:row>801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19050</xdr:rowOff>
    </xdr:from>
    <xdr:to>
      <xdr:col>0</xdr:col>
      <xdr:colOff>295275</xdr:colOff>
      <xdr:row>102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799</xdr:row>
      <xdr:rowOff>28576</xdr:rowOff>
    </xdr:from>
    <xdr:to>
      <xdr:col>1</xdr:col>
      <xdr:colOff>173958</xdr:colOff>
      <xdr:row>799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125</xdr:row>
      <xdr:rowOff>0</xdr:rowOff>
    </xdr:from>
    <xdr:to>
      <xdr:col>38</xdr:col>
      <xdr:colOff>371475</xdr:colOff>
      <xdr:row>128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789</xdr:row>
      <xdr:rowOff>76200</xdr:rowOff>
    </xdr:from>
    <xdr:to>
      <xdr:col>8</xdr:col>
      <xdr:colOff>353861</xdr:colOff>
      <xdr:row>795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803</xdr:row>
      <xdr:rowOff>38100</xdr:rowOff>
    </xdr:from>
    <xdr:to>
      <xdr:col>1</xdr:col>
      <xdr:colOff>295275</xdr:colOff>
      <xdr:row>803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802</xdr:row>
      <xdr:rowOff>38100</xdr:rowOff>
    </xdr:from>
    <xdr:to>
      <xdr:col>1</xdr:col>
      <xdr:colOff>295275</xdr:colOff>
      <xdr:row>802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19050</xdr:rowOff>
    </xdr:from>
    <xdr:to>
      <xdr:col>1</xdr:col>
      <xdr:colOff>0</xdr:colOff>
      <xdr:row>707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708</xdr:row>
      <xdr:rowOff>19050</xdr:rowOff>
    </xdr:from>
    <xdr:to>
      <xdr:col>1</xdr:col>
      <xdr:colOff>0</xdr:colOff>
      <xdr:row>708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709</xdr:row>
      <xdr:rowOff>19050</xdr:rowOff>
    </xdr:from>
    <xdr:to>
      <xdr:col>1</xdr:col>
      <xdr:colOff>0</xdr:colOff>
      <xdr:row>709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28575</xdr:rowOff>
    </xdr:from>
    <xdr:to>
      <xdr:col>1</xdr:col>
      <xdr:colOff>0</xdr:colOff>
      <xdr:row>487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479</xdr:row>
      <xdr:rowOff>19050</xdr:rowOff>
    </xdr:from>
    <xdr:to>
      <xdr:col>24</xdr:col>
      <xdr:colOff>47625</xdr:colOff>
      <xdr:row>479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542</xdr:row>
      <xdr:rowOff>19050</xdr:rowOff>
    </xdr:from>
    <xdr:to>
      <xdr:col>24</xdr:col>
      <xdr:colOff>47625</xdr:colOff>
      <xdr:row>542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736</xdr:row>
      <xdr:rowOff>19050</xdr:rowOff>
    </xdr:from>
    <xdr:to>
      <xdr:col>24</xdr:col>
      <xdr:colOff>47625</xdr:colOff>
      <xdr:row>736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721</xdr:row>
      <xdr:rowOff>19050</xdr:rowOff>
    </xdr:from>
    <xdr:to>
      <xdr:col>24</xdr:col>
      <xdr:colOff>47625</xdr:colOff>
      <xdr:row>721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710</xdr:row>
      <xdr:rowOff>19050</xdr:rowOff>
    </xdr:from>
    <xdr:to>
      <xdr:col>24</xdr:col>
      <xdr:colOff>47625</xdr:colOff>
      <xdr:row>710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160</xdr:row>
      <xdr:rowOff>19050</xdr:rowOff>
    </xdr:from>
    <xdr:to>
      <xdr:col>26</xdr:col>
      <xdr:colOff>9524</xdr:colOff>
      <xdr:row>160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25</xdr:col>
      <xdr:colOff>380999</xdr:colOff>
      <xdr:row>103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125</xdr:row>
      <xdr:rowOff>19050</xdr:rowOff>
    </xdr:from>
    <xdr:to>
      <xdr:col>26</xdr:col>
      <xdr:colOff>9524</xdr:colOff>
      <xdr:row>125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99</xdr:row>
      <xdr:rowOff>19050</xdr:rowOff>
    </xdr:from>
    <xdr:to>
      <xdr:col>26</xdr:col>
      <xdr:colOff>9524</xdr:colOff>
      <xdr:row>99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516</xdr:row>
      <xdr:rowOff>19050</xdr:rowOff>
    </xdr:from>
    <xdr:to>
      <xdr:col>24</xdr:col>
      <xdr:colOff>47625</xdr:colOff>
      <xdr:row>516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28575</xdr:rowOff>
    </xdr:from>
    <xdr:to>
      <xdr:col>1</xdr:col>
      <xdr:colOff>0</xdr:colOff>
      <xdr:row>377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518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28575</xdr:rowOff>
    </xdr:from>
    <xdr:to>
      <xdr:col>1</xdr:col>
      <xdr:colOff>0</xdr:colOff>
      <xdr:row>55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594</xdr:row>
      <xdr:rowOff>19050</xdr:rowOff>
    </xdr:from>
    <xdr:to>
      <xdr:col>24</xdr:col>
      <xdr:colOff>48389</xdr:colOff>
      <xdr:row>594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708</xdr:row>
      <xdr:rowOff>19050</xdr:rowOff>
    </xdr:from>
    <xdr:to>
      <xdr:col>10</xdr:col>
      <xdr:colOff>1</xdr:colOff>
      <xdr:row>708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709</xdr:row>
      <xdr:rowOff>19050</xdr:rowOff>
    </xdr:from>
    <xdr:to>
      <xdr:col>10</xdr:col>
      <xdr:colOff>1</xdr:colOff>
      <xdr:row>709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694</xdr:row>
      <xdr:rowOff>19050</xdr:rowOff>
    </xdr:from>
    <xdr:to>
      <xdr:col>10</xdr:col>
      <xdr:colOff>1</xdr:colOff>
      <xdr:row>694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695</xdr:row>
      <xdr:rowOff>19050</xdr:rowOff>
    </xdr:from>
    <xdr:to>
      <xdr:col>10</xdr:col>
      <xdr:colOff>1</xdr:colOff>
      <xdr:row>695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748</xdr:row>
      <xdr:rowOff>19050</xdr:rowOff>
    </xdr:from>
    <xdr:to>
      <xdr:col>10</xdr:col>
      <xdr:colOff>1</xdr:colOff>
      <xdr:row>748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222</xdr:row>
      <xdr:rowOff>19050</xdr:rowOff>
    </xdr:from>
    <xdr:to>
      <xdr:col>10</xdr:col>
      <xdr:colOff>1</xdr:colOff>
      <xdr:row>222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340</xdr:row>
      <xdr:rowOff>19050</xdr:rowOff>
    </xdr:from>
    <xdr:to>
      <xdr:col>25</xdr:col>
      <xdr:colOff>83819</xdr:colOff>
      <xdr:row>340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275</xdr:row>
      <xdr:rowOff>19050</xdr:rowOff>
    </xdr:from>
    <xdr:to>
      <xdr:col>24</xdr:col>
      <xdr:colOff>47624</xdr:colOff>
      <xdr:row>275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281</xdr:row>
      <xdr:rowOff>19050</xdr:rowOff>
    </xdr:from>
    <xdr:to>
      <xdr:col>26</xdr:col>
      <xdr:colOff>9524</xdr:colOff>
      <xdr:row>281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288</xdr:row>
      <xdr:rowOff>19050</xdr:rowOff>
    </xdr:from>
    <xdr:to>
      <xdr:col>26</xdr:col>
      <xdr:colOff>9524</xdr:colOff>
      <xdr:row>288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381</xdr:row>
      <xdr:rowOff>19050</xdr:rowOff>
    </xdr:from>
    <xdr:to>
      <xdr:col>26</xdr:col>
      <xdr:colOff>9524</xdr:colOff>
      <xdr:row>381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51</xdr:row>
      <xdr:rowOff>19050</xdr:rowOff>
    </xdr:from>
    <xdr:to>
      <xdr:col>26</xdr:col>
      <xdr:colOff>9524</xdr:colOff>
      <xdr:row>51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232</xdr:row>
      <xdr:rowOff>28575</xdr:rowOff>
    </xdr:from>
    <xdr:to>
      <xdr:col>1</xdr:col>
      <xdr:colOff>0</xdr:colOff>
      <xdr:row>232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723</xdr:row>
      <xdr:rowOff>19050</xdr:rowOff>
    </xdr:from>
    <xdr:to>
      <xdr:col>10</xdr:col>
      <xdr:colOff>1</xdr:colOff>
      <xdr:row>723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724</xdr:row>
      <xdr:rowOff>19050</xdr:rowOff>
    </xdr:from>
    <xdr:to>
      <xdr:col>10</xdr:col>
      <xdr:colOff>1</xdr:colOff>
      <xdr:row>724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725</xdr:row>
      <xdr:rowOff>19050</xdr:rowOff>
    </xdr:from>
    <xdr:to>
      <xdr:col>10</xdr:col>
      <xdr:colOff>1</xdr:colOff>
      <xdr:row>725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726</xdr:row>
      <xdr:rowOff>19050</xdr:rowOff>
    </xdr:from>
    <xdr:to>
      <xdr:col>10</xdr:col>
      <xdr:colOff>1</xdr:colOff>
      <xdr:row>726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727</xdr:row>
      <xdr:rowOff>19050</xdr:rowOff>
    </xdr:from>
    <xdr:to>
      <xdr:col>10</xdr:col>
      <xdr:colOff>1</xdr:colOff>
      <xdr:row>727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728</xdr:row>
      <xdr:rowOff>19050</xdr:rowOff>
    </xdr:from>
    <xdr:to>
      <xdr:col>10</xdr:col>
      <xdr:colOff>1</xdr:colOff>
      <xdr:row>728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319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319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341</xdr:row>
      <xdr:rowOff>19050</xdr:rowOff>
    </xdr:from>
    <xdr:to>
      <xdr:col>25</xdr:col>
      <xdr:colOff>74294</xdr:colOff>
      <xdr:row>341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75821</xdr:colOff>
      <xdr:row>619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529</xdr:row>
      <xdr:rowOff>19050</xdr:rowOff>
    </xdr:from>
    <xdr:to>
      <xdr:col>24</xdr:col>
      <xdr:colOff>75821</xdr:colOff>
      <xdr:row>529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200</xdr:row>
      <xdr:rowOff>19050</xdr:rowOff>
    </xdr:from>
    <xdr:to>
      <xdr:col>26</xdr:col>
      <xdr:colOff>9524</xdr:colOff>
      <xdr:row>200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589</xdr:row>
      <xdr:rowOff>19050</xdr:rowOff>
    </xdr:from>
    <xdr:to>
      <xdr:col>24</xdr:col>
      <xdr:colOff>47625</xdr:colOff>
      <xdr:row>589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326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522</xdr:row>
      <xdr:rowOff>19050</xdr:rowOff>
    </xdr:from>
    <xdr:to>
      <xdr:col>11</xdr:col>
      <xdr:colOff>9525</xdr:colOff>
      <xdr:row>522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525</xdr:row>
      <xdr:rowOff>19050</xdr:rowOff>
    </xdr:from>
    <xdr:to>
      <xdr:col>11</xdr:col>
      <xdr:colOff>9525</xdr:colOff>
      <xdr:row>525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526</xdr:row>
      <xdr:rowOff>19050</xdr:rowOff>
    </xdr:from>
    <xdr:to>
      <xdr:col>11</xdr:col>
      <xdr:colOff>9525</xdr:colOff>
      <xdr:row>526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587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588</xdr:row>
      <xdr:rowOff>19050</xdr:rowOff>
    </xdr:from>
    <xdr:to>
      <xdr:col>24</xdr:col>
      <xdr:colOff>48389</xdr:colOff>
      <xdr:row>588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423</xdr:row>
      <xdr:rowOff>16566</xdr:rowOff>
    </xdr:from>
    <xdr:to>
      <xdr:col>24</xdr:col>
      <xdr:colOff>46383</xdr:colOff>
      <xdr:row>423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388</xdr:row>
      <xdr:rowOff>16566</xdr:rowOff>
    </xdr:from>
    <xdr:to>
      <xdr:col>24</xdr:col>
      <xdr:colOff>46383</xdr:colOff>
      <xdr:row>388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301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301</xdr:row>
      <xdr:rowOff>16566</xdr:rowOff>
    </xdr:from>
    <xdr:to>
      <xdr:col>25</xdr:col>
      <xdr:colOff>82577</xdr:colOff>
      <xdr:row>301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778</xdr:row>
      <xdr:rowOff>19050</xdr:rowOff>
    </xdr:from>
    <xdr:to>
      <xdr:col>13</xdr:col>
      <xdr:colOff>1</xdr:colOff>
      <xdr:row>778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779</xdr:row>
      <xdr:rowOff>19050</xdr:rowOff>
    </xdr:from>
    <xdr:to>
      <xdr:col>13</xdr:col>
      <xdr:colOff>1</xdr:colOff>
      <xdr:row>779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780</xdr:row>
      <xdr:rowOff>19050</xdr:rowOff>
    </xdr:from>
    <xdr:to>
      <xdr:col>13</xdr:col>
      <xdr:colOff>1</xdr:colOff>
      <xdr:row>780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47624</xdr:colOff>
      <xdr:row>303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47624</xdr:colOff>
      <xdr:row>334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49180</xdr:colOff>
      <xdr:row>709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49180</xdr:colOff>
      <xdr:row>708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49180</xdr:colOff>
      <xdr:row>707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706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742</xdr:row>
      <xdr:rowOff>19050</xdr:rowOff>
    </xdr:from>
    <xdr:to>
      <xdr:col>24</xdr:col>
      <xdr:colOff>47625</xdr:colOff>
      <xdr:row>742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49180</xdr:colOff>
      <xdr:row>748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741</xdr:row>
      <xdr:rowOff>19050</xdr:rowOff>
    </xdr:from>
    <xdr:to>
      <xdr:col>24</xdr:col>
      <xdr:colOff>49180</xdr:colOff>
      <xdr:row>741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701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737</xdr:row>
      <xdr:rowOff>19050</xdr:rowOff>
    </xdr:from>
    <xdr:to>
      <xdr:col>18</xdr:col>
      <xdr:colOff>9526</xdr:colOff>
      <xdr:row>737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577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</xdr:row>
      <xdr:rowOff>19050</xdr:rowOff>
    </xdr:from>
    <xdr:to>
      <xdr:col>24</xdr:col>
      <xdr:colOff>47624</xdr:colOff>
      <xdr:row>50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47624</xdr:colOff>
      <xdr:row>508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47624</xdr:colOff>
      <xdr:row>507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28575</xdr:rowOff>
    </xdr:from>
    <xdr:to>
      <xdr:col>1</xdr:col>
      <xdr:colOff>0</xdr:colOff>
      <xdr:row>402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705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747</xdr:row>
      <xdr:rowOff>19050</xdr:rowOff>
    </xdr:from>
    <xdr:to>
      <xdr:col>24</xdr:col>
      <xdr:colOff>47624</xdr:colOff>
      <xdr:row>747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384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47624</xdr:colOff>
      <xdr:row>501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745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752</xdr:row>
      <xdr:rowOff>19050</xdr:rowOff>
    </xdr:from>
    <xdr:to>
      <xdr:col>24</xdr:col>
      <xdr:colOff>47625</xdr:colOff>
      <xdr:row>752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753</xdr:row>
      <xdr:rowOff>19050</xdr:rowOff>
    </xdr:from>
    <xdr:to>
      <xdr:col>24</xdr:col>
      <xdr:colOff>47625</xdr:colOff>
      <xdr:row>753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754</xdr:row>
      <xdr:rowOff>19050</xdr:rowOff>
    </xdr:from>
    <xdr:to>
      <xdr:col>24</xdr:col>
      <xdr:colOff>47625</xdr:colOff>
      <xdr:row>754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704</xdr:row>
      <xdr:rowOff>19050</xdr:rowOff>
    </xdr:from>
    <xdr:to>
      <xdr:col>26</xdr:col>
      <xdr:colOff>0</xdr:colOff>
      <xdr:row>704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750</xdr:row>
      <xdr:rowOff>19050</xdr:rowOff>
    </xdr:from>
    <xdr:to>
      <xdr:col>24</xdr:col>
      <xdr:colOff>47625</xdr:colOff>
      <xdr:row>750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706</xdr:row>
      <xdr:rowOff>19050</xdr:rowOff>
    </xdr:from>
    <xdr:to>
      <xdr:col>26</xdr:col>
      <xdr:colOff>0</xdr:colOff>
      <xdr:row>706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250</xdr:row>
      <xdr:rowOff>19050</xdr:rowOff>
    </xdr:from>
    <xdr:to>
      <xdr:col>26</xdr:col>
      <xdr:colOff>0</xdr:colOff>
      <xdr:row>250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252</xdr:row>
      <xdr:rowOff>28575</xdr:rowOff>
    </xdr:from>
    <xdr:to>
      <xdr:col>26</xdr:col>
      <xdr:colOff>0</xdr:colOff>
      <xdr:row>253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740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182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674</xdr:row>
      <xdr:rowOff>19050</xdr:rowOff>
    </xdr:from>
    <xdr:to>
      <xdr:col>24</xdr:col>
      <xdr:colOff>47624</xdr:colOff>
      <xdr:row>674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383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28575</xdr:rowOff>
    </xdr:from>
    <xdr:to>
      <xdr:col>26</xdr:col>
      <xdr:colOff>0</xdr:colOff>
      <xdr:row>252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107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107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48</xdr:row>
      <xdr:rowOff>19050</xdr:rowOff>
    </xdr:from>
    <xdr:to>
      <xdr:col>10</xdr:col>
      <xdr:colOff>400049</xdr:colOff>
      <xdr:row>48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657</xdr:row>
      <xdr:rowOff>28575</xdr:rowOff>
    </xdr:from>
    <xdr:to>
      <xdr:col>1</xdr:col>
      <xdr:colOff>0</xdr:colOff>
      <xdr:row>657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410</xdr:row>
      <xdr:rowOff>28575</xdr:rowOff>
    </xdr:from>
    <xdr:to>
      <xdr:col>1</xdr:col>
      <xdr:colOff>0</xdr:colOff>
      <xdr:row>410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509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622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297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666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693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693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216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495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296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616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494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746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746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743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335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331</xdr:row>
      <xdr:rowOff>28575</xdr:rowOff>
    </xdr:from>
    <xdr:to>
      <xdr:col>1</xdr:col>
      <xdr:colOff>0</xdr:colOff>
      <xdr:row>331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444</xdr:row>
      <xdr:rowOff>28575</xdr:rowOff>
    </xdr:from>
    <xdr:to>
      <xdr:col>1</xdr:col>
      <xdr:colOff>0</xdr:colOff>
      <xdr:row>444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171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363</xdr:row>
      <xdr:rowOff>28575</xdr:rowOff>
    </xdr:from>
    <xdr:to>
      <xdr:col>1</xdr:col>
      <xdr:colOff>0</xdr:colOff>
      <xdr:row>363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667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273</xdr:row>
      <xdr:rowOff>28575</xdr:rowOff>
    </xdr:from>
    <xdr:to>
      <xdr:col>1</xdr:col>
      <xdr:colOff>0</xdr:colOff>
      <xdr:row>273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560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560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210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647</xdr:row>
      <xdr:rowOff>28575</xdr:rowOff>
    </xdr:from>
    <xdr:to>
      <xdr:col>1</xdr:col>
      <xdr:colOff>0</xdr:colOff>
      <xdr:row>647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466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593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239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165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569</xdr:row>
      <xdr:rowOff>28575</xdr:rowOff>
    </xdr:from>
    <xdr:to>
      <xdr:col>1</xdr:col>
      <xdr:colOff>0</xdr:colOff>
      <xdr:row>569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28575</xdr:rowOff>
    </xdr:from>
    <xdr:to>
      <xdr:col>1</xdr:col>
      <xdr:colOff>0</xdr:colOff>
      <xdr:row>265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28575</xdr:rowOff>
    </xdr:from>
    <xdr:to>
      <xdr:col>1</xdr:col>
      <xdr:colOff>0</xdr:colOff>
      <xdr:row>357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28575</xdr:rowOff>
    </xdr:from>
    <xdr:to>
      <xdr:col>1</xdr:col>
      <xdr:colOff>0</xdr:colOff>
      <xdr:row>428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529</xdr:row>
      <xdr:rowOff>28575</xdr:rowOff>
    </xdr:from>
    <xdr:to>
      <xdr:col>1</xdr:col>
      <xdr:colOff>0</xdr:colOff>
      <xdr:row>529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03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21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28575</xdr:rowOff>
    </xdr:from>
    <xdr:to>
      <xdr:col>1</xdr:col>
      <xdr:colOff>0</xdr:colOff>
      <xdr:row>634</xdr:row>
      <xdr:rowOff>133350</xdr:rowOff>
    </xdr:to>
    <xdr:pic>
      <xdr:nvPicPr>
        <xdr:cNvPr id="105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28575</xdr:rowOff>
    </xdr:from>
    <xdr:to>
      <xdr:col>1</xdr:col>
      <xdr:colOff>0</xdr:colOff>
      <xdr:row>643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28575</xdr:rowOff>
    </xdr:from>
    <xdr:to>
      <xdr:col>1</xdr:col>
      <xdr:colOff>0</xdr:colOff>
      <xdr:row>645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9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0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1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814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2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125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95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66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150" cy="123825"/>
    <xdr:pic>
      <xdr:nvPicPr>
        <xdr:cNvPr id="1137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504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14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1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0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18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22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75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19914" cy="121920"/>
    <xdr:pic>
      <xdr:nvPicPr>
        <xdr:cNvPr id="1246" name="Imagen 12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9445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258" name="Imagen 12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47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19914" cy="121920"/>
    <xdr:pic>
      <xdr:nvPicPr>
        <xdr:cNvPr id="1265" name="Imagen 126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873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150" cy="125505"/>
    <xdr:pic>
      <xdr:nvPicPr>
        <xdr:cNvPr id="127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096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2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63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1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13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807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19914" cy="121920"/>
    <xdr:pic>
      <xdr:nvPicPr>
        <xdr:cNvPr id="1364" name="Imagen 136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6397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36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584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1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585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54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16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1430" name="Imagen 142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096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50" cy="123825"/>
    <xdr:pic>
      <xdr:nvPicPr>
        <xdr:cNvPr id="1442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844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313</xdr:row>
      <xdr:rowOff>19050</xdr:rowOff>
    </xdr:from>
    <xdr:ext cx="502919" cy="121920"/>
    <xdr:pic>
      <xdr:nvPicPr>
        <xdr:cNvPr id="1466" name="Imagen 146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7844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470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289</xdr:row>
      <xdr:rowOff>19050</xdr:rowOff>
    </xdr:from>
    <xdr:ext cx="819150" cy="123825"/>
    <xdr:pic>
      <xdr:nvPicPr>
        <xdr:cNvPr id="14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640</xdr:row>
      <xdr:rowOff>19050</xdr:rowOff>
    </xdr:from>
    <xdr:ext cx="847346" cy="121920"/>
    <xdr:pic>
      <xdr:nvPicPr>
        <xdr:cNvPr id="1487" name="Imagen 14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716850"/>
          <a:ext cx="847346" cy="121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983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335" TargetMode="External"/><Relationship Id="rId629" Type="http://schemas.openxmlformats.org/officeDocument/2006/relationships/hyperlink" Target="https://www.jivi.com.ar/ficha.php?id=2290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805" TargetMode="External"/><Relationship Id="rId682" Type="http://schemas.openxmlformats.org/officeDocument/2006/relationships/hyperlink" Target="https://www.jivi.com.ar/ficha.php?id=146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78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825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2060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691" TargetMode="External"/><Relationship Id="rId497" Type="http://schemas.openxmlformats.org/officeDocument/2006/relationships/hyperlink" Target="https://www.jivi.com.ar/ficha.php?id=1520" TargetMode="External"/><Relationship Id="rId620" Type="http://schemas.openxmlformats.org/officeDocument/2006/relationships/hyperlink" Target="https://www.jivi.com.ar/ficha.php?id=2277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2083" TargetMode="External"/><Relationship Id="rId424" Type="http://schemas.openxmlformats.org/officeDocument/2006/relationships/hyperlink" Target="https://www.jivi.com.ar/ficha.php?id=977" TargetMode="External"/><Relationship Id="rId631" Type="http://schemas.openxmlformats.org/officeDocument/2006/relationships/hyperlink" Target="https://www.jivi.com.ar/ficha.php?id=2055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2142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0" TargetMode="External"/><Relationship Id="rId642" Type="http://schemas.openxmlformats.org/officeDocument/2006/relationships/hyperlink" Target="https://www.jivi.com.ar/ficha.php?id=1319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53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1435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8" TargetMode="External"/><Relationship Id="rId653" Type="http://schemas.openxmlformats.org/officeDocument/2006/relationships/hyperlink" Target="https://www.jivi.com.ar/ficha.php?id=2328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66" TargetMode="External"/><Relationship Id="rId597" Type="http://schemas.openxmlformats.org/officeDocument/2006/relationships/hyperlink" Target="https://www.jivi.com.ar/ficha.php?id=2209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2202" TargetMode="External"/><Relationship Id="rId664" Type="http://schemas.openxmlformats.org/officeDocument/2006/relationships/hyperlink" Target="https://www.jivi.com.ar/ficha.php?id=1466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1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790" TargetMode="External"/><Relationship Id="rId675" Type="http://schemas.openxmlformats.org/officeDocument/2006/relationships/hyperlink" Target="https://www.jivi.com.ar/ficha.php?id=910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1662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14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597" TargetMode="External"/><Relationship Id="rId686" Type="http://schemas.openxmlformats.org/officeDocument/2006/relationships/hyperlink" Target="https://www.jivi.com.ar/ficha.php?id=158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ficha.php?id=1416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6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2273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1391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8" TargetMode="External"/><Relationship Id="rId624" Type="http://schemas.openxmlformats.org/officeDocument/2006/relationships/hyperlink" Target="https://www.jivi.com.ar/ficha.php?id=1445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44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333" TargetMode="External"/><Relationship Id="rId428" Type="http://schemas.openxmlformats.org/officeDocument/2006/relationships/hyperlink" Target="https://www.jivi.com.ar/ficha.php?id=1708" TargetMode="External"/><Relationship Id="rId635" Type="http://schemas.openxmlformats.org/officeDocument/2006/relationships/hyperlink" Target="https://www.jivi.com.ar/ficha.php?id=2296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774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178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740" TargetMode="External"/><Relationship Id="rId646" Type="http://schemas.openxmlformats.org/officeDocument/2006/relationships/hyperlink" Target="https://www.jivi.com.ar/ficha.php?id=2309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371" TargetMode="External"/><Relationship Id="rId492" Type="http://schemas.openxmlformats.org/officeDocument/2006/relationships/hyperlink" Target="https://www.jivi.com.ar/ficha.php?id=1152" TargetMode="External"/><Relationship Id="rId145" Type="http://schemas.openxmlformats.org/officeDocument/2006/relationships/hyperlink" Target="https://www.jivi.com.ar/ficha.php?id=297" TargetMode="External"/><Relationship Id="rId352" Type="http://schemas.openxmlformats.org/officeDocument/2006/relationships/hyperlink" Target="https://www.jivi.com.ar/ficha.php?id=1573" TargetMode="External"/><Relationship Id="rId212" Type="http://schemas.openxmlformats.org/officeDocument/2006/relationships/hyperlink" Target="https://www.jivi.com.ar/ficha.php?id=1372" TargetMode="External"/><Relationship Id="rId657" Type="http://schemas.openxmlformats.org/officeDocument/2006/relationships/hyperlink" Target="https://www.jivi.com.ar/ficha.php?id=2343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500" TargetMode="External"/><Relationship Id="rId461" Type="http://schemas.openxmlformats.org/officeDocument/2006/relationships/hyperlink" Target="https://www.jivi.com.ar/ficha.php?id=1737" TargetMode="External"/><Relationship Id="rId517" Type="http://schemas.openxmlformats.org/officeDocument/2006/relationships/hyperlink" Target="https://www.jivi.com.ar/ficha.php?id=1577" TargetMode="External"/><Relationship Id="rId559" Type="http://schemas.openxmlformats.org/officeDocument/2006/relationships/hyperlink" Target="https://www.jivi.com.ar/ficha.php?id=2067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363" Type="http://schemas.openxmlformats.org/officeDocument/2006/relationships/hyperlink" Target="https://www.jivi.com.ar/ficha.php?id=1584" TargetMode="External"/><Relationship Id="rId419" Type="http://schemas.openxmlformats.org/officeDocument/2006/relationships/hyperlink" Target="https://www.jivi.com.ar/ficha.php?id=1510" TargetMode="External"/><Relationship Id="rId570" Type="http://schemas.openxmlformats.org/officeDocument/2006/relationships/hyperlink" Target="https://www.jivi.com.ar/ficha.php?id=1299" TargetMode="External"/><Relationship Id="rId626" Type="http://schemas.openxmlformats.org/officeDocument/2006/relationships/hyperlink" Target="https://www.jivi.com.ar/ficha.php?id=2287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3" TargetMode="External"/><Relationship Id="rId668" Type="http://schemas.openxmlformats.org/officeDocument/2006/relationships/hyperlink" Target="https://www.jivi.com.ar/ficha.php?id=1343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128" TargetMode="External"/><Relationship Id="rId528" Type="http://schemas.openxmlformats.org/officeDocument/2006/relationships/hyperlink" Target="https://www.jivi.com.ar/ficha.php?id=2018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2224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298" TargetMode="External"/><Relationship Id="rId679" Type="http://schemas.openxmlformats.org/officeDocument/2006/relationships/hyperlink" Target="https://www.jivi.com.ar/ficha.php?id=300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3" TargetMode="External"/><Relationship Id="rId483" Type="http://schemas.openxmlformats.org/officeDocument/2006/relationships/hyperlink" Target="https://www.jivi.com.ar/ficha.php?id=1544" TargetMode="External"/><Relationship Id="rId539" Type="http://schemas.openxmlformats.org/officeDocument/2006/relationships/hyperlink" Target="https://www.jivi.com.ar/ficha.php?id=2043" TargetMode="External"/><Relationship Id="rId690" Type="http://schemas.openxmlformats.org/officeDocument/2006/relationships/comments" Target="../comments1.xm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2058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20" TargetMode="External"/><Relationship Id="rId606" Type="http://schemas.openxmlformats.org/officeDocument/2006/relationships/hyperlink" Target="https://www.jivi.com.ar/ficha.php?id=2234" TargetMode="External"/><Relationship Id="rId648" Type="http://schemas.openxmlformats.org/officeDocument/2006/relationships/hyperlink" Target="https://www.jivi.com.ar/ficha.php?id=2310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87" TargetMode="External"/><Relationship Id="rId452" Type="http://schemas.openxmlformats.org/officeDocument/2006/relationships/hyperlink" Target="https://www.jivi.com.ar/ficha.php?id=1776" TargetMode="External"/><Relationship Id="rId494" Type="http://schemas.openxmlformats.org/officeDocument/2006/relationships/hyperlink" Target="https://www.jivi.com.ar/ficha.php?id=1077" TargetMode="External"/><Relationship Id="rId508" Type="http://schemas.openxmlformats.org/officeDocument/2006/relationships/hyperlink" Target="https://www.jivi.com.ar/ficha.php?id=1579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1295" TargetMode="External"/><Relationship Id="rId617" Type="http://schemas.openxmlformats.org/officeDocument/2006/relationships/hyperlink" Target="https://www.jivi.com.ar/ficha.php?id=1655" TargetMode="External"/><Relationship Id="rId659" Type="http://schemas.openxmlformats.org/officeDocument/2006/relationships/hyperlink" Target="https://www.jivi.com.ar/ficha.php?id=2342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31" TargetMode="External"/><Relationship Id="rId463" Type="http://schemas.openxmlformats.org/officeDocument/2006/relationships/hyperlink" Target="https://www.jivi.com.ar/ficha.php?id=1293" TargetMode="External"/><Relationship Id="rId519" Type="http://schemas.openxmlformats.org/officeDocument/2006/relationships/hyperlink" Target="https://www.jivi.com.ar/ficha.php?id=2003" TargetMode="External"/><Relationship Id="rId670" Type="http://schemas.openxmlformats.org/officeDocument/2006/relationships/hyperlink" Target="https://www.jivi.com.ar/ficha.php?id=1453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2026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2101" TargetMode="External"/><Relationship Id="rId628" Type="http://schemas.openxmlformats.org/officeDocument/2006/relationships/hyperlink" Target="https://www.jivi.com.ar/ficha.php?id=2289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7" TargetMode="External"/><Relationship Id="rId474" Type="http://schemas.openxmlformats.org/officeDocument/2006/relationships/hyperlink" Target="https://www.jivi.com.ar/ficha.php?id=1804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3010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280" TargetMode="External"/><Relationship Id="rId583" Type="http://schemas.openxmlformats.org/officeDocument/2006/relationships/hyperlink" Target="https://www.jivi.com.ar/ficha.php?id=1454" TargetMode="External"/><Relationship Id="rId639" Type="http://schemas.openxmlformats.org/officeDocument/2006/relationships/hyperlink" Target="https://www.jivi.com.ar/ficha.php?id=2300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5" TargetMode="External"/><Relationship Id="rId650" Type="http://schemas.openxmlformats.org/officeDocument/2006/relationships/hyperlink" Target="https://www.jivi.com.ar/ficha.php?id=2325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556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6" TargetMode="External"/><Relationship Id="rId552" Type="http://schemas.openxmlformats.org/officeDocument/2006/relationships/hyperlink" Target="https://www.jivi.com.ar/ficha.php?id=2059" TargetMode="External"/><Relationship Id="rId594" Type="http://schemas.openxmlformats.org/officeDocument/2006/relationships/hyperlink" Target="https://www.jivi.com.ar/ficha.php?id=2206" TargetMode="External"/><Relationship Id="rId608" Type="http://schemas.openxmlformats.org/officeDocument/2006/relationships/hyperlink" Target="https://www.jivi.com.ar/ficha.php?id=2266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1304" TargetMode="External"/><Relationship Id="rId496" Type="http://schemas.openxmlformats.org/officeDocument/2006/relationships/hyperlink" Target="https://www.jivi.com.ar/ficha.php?id=1616" TargetMode="External"/><Relationship Id="rId661" Type="http://schemas.openxmlformats.org/officeDocument/2006/relationships/hyperlink" Target="https://www.jivi.com.ar/ficha.php?id=235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2008" TargetMode="External"/><Relationship Id="rId563" Type="http://schemas.openxmlformats.org/officeDocument/2006/relationships/hyperlink" Target="https://www.jivi.com.ar/ficha.php?id=2070" TargetMode="External"/><Relationship Id="rId619" Type="http://schemas.openxmlformats.org/officeDocument/2006/relationships/hyperlink" Target="https://www.jivi.com.ar/ficha.php?id=2275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1704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487" TargetMode="External"/><Relationship Id="rId630" Type="http://schemas.openxmlformats.org/officeDocument/2006/relationships/hyperlink" Target="https://www.jivi.com.ar/ficha.php?id=2291" TargetMode="External"/><Relationship Id="rId672" Type="http://schemas.openxmlformats.org/officeDocument/2006/relationships/hyperlink" Target="https://www.jivi.com.ar/ficha.php?id=2293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2034" TargetMode="External"/><Relationship Id="rId574" Type="http://schemas.openxmlformats.org/officeDocument/2006/relationships/hyperlink" Target="https://www.jivi.com.ar/ficha.php?id=698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29" TargetMode="External"/><Relationship Id="rId476" Type="http://schemas.openxmlformats.org/officeDocument/2006/relationships/hyperlink" Target="https://www.jivi.com.ar/ficha.php?id=1342" TargetMode="External"/><Relationship Id="rId641" Type="http://schemas.openxmlformats.org/officeDocument/2006/relationships/hyperlink" Target="https://www.jivi.com.ar/ficha.php?id=2302" TargetMode="External"/><Relationship Id="rId683" Type="http://schemas.openxmlformats.org/officeDocument/2006/relationships/hyperlink" Target="https://www.jivi.com.ar/ficha.php?id=1775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733" TargetMode="External"/><Relationship Id="rId543" Type="http://schemas.openxmlformats.org/officeDocument/2006/relationships/hyperlink" Target="https://www.jivi.com.ar/ficha.php?id=1256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57" TargetMode="External"/><Relationship Id="rId585" Type="http://schemas.openxmlformats.org/officeDocument/2006/relationships/hyperlink" Target="https://www.jivi.com.ar/ficha.php?id=223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7" TargetMode="External"/><Relationship Id="rId487" Type="http://schemas.openxmlformats.org/officeDocument/2006/relationships/hyperlink" Target="https://www.jivi.com.ar/ficha.php?id=1491" TargetMode="External"/><Relationship Id="rId610" Type="http://schemas.openxmlformats.org/officeDocument/2006/relationships/hyperlink" Target="http://www.jivi.com.ar/ficha.php?id=1522" TargetMode="External"/><Relationship Id="rId652" Type="http://schemas.openxmlformats.org/officeDocument/2006/relationships/hyperlink" Target="https://www.jivi.com.ar/ficha.php?id=2327" TargetMode="Externa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38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61" TargetMode="External"/><Relationship Id="rId596" Type="http://schemas.openxmlformats.org/officeDocument/2006/relationships/hyperlink" Target="https://www.jivi.com.ar/ficha.php?id=2208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1438" TargetMode="External"/><Relationship Id="rId456" Type="http://schemas.openxmlformats.org/officeDocument/2006/relationships/hyperlink" Target="https://www.jivi.com.ar/ficha.php?id=1777" TargetMode="External"/><Relationship Id="rId498" Type="http://schemas.openxmlformats.org/officeDocument/2006/relationships/hyperlink" Target="https://www.jivi.com.ar/ficha.php?id=1864" TargetMode="External"/><Relationship Id="rId621" Type="http://schemas.openxmlformats.org/officeDocument/2006/relationships/hyperlink" Target="https://www.jivi.com.ar/ficha.php?id=2278" TargetMode="External"/><Relationship Id="rId663" Type="http://schemas.openxmlformats.org/officeDocument/2006/relationships/hyperlink" Target="https://www.jivi.com.ar/ficha.php?id=15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201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1266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7" TargetMode="External"/><Relationship Id="rId467" Type="http://schemas.openxmlformats.org/officeDocument/2006/relationships/hyperlink" Target="https://www.jivi.com.ar/ficha.php?id=1186" TargetMode="External"/><Relationship Id="rId632" Type="http://schemas.openxmlformats.org/officeDocument/2006/relationships/hyperlink" Target="https://www.jivi.com.ar/ficha.php?id=2292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2000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2040" TargetMode="External"/><Relationship Id="rId576" Type="http://schemas.openxmlformats.org/officeDocument/2006/relationships/hyperlink" Target="https://www.jivi.com.ar/ficha.php?id=2147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1" TargetMode="External"/><Relationship Id="rId601" Type="http://schemas.openxmlformats.org/officeDocument/2006/relationships/hyperlink" Target="https://www.jivi.com.ar/ficha.php?id=2213" TargetMode="External"/><Relationship Id="rId643" Type="http://schemas.openxmlformats.org/officeDocument/2006/relationships/hyperlink" Target="https://www.jivi.com.ar/ficha.php?id=2306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377" TargetMode="External"/><Relationship Id="rId685" Type="http://schemas.openxmlformats.org/officeDocument/2006/relationships/hyperlink" Target="https://www.jivi.com.ar/ficha.php?id=1588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379" TargetMode="External"/><Relationship Id="rId545" Type="http://schemas.openxmlformats.org/officeDocument/2006/relationships/hyperlink" Target="https://www.jivi.com.ar/articulos.php?search=1066" TargetMode="External"/><Relationship Id="rId587" Type="http://schemas.openxmlformats.org/officeDocument/2006/relationships/hyperlink" Target="https://www.jivi.com.ar/ficha.php?id=2225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440" TargetMode="External"/><Relationship Id="rId447" Type="http://schemas.openxmlformats.org/officeDocument/2006/relationships/hyperlink" Target="https://www.jivi.com.ar/ficha.php?id=1749" TargetMode="External"/><Relationship Id="rId612" Type="http://schemas.openxmlformats.org/officeDocument/2006/relationships/hyperlink" Target="https://www.jivi.com.ar/ficha.php?id=2272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594" TargetMode="External"/><Relationship Id="rId654" Type="http://schemas.openxmlformats.org/officeDocument/2006/relationships/hyperlink" Target="https://www.jivi.com.ar/ficha.php?id=1369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998" TargetMode="External"/><Relationship Id="rId556" Type="http://schemas.openxmlformats.org/officeDocument/2006/relationships/hyperlink" Target="https://www.jivi.com.ar/ficha.php?id=2337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7" TargetMode="External"/><Relationship Id="rId598" Type="http://schemas.openxmlformats.org/officeDocument/2006/relationships/hyperlink" Target="https://www.jivi.com.ar/ficha.php?id=2210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09" TargetMode="External"/><Relationship Id="rId623" Type="http://schemas.openxmlformats.org/officeDocument/2006/relationships/hyperlink" Target="https://www.jivi.com.ar/ficha.php?id=2281" TargetMode="External"/><Relationship Id="rId665" Type="http://schemas.openxmlformats.org/officeDocument/2006/relationships/hyperlink" Target="https://www.jivi.com.ar/ficha.php?id=1261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2" TargetMode="External"/><Relationship Id="rId567" Type="http://schemas.openxmlformats.org/officeDocument/2006/relationships/hyperlink" Target="https://www.jivi.com.ar/ficha.php?id=100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7" TargetMode="External"/><Relationship Id="rId469" Type="http://schemas.openxmlformats.org/officeDocument/2006/relationships/hyperlink" Target="https://www.jivi.com.ar/ficha.php?id=1791" TargetMode="External"/><Relationship Id="rId634" Type="http://schemas.openxmlformats.org/officeDocument/2006/relationships/hyperlink" Target="https://www.jivi.com.ar/ficha.php?id=2295" TargetMode="External"/><Relationship Id="rId676" Type="http://schemas.openxmlformats.org/officeDocument/2006/relationships/hyperlink" Target="https://www.jivi.com.ar/ficha.php?id=1470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131" TargetMode="External"/><Relationship Id="rId536" Type="http://schemas.openxmlformats.org/officeDocument/2006/relationships/hyperlink" Target="https://www.jivi.com.ar/ficha.php?id=204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1403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34" TargetMode="External"/><Relationship Id="rId603" Type="http://schemas.openxmlformats.org/officeDocument/2006/relationships/hyperlink" Target="https://www.jivi.com.ar/ficha.php?id=2215" TargetMode="External"/><Relationship Id="rId645" Type="http://schemas.openxmlformats.org/officeDocument/2006/relationships/hyperlink" Target="https://www.jivi.com.ar/ficha.php?id=2308" TargetMode="External"/><Relationship Id="rId687" Type="http://schemas.openxmlformats.org/officeDocument/2006/relationships/printerSettings" Target="../printerSettings/printerSettings1.bin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799" TargetMode="External"/><Relationship Id="rId505" Type="http://schemas.openxmlformats.org/officeDocument/2006/relationships/hyperlink" Target="https://www.jivi.com.ar/ficha.php?id=1840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2051" TargetMode="External"/><Relationship Id="rId589" Type="http://schemas.openxmlformats.org/officeDocument/2006/relationships/hyperlink" Target="https://www.jivi.com.ar/ficha.php?id=2229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67" TargetMode="External"/><Relationship Id="rId449" Type="http://schemas.openxmlformats.org/officeDocument/2006/relationships/hyperlink" Target="https://www.jivi.com.ar/ficha.php?id=1750" TargetMode="External"/><Relationship Id="rId614" Type="http://schemas.openxmlformats.org/officeDocument/2006/relationships/hyperlink" Target="https://www.jivi.com.ar/ficha.php?id=2274" TargetMode="External"/><Relationship Id="rId656" Type="http://schemas.openxmlformats.org/officeDocument/2006/relationships/hyperlink" Target="https://www.jivi.com.ar/ficha.php?id=2341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6" TargetMode="External"/><Relationship Id="rId516" Type="http://schemas.openxmlformats.org/officeDocument/2006/relationships/hyperlink" Target="https://www.jivi.com.ar/ficha.php?id=160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2066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699" TargetMode="External"/><Relationship Id="rId625" Type="http://schemas.openxmlformats.org/officeDocument/2006/relationships/hyperlink" Target="https://www.jivi.com.ar/ficha.php?id=2286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087" TargetMode="External"/><Relationship Id="rId667" Type="http://schemas.openxmlformats.org/officeDocument/2006/relationships/hyperlink" Target="https://www.jivi.com.ar/ficha.php?id=1613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7" TargetMode="External"/><Relationship Id="rId569" Type="http://schemas.openxmlformats.org/officeDocument/2006/relationships/hyperlink" Target="https://www.jivi.com.ar/ficha.php?id=1512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2" TargetMode="External"/><Relationship Id="rId580" Type="http://schemas.openxmlformats.org/officeDocument/2006/relationships/hyperlink" Target="https://www.jivi.com.ar/ficha.php?id=2105" TargetMode="External"/><Relationship Id="rId636" Type="http://schemas.openxmlformats.org/officeDocument/2006/relationships/hyperlink" Target="https://www.jivi.com.ar/ficha.php?id=229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575" TargetMode="External"/><Relationship Id="rId678" Type="http://schemas.openxmlformats.org/officeDocument/2006/relationships/hyperlink" Target="https://www.jivi.com.ar/ficha.php?id=1325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820" TargetMode="External"/><Relationship Id="rId538" Type="http://schemas.openxmlformats.org/officeDocument/2006/relationships/hyperlink" Target="https://www.jivi.com.ar/ficha.php?id=249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2226" TargetMode="External"/><Relationship Id="rId605" Type="http://schemas.openxmlformats.org/officeDocument/2006/relationships/hyperlink" Target="https://www.jivi.com.ar/ficha.php?id=2233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2312" TargetMode="External"/><Relationship Id="rId689" Type="http://schemas.openxmlformats.org/officeDocument/2006/relationships/vmlDrawing" Target="../drawings/vmlDrawing1.vm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461" TargetMode="External"/><Relationship Id="rId493" Type="http://schemas.openxmlformats.org/officeDocument/2006/relationships/hyperlink" Target="https://www.jivi.com.ar/ficha.php?id=666" TargetMode="External"/><Relationship Id="rId507" Type="http://schemas.openxmlformats.org/officeDocument/2006/relationships/hyperlink" Target="https://www.jivi.com.ar/ficha.php?id=1886" TargetMode="External"/><Relationship Id="rId549" Type="http://schemas.openxmlformats.org/officeDocument/2006/relationships/hyperlink" Target="https://www.jivi.com.ar/ficha.php?id=2053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272" TargetMode="External"/><Relationship Id="rId560" Type="http://schemas.openxmlformats.org/officeDocument/2006/relationships/hyperlink" Target="https://www.jivi.com.ar/ficha.php?id=2068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462" TargetMode="External"/><Relationship Id="rId616" Type="http://schemas.openxmlformats.org/officeDocument/2006/relationships/hyperlink" Target="https://www.jivi.com.ar/ficha.php?id=1656" TargetMode="External"/><Relationship Id="rId658" Type="http://schemas.openxmlformats.org/officeDocument/2006/relationships/hyperlink" Target="https://www.jivi.com.ar/ficha.php?id=2344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781" TargetMode="External"/><Relationship Id="rId518" Type="http://schemas.openxmlformats.org/officeDocument/2006/relationships/hyperlink" Target="https://www.jivi.com.ar/ficha.php?id=1245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2097" TargetMode="External"/><Relationship Id="rId627" Type="http://schemas.openxmlformats.org/officeDocument/2006/relationships/hyperlink" Target="https://www.jivi.com.ar/ficha.php?id=2288" TargetMode="External"/><Relationship Id="rId669" Type="http://schemas.openxmlformats.org/officeDocument/2006/relationships/hyperlink" Target="https://www.jivi.com.ar/ficha.php?id=2085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5" TargetMode="External"/><Relationship Id="rId473" Type="http://schemas.openxmlformats.org/officeDocument/2006/relationships/hyperlink" Target="https://www.jivi.com.ar/ficha.php?id=1451" TargetMode="External"/><Relationship Id="rId529" Type="http://schemas.openxmlformats.org/officeDocument/2006/relationships/hyperlink" Target="https://www.jivi.com.ar/ficha.php?id=1339" TargetMode="External"/><Relationship Id="rId680" Type="http://schemas.openxmlformats.org/officeDocument/2006/relationships/hyperlink" Target="https://www.jivi.com.ar/ficha.php?id=3009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1390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1279" TargetMode="External"/><Relationship Id="rId638" Type="http://schemas.openxmlformats.org/officeDocument/2006/relationships/hyperlink" Target="https://www.jivi.com.ar/ficha.php?id=2299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4" TargetMode="External"/><Relationship Id="rId484" Type="http://schemas.openxmlformats.org/officeDocument/2006/relationships/hyperlink" Target="https://www.jivi.com.ar/ficha.php?id=1533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971" TargetMode="External"/><Relationship Id="rId593" Type="http://schemas.openxmlformats.org/officeDocument/2006/relationships/hyperlink" Target="https://www.jivi.com.ar/ficha.php?id=2205" TargetMode="External"/><Relationship Id="rId607" Type="http://schemas.openxmlformats.org/officeDocument/2006/relationships/hyperlink" Target="https://www.jivi.com.ar/ficha.php?id=1251" TargetMode="External"/><Relationship Id="rId649" Type="http://schemas.openxmlformats.org/officeDocument/2006/relationships/hyperlink" Target="https://www.jivi.com.ar/ficha.php?id=2313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72" TargetMode="External"/><Relationship Id="rId453" Type="http://schemas.openxmlformats.org/officeDocument/2006/relationships/hyperlink" Target="https://www.jivi.com.ar/ficha.php?id=1310" TargetMode="External"/><Relationship Id="rId509" Type="http://schemas.openxmlformats.org/officeDocument/2006/relationships/hyperlink" Target="https://www.jivi.com.ar/ficha.php?id=1911" TargetMode="External"/><Relationship Id="rId660" Type="http://schemas.openxmlformats.org/officeDocument/2006/relationships/hyperlink" Target="https://www.jivi.com.ar/ficha.php?id=2346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84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7" TargetMode="External"/><Relationship Id="rId562" Type="http://schemas.openxmlformats.org/officeDocument/2006/relationships/hyperlink" Target="https://www.jivi.com.ar/ficha.php?id=2069" TargetMode="External"/><Relationship Id="rId618" Type="http://schemas.openxmlformats.org/officeDocument/2006/relationships/hyperlink" Target="https://www.jivi.com.ar/ficha.php?id=2276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528" TargetMode="External"/><Relationship Id="rId464" Type="http://schemas.openxmlformats.org/officeDocument/2006/relationships/hyperlink" Target="https://www.jivi.com.ar/ficha.php?id=1265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1513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8" TargetMode="External"/><Relationship Id="rId640" Type="http://schemas.openxmlformats.org/officeDocument/2006/relationships/hyperlink" Target="https://www.jivi.com.ar/ficha.php?id=2301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055" TargetMode="External"/><Relationship Id="rId584" Type="http://schemas.openxmlformats.org/officeDocument/2006/relationships/hyperlink" Target="https://www.jivi.com.ar/ficha.php?id=2231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6" TargetMode="External"/><Relationship Id="rId651" Type="http://schemas.openxmlformats.org/officeDocument/2006/relationships/hyperlink" Target="https://jivi.com.ar/ficha.php?id=648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912" TargetMode="External"/><Relationship Id="rId609" Type="http://schemas.openxmlformats.org/officeDocument/2006/relationships/hyperlink" Target="https://www.jivi.com.ar/ficha.php?id=2268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07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76" TargetMode="External"/><Relationship Id="rId662" Type="http://schemas.openxmlformats.org/officeDocument/2006/relationships/hyperlink" Target="https://www.jivi.com.ar/ficha.php?id=2345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1720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308" TargetMode="External"/><Relationship Id="rId673" Type="http://schemas.openxmlformats.org/officeDocument/2006/relationships/hyperlink" Target="https://jivi.com.ar/ficha.php?id=1469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35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070" TargetMode="External"/><Relationship Id="rId600" Type="http://schemas.openxmlformats.org/officeDocument/2006/relationships/hyperlink" Target="https://www.jivi.com.ar/ficha.php?id=2212" TargetMode="External"/><Relationship Id="rId684" Type="http://schemas.openxmlformats.org/officeDocument/2006/relationships/hyperlink" Target="https://www.jivi.com.ar/ficha.php?id=1340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410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1660" TargetMode="External"/><Relationship Id="rId611" Type="http://schemas.openxmlformats.org/officeDocument/2006/relationships/hyperlink" Target="https://www.jivi.com.ar/ficha.php?id=2270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49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062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36" TargetMode="External"/><Relationship Id="rId622" Type="http://schemas.openxmlformats.org/officeDocument/2006/relationships/hyperlink" Target="https://www.jivi.com.ar/ficha.php?id=2279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443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2084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456" TargetMode="External"/><Relationship Id="rId633" Type="http://schemas.openxmlformats.org/officeDocument/2006/relationships/hyperlink" Target="https://www.jivi.com.ar/ficha.php?id=2294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46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2" TargetMode="External"/><Relationship Id="rId644" Type="http://schemas.openxmlformats.org/officeDocument/2006/relationships/hyperlink" Target="https://www.jivi.com.ar/ficha.php?id=2307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835" TargetMode="External"/><Relationship Id="rId504" Type="http://schemas.openxmlformats.org/officeDocument/2006/relationships/hyperlink" Target="https://www.jivi.com.ar/ficha.php?id=1380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1778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87" TargetMode="External"/><Relationship Id="rId655" Type="http://schemas.openxmlformats.org/officeDocument/2006/relationships/hyperlink" Target="https://www.jivi.com.ar/ficha.php?id=2338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41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11" TargetMode="External"/><Relationship Id="rId459" Type="http://schemas.openxmlformats.org/officeDocument/2006/relationships/hyperlink" Target="https://www.jivi.com.ar/ficha.php?id=1710" TargetMode="External"/><Relationship Id="rId666" Type="http://schemas.openxmlformats.org/officeDocument/2006/relationships/hyperlink" Target="https://www.jivi.com.ar/ficha.php?id=236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4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hyperlink" Target="https://www.jivi.com.ar/ficha.php?id=3003" TargetMode="Externa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48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2222" TargetMode="External"/><Relationship Id="rId604" Type="http://schemas.openxmlformats.org/officeDocument/2006/relationships/hyperlink" Target="https://www.jivi.com.ar/ficha.php?id=2216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751" TargetMode="External"/><Relationship Id="rId688" Type="http://schemas.openxmlformats.org/officeDocument/2006/relationships/drawing" Target="../drawings/drawing1.xm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548" Type="http://schemas.openxmlformats.org/officeDocument/2006/relationships/hyperlink" Target="https://www.jivi.com.ar/ficha.php?id=2052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124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684" TargetMode="External"/><Relationship Id="rId615" Type="http://schemas.openxmlformats.org/officeDocument/2006/relationships/hyperlink" Target="https://www.jivi.com.ar/ficha.php?id=1140" TargetMode="External"/><Relationship Id="rId254" Type="http://schemas.openxmlformats.org/officeDocument/2006/relationships/hyperlink" Target="https://www.jivi.com.ar/ficha.php?id=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5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901" t="s">
        <v>0</v>
      </c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3"/>
      <c r="X1" s="402">
        <v>1</v>
      </c>
      <c r="Y1" s="894" t="s">
        <v>1</v>
      </c>
      <c r="Z1" s="895"/>
      <c r="AA1" s="895"/>
      <c r="AB1" s="895"/>
      <c r="AC1" s="895"/>
      <c r="AD1" s="896"/>
      <c r="AE1" s="891" t="s">
        <v>2</v>
      </c>
      <c r="AF1" s="892"/>
      <c r="AG1" s="892"/>
      <c r="AH1" s="892"/>
      <c r="AI1" s="893"/>
      <c r="AJ1" s="889" t="s">
        <v>3</v>
      </c>
      <c r="AK1" s="52"/>
      <c r="AL1" s="52"/>
      <c r="AM1" s="50"/>
    </row>
    <row r="2" spans="1:39" ht="14.25" customHeight="1" x14ac:dyDescent="0.2">
      <c r="A2" s="17"/>
      <c r="B2" s="945" t="s">
        <v>1018</v>
      </c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6"/>
      <c r="Q2" s="946"/>
      <c r="R2" s="946"/>
      <c r="S2" s="946"/>
      <c r="T2" s="946"/>
      <c r="U2" s="946"/>
      <c r="V2" s="947"/>
      <c r="W2" s="948"/>
      <c r="X2" s="403">
        <v>1540</v>
      </c>
      <c r="Y2" s="910" t="s">
        <v>4</v>
      </c>
      <c r="Z2" s="911"/>
      <c r="AA2" s="911"/>
      <c r="AB2" s="911"/>
      <c r="AC2" s="911"/>
      <c r="AD2" s="912"/>
      <c r="AE2" s="899" t="s">
        <v>5</v>
      </c>
      <c r="AF2" s="900"/>
      <c r="AG2" s="900"/>
      <c r="AH2" s="404"/>
      <c r="AI2" s="405"/>
      <c r="AJ2" s="890"/>
      <c r="AK2" s="160"/>
      <c r="AL2" s="160"/>
      <c r="AM2" s="50"/>
    </row>
    <row r="3" spans="1:39" ht="15.75" customHeight="1" x14ac:dyDescent="0.2">
      <c r="A3" s="17"/>
      <c r="B3" s="919"/>
      <c r="C3" s="920"/>
      <c r="D3" s="921"/>
      <c r="E3" s="938" t="s">
        <v>6</v>
      </c>
      <c r="F3" s="939"/>
      <c r="G3" s="939"/>
      <c r="H3" s="939"/>
      <c r="I3" s="939"/>
      <c r="J3" s="939"/>
      <c r="K3" s="939"/>
      <c r="L3" s="939"/>
      <c r="M3" s="939"/>
      <c r="N3" s="939"/>
      <c r="O3" s="939"/>
      <c r="P3" s="939"/>
      <c r="Q3" s="939"/>
      <c r="R3" s="939"/>
      <c r="S3" s="939"/>
      <c r="T3" s="939"/>
      <c r="U3" s="939"/>
      <c r="V3" s="940"/>
      <c r="W3" s="941"/>
      <c r="X3" s="904" t="s">
        <v>834</v>
      </c>
      <c r="Y3" s="905"/>
      <c r="Z3" s="905"/>
      <c r="AA3" s="905"/>
      <c r="AB3" s="905"/>
      <c r="AC3" s="905"/>
      <c r="AD3" s="906"/>
      <c r="AE3" s="897"/>
      <c r="AF3" s="898"/>
      <c r="AG3" s="898"/>
      <c r="AH3" s="898"/>
      <c r="AI3" s="898"/>
      <c r="AJ3" s="13"/>
      <c r="AK3" s="13"/>
      <c r="AL3" s="13"/>
      <c r="AM3" s="51"/>
    </row>
    <row r="4" spans="1:39" ht="21.75" customHeight="1" x14ac:dyDescent="0.2">
      <c r="A4" s="17"/>
      <c r="B4" s="922"/>
      <c r="C4" s="923"/>
      <c r="D4" s="924"/>
      <c r="E4" s="942" t="s">
        <v>7</v>
      </c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4"/>
      <c r="X4" s="907"/>
      <c r="Y4" s="908"/>
      <c r="Z4" s="908"/>
      <c r="AA4" s="908"/>
      <c r="AB4" s="908"/>
      <c r="AC4" s="908"/>
      <c r="AD4" s="909"/>
      <c r="AE4" s="898"/>
      <c r="AF4" s="898"/>
      <c r="AG4" s="898"/>
      <c r="AH4" s="898"/>
      <c r="AI4" s="898"/>
      <c r="AJ4" s="13"/>
      <c r="AK4" s="13"/>
      <c r="AL4" s="13"/>
      <c r="AM4" s="51"/>
    </row>
    <row r="5" spans="1:39" ht="23.25" customHeight="1" x14ac:dyDescent="0.2">
      <c r="A5" s="17"/>
      <c r="B5" s="925"/>
      <c r="C5" s="926"/>
      <c r="D5" s="927"/>
      <c r="E5" s="928" t="s">
        <v>8</v>
      </c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30"/>
      <c r="X5" s="864"/>
      <c r="Y5" s="865"/>
      <c r="Z5" s="865"/>
      <c r="AA5" s="865"/>
      <c r="AB5" s="865"/>
      <c r="AC5" s="865"/>
      <c r="AD5" s="866"/>
      <c r="AE5" s="937"/>
      <c r="AF5" s="937"/>
      <c r="AG5" s="937"/>
      <c r="AH5" s="937"/>
      <c r="AI5" s="937"/>
      <c r="AJ5" s="13"/>
      <c r="AK5" s="13"/>
      <c r="AL5" s="13"/>
      <c r="AM5" s="51"/>
    </row>
    <row r="6" spans="1:39" ht="12" customHeight="1" x14ac:dyDescent="0.2">
      <c r="A6" s="17"/>
      <c r="B6" s="931" t="s">
        <v>9</v>
      </c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32"/>
      <c r="Q6" s="932"/>
      <c r="R6" s="932"/>
      <c r="S6" s="932"/>
      <c r="T6" s="932"/>
      <c r="U6" s="932"/>
      <c r="V6" s="932"/>
      <c r="W6" s="933"/>
      <c r="X6" s="867"/>
      <c r="Y6" s="868"/>
      <c r="Z6" s="868"/>
      <c r="AA6" s="868"/>
      <c r="AB6" s="868"/>
      <c r="AC6" s="868"/>
      <c r="AD6" s="869"/>
      <c r="AE6" s="937"/>
      <c r="AF6" s="937"/>
      <c r="AG6" s="937"/>
      <c r="AH6" s="937"/>
      <c r="AI6" s="937"/>
      <c r="AJ6" s="13"/>
      <c r="AK6" s="13"/>
      <c r="AL6" s="13"/>
      <c r="AM6" s="51"/>
    </row>
    <row r="7" spans="1:39" ht="13.5" customHeight="1" x14ac:dyDescent="0.2">
      <c r="A7" s="17"/>
      <c r="B7" s="934" t="s">
        <v>10</v>
      </c>
      <c r="C7" s="935"/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935"/>
      <c r="Q7" s="935"/>
      <c r="R7" s="935"/>
      <c r="S7" s="935"/>
      <c r="T7" s="935"/>
      <c r="U7" s="935"/>
      <c r="V7" s="935"/>
      <c r="W7" s="936"/>
      <c r="X7" s="870"/>
      <c r="Y7" s="871"/>
      <c r="Z7" s="871"/>
      <c r="AA7" s="871"/>
      <c r="AB7" s="871"/>
      <c r="AC7" s="871"/>
      <c r="AD7" s="872"/>
      <c r="AE7" s="937"/>
      <c r="AF7" s="937"/>
      <c r="AG7" s="937"/>
      <c r="AH7" s="937"/>
      <c r="AI7" s="937"/>
    </row>
    <row r="8" spans="1:39" ht="14.25" customHeight="1" x14ac:dyDescent="0.2">
      <c r="A8" s="17"/>
      <c r="B8" s="789" t="s">
        <v>11</v>
      </c>
      <c r="C8" s="775" t="s">
        <v>12</v>
      </c>
      <c r="D8" s="776"/>
      <c r="E8" s="776"/>
      <c r="F8" s="650" t="s">
        <v>13</v>
      </c>
      <c r="G8" s="650" t="s">
        <v>13</v>
      </c>
      <c r="H8" s="695" t="s">
        <v>723</v>
      </c>
      <c r="I8" s="695"/>
      <c r="J8" s="696"/>
      <c r="K8" s="696"/>
      <c r="L8" s="696"/>
      <c r="M8" s="696"/>
      <c r="N8" s="696"/>
      <c r="O8" s="696"/>
      <c r="P8" s="696"/>
      <c r="Q8" s="696"/>
      <c r="R8" s="696"/>
      <c r="S8" s="696"/>
      <c r="T8" s="696"/>
      <c r="U8" s="696"/>
      <c r="V8" s="696"/>
      <c r="W8" s="696"/>
      <c r="X8" s="739" t="s">
        <v>14</v>
      </c>
      <c r="Y8" s="740"/>
      <c r="Z8" s="740"/>
      <c r="AA8" s="741"/>
      <c r="AB8" s="638" t="s">
        <v>15</v>
      </c>
      <c r="AC8" s="913" t="s">
        <v>16</v>
      </c>
      <c r="AD8" s="914"/>
      <c r="AE8" s="914"/>
      <c r="AF8" s="914"/>
      <c r="AG8" s="914"/>
      <c r="AH8" s="914"/>
      <c r="AI8" s="915"/>
    </row>
    <row r="9" spans="1:39" ht="11.25" customHeight="1" x14ac:dyDescent="0.2">
      <c r="A9" s="17"/>
      <c r="B9" s="789"/>
      <c r="C9" s="776"/>
      <c r="D9" s="776"/>
      <c r="E9" s="776"/>
      <c r="F9" s="651"/>
      <c r="G9" s="651"/>
      <c r="H9" s="400"/>
      <c r="I9" s="398" t="s">
        <v>261</v>
      </c>
      <c r="J9" s="400"/>
      <c r="K9" s="398" t="s">
        <v>17</v>
      </c>
      <c r="L9" s="401"/>
      <c r="M9" s="401" t="s">
        <v>18</v>
      </c>
      <c r="N9" s="401"/>
      <c r="O9" s="398" t="s">
        <v>19</v>
      </c>
      <c r="P9" s="401"/>
      <c r="Q9" s="401" t="s">
        <v>262</v>
      </c>
      <c r="R9" s="401"/>
      <c r="S9" s="401" t="s">
        <v>20</v>
      </c>
      <c r="T9" s="401"/>
      <c r="U9" s="401" t="s">
        <v>21</v>
      </c>
      <c r="V9" s="401"/>
      <c r="W9" s="401" t="s">
        <v>22</v>
      </c>
      <c r="X9" s="742"/>
      <c r="Y9" s="743"/>
      <c r="Z9" s="743"/>
      <c r="AA9" s="744"/>
      <c r="AB9" s="639"/>
      <c r="AC9" s="916"/>
      <c r="AD9" s="917"/>
      <c r="AE9" s="917"/>
      <c r="AF9" s="917"/>
      <c r="AG9" s="917"/>
      <c r="AH9" s="917"/>
      <c r="AI9" s="918"/>
    </row>
    <row r="10" spans="1:39" ht="12.6" customHeight="1" x14ac:dyDescent="0.2">
      <c r="A10" s="17"/>
      <c r="B10" s="949" t="s">
        <v>628</v>
      </c>
      <c r="C10" s="950"/>
      <c r="D10" s="950"/>
      <c r="E10" s="951"/>
      <c r="F10" s="280">
        <v>660</v>
      </c>
      <c r="G10" s="275">
        <f t="shared" ref="G10" si="0">+F10*$X$1</f>
        <v>660</v>
      </c>
      <c r="H10" s="480"/>
      <c r="I10" s="615"/>
      <c r="J10" s="83">
        <f>F10+120</f>
        <v>780</v>
      </c>
      <c r="K10" s="280"/>
      <c r="L10" s="92"/>
      <c r="M10" s="280"/>
      <c r="N10" s="536">
        <f>F10+160</f>
        <v>820</v>
      </c>
      <c r="O10" s="256">
        <f t="shared" ref="O10:O12" si="1">+N10*$X$1</f>
        <v>820</v>
      </c>
      <c r="P10" s="536">
        <f>F10+130</f>
        <v>790</v>
      </c>
      <c r="Q10" s="256">
        <f t="shared" ref="Q10:Q12" si="2">+P10*$X$1</f>
        <v>790</v>
      </c>
      <c r="R10" s="536">
        <f>F10+110</f>
        <v>770</v>
      </c>
      <c r="S10" s="256">
        <f t="shared" ref="S10:S12" si="3">+R10*$X$1</f>
        <v>770</v>
      </c>
      <c r="T10" s="536">
        <f>F10+90</f>
        <v>750</v>
      </c>
      <c r="U10" s="256">
        <f t="shared" ref="U10:U12" si="4">+T10*$X$1</f>
        <v>750</v>
      </c>
      <c r="V10" s="536">
        <f>F10+70</f>
        <v>730</v>
      </c>
      <c r="W10" s="256">
        <f t="shared" ref="W10:W12" si="5">+V10*$X$1</f>
        <v>730</v>
      </c>
      <c r="X10" s="119"/>
      <c r="Y10" s="119"/>
      <c r="Z10" s="119"/>
      <c r="AA10" s="119"/>
      <c r="AB10" s="339">
        <v>13</v>
      </c>
      <c r="AE10" s="58"/>
      <c r="AF10" s="888" t="s">
        <v>749</v>
      </c>
      <c r="AG10" s="888"/>
      <c r="AH10" s="888"/>
    </row>
    <row r="11" spans="1:39" ht="12.6" customHeight="1" x14ac:dyDescent="0.2">
      <c r="A11" s="17"/>
      <c r="B11" s="731" t="s">
        <v>733</v>
      </c>
      <c r="C11" s="703"/>
      <c r="D11" s="703"/>
      <c r="E11" s="704"/>
      <c r="F11" s="255">
        <v>1466</v>
      </c>
      <c r="G11" s="276">
        <f t="shared" ref="G11" si="6">+F11*$X$1</f>
        <v>1466</v>
      </c>
      <c r="H11" s="251"/>
      <c r="I11" s="302"/>
      <c r="J11" s="68">
        <f>F11+120</f>
        <v>1586</v>
      </c>
      <c r="K11" s="255"/>
      <c r="L11" s="527"/>
      <c r="M11" s="255"/>
      <c r="N11" s="527">
        <f>F11+160</f>
        <v>1626</v>
      </c>
      <c r="O11" s="255">
        <f t="shared" si="1"/>
        <v>1626</v>
      </c>
      <c r="P11" s="527">
        <f>F11+130</f>
        <v>1596</v>
      </c>
      <c r="Q11" s="255">
        <f t="shared" si="2"/>
        <v>1596</v>
      </c>
      <c r="R11" s="527">
        <f>F11+110</f>
        <v>1576</v>
      </c>
      <c r="S11" s="255">
        <f t="shared" si="3"/>
        <v>1576</v>
      </c>
      <c r="T11" s="527">
        <f>F11+90</f>
        <v>1556</v>
      </c>
      <c r="U11" s="255">
        <f t="shared" si="4"/>
        <v>1556</v>
      </c>
      <c r="V11" s="527">
        <f>F11+70</f>
        <v>1536</v>
      </c>
      <c r="W11" s="255">
        <f t="shared" si="5"/>
        <v>1536</v>
      </c>
      <c r="X11" s="119"/>
      <c r="Y11" s="119"/>
      <c r="Z11" s="119"/>
      <c r="AA11" s="119"/>
      <c r="AB11" s="339">
        <v>14</v>
      </c>
      <c r="AE11" s="58"/>
      <c r="AF11" s="888" t="s">
        <v>23</v>
      </c>
      <c r="AG11" s="888"/>
      <c r="AH11" s="888"/>
    </row>
    <row r="12" spans="1:39" ht="12.6" customHeight="1" x14ac:dyDescent="0.2">
      <c r="A12" s="17"/>
      <c r="B12" s="632" t="s">
        <v>627</v>
      </c>
      <c r="C12" s="633"/>
      <c r="D12" s="633"/>
      <c r="E12" s="633"/>
      <c r="F12" s="256">
        <v>1596</v>
      </c>
      <c r="G12" s="275">
        <f t="shared" ref="G12:G13" si="7">+F12*$X$1</f>
        <v>1596</v>
      </c>
      <c r="H12" s="250"/>
      <c r="I12" s="303"/>
      <c r="J12" s="82"/>
      <c r="K12" s="256"/>
      <c r="L12" s="536"/>
      <c r="M12" s="256"/>
      <c r="N12" s="536">
        <f>F12+160</f>
        <v>1756</v>
      </c>
      <c r="O12" s="256">
        <f t="shared" si="1"/>
        <v>1756</v>
      </c>
      <c r="P12" s="536">
        <f>F12+130</f>
        <v>1726</v>
      </c>
      <c r="Q12" s="256">
        <f t="shared" si="2"/>
        <v>1726</v>
      </c>
      <c r="R12" s="536">
        <f>F12+110</f>
        <v>1706</v>
      </c>
      <c r="S12" s="256">
        <f t="shared" si="3"/>
        <v>1706</v>
      </c>
      <c r="T12" s="536">
        <f>F12+90</f>
        <v>1686</v>
      </c>
      <c r="U12" s="256">
        <f t="shared" si="4"/>
        <v>1686</v>
      </c>
      <c r="V12" s="536">
        <f>F12+70</f>
        <v>1666</v>
      </c>
      <c r="W12" s="256">
        <f t="shared" si="5"/>
        <v>1666</v>
      </c>
      <c r="X12" s="119"/>
      <c r="Y12" s="119"/>
      <c r="Z12" s="119"/>
      <c r="AA12" s="119"/>
      <c r="AB12" s="339">
        <v>15</v>
      </c>
      <c r="AE12" s="58"/>
      <c r="AF12" s="888" t="s">
        <v>368</v>
      </c>
      <c r="AG12" s="888"/>
      <c r="AH12" s="888"/>
    </row>
    <row r="13" spans="1:39" ht="12.6" customHeight="1" x14ac:dyDescent="0.2">
      <c r="A13" s="17"/>
      <c r="B13" s="731" t="s">
        <v>370</v>
      </c>
      <c r="C13" s="703"/>
      <c r="D13" s="703"/>
      <c r="E13" s="704"/>
      <c r="F13" s="255">
        <v>510</v>
      </c>
      <c r="G13" s="276">
        <f t="shared" si="7"/>
        <v>510</v>
      </c>
      <c r="H13" s="251"/>
      <c r="I13" s="302"/>
      <c r="J13" s="527">
        <f>F13+200</f>
        <v>710</v>
      </c>
      <c r="K13" s="255">
        <f t="shared" ref="K13" si="8">+J13*$X$1</f>
        <v>710</v>
      </c>
      <c r="L13" s="527">
        <f>F13+150</f>
        <v>660</v>
      </c>
      <c r="M13" s="255">
        <f t="shared" ref="M13" si="9">+L13*$X$1</f>
        <v>660</v>
      </c>
      <c r="N13" s="527">
        <f>F13+100</f>
        <v>610</v>
      </c>
      <c r="O13" s="255">
        <f>+N13*$X$1</f>
        <v>610</v>
      </c>
      <c r="P13" s="527">
        <f>F13+90</f>
        <v>600</v>
      </c>
      <c r="Q13" s="255">
        <f t="shared" ref="Q13" si="10">+P13*$X$1</f>
        <v>600</v>
      </c>
      <c r="R13" s="527">
        <f>F13+70</f>
        <v>580</v>
      </c>
      <c r="S13" s="255">
        <f>+R13*$X$1</f>
        <v>580</v>
      </c>
      <c r="T13" s="527">
        <f>F13+56</f>
        <v>566</v>
      </c>
      <c r="U13" s="255">
        <f t="shared" ref="U13:U14" si="11">+T13*$X$1</f>
        <v>566</v>
      </c>
      <c r="V13" s="527"/>
      <c r="W13" s="255"/>
      <c r="X13" s="119"/>
      <c r="Y13" s="119"/>
      <c r="Z13" s="119"/>
      <c r="AA13" s="119"/>
      <c r="AB13" s="339">
        <v>17</v>
      </c>
      <c r="AE13" s="58"/>
      <c r="AF13" s="888" t="s">
        <v>331</v>
      </c>
      <c r="AG13" s="888"/>
      <c r="AH13" s="888"/>
      <c r="AI13" s="58"/>
    </row>
    <row r="14" spans="1:39" ht="12.6" customHeight="1" x14ac:dyDescent="0.2">
      <c r="A14" s="17"/>
      <c r="B14" s="675" t="s">
        <v>640</v>
      </c>
      <c r="C14" s="680"/>
      <c r="D14" s="680"/>
      <c r="E14" s="681"/>
      <c r="F14" s="325">
        <f>19.97*X2</f>
        <v>30753.8</v>
      </c>
      <c r="G14" s="275">
        <f>+F14*$X$1</f>
        <v>30753.8</v>
      </c>
      <c r="H14" s="392">
        <f>F14+600</f>
        <v>31353.8</v>
      </c>
      <c r="I14" s="256">
        <f t="shared" ref="I14" si="12">+H14*$X$1</f>
        <v>31353.8</v>
      </c>
      <c r="J14" s="536">
        <f>F14+250</f>
        <v>31003.8</v>
      </c>
      <c r="K14" s="256">
        <f t="shared" ref="K14" si="13">+J14*$X$1</f>
        <v>31003.8</v>
      </c>
      <c r="L14" s="536">
        <f>F14+210</f>
        <v>30963.8</v>
      </c>
      <c r="M14" s="256">
        <f t="shared" ref="M14" si="14">+L14*$X$1</f>
        <v>30963.8</v>
      </c>
      <c r="N14" s="536">
        <f>F14+180</f>
        <v>30933.8</v>
      </c>
      <c r="O14" s="256">
        <f t="shared" ref="O14" si="15">+N14*$X$1</f>
        <v>30933.8</v>
      </c>
      <c r="P14" s="536">
        <f>F14+140</f>
        <v>30893.8</v>
      </c>
      <c r="Q14" s="256">
        <f t="shared" ref="Q14" si="16">+P14*$X$1</f>
        <v>30893.8</v>
      </c>
      <c r="R14" s="536">
        <f>F14+110</f>
        <v>30863.8</v>
      </c>
      <c r="S14" s="256">
        <f t="shared" ref="S14" si="17">+R14*$X$1</f>
        <v>30863.8</v>
      </c>
      <c r="T14" s="536">
        <f>F14+90</f>
        <v>30843.8</v>
      </c>
      <c r="U14" s="256">
        <f t="shared" si="11"/>
        <v>30843.8</v>
      </c>
      <c r="V14" s="536"/>
      <c r="W14" s="256"/>
      <c r="X14" s="667"/>
      <c r="Y14" s="668"/>
      <c r="Z14" s="668"/>
      <c r="AA14" s="669"/>
      <c r="AB14" s="339">
        <v>18</v>
      </c>
      <c r="AE14" s="69"/>
      <c r="AF14" s="888" t="s">
        <v>332</v>
      </c>
      <c r="AG14" s="888"/>
      <c r="AH14" s="888"/>
      <c r="AI14" s="449"/>
    </row>
    <row r="15" spans="1:39" ht="12.6" customHeight="1" x14ac:dyDescent="0.2">
      <c r="A15" s="17"/>
      <c r="B15" s="672" t="s">
        <v>964</v>
      </c>
      <c r="C15" s="665"/>
      <c r="D15" s="665"/>
      <c r="E15" s="666"/>
      <c r="F15" s="255">
        <v>9560</v>
      </c>
      <c r="G15" s="276">
        <f t="shared" ref="G15:G16" si="18">+F15*$X$1</f>
        <v>9560</v>
      </c>
      <c r="H15" s="287">
        <f>F15+600</f>
        <v>10160</v>
      </c>
      <c r="I15" s="255">
        <f t="shared" ref="I15" si="19">+H15*$X$1</f>
        <v>10160</v>
      </c>
      <c r="J15" s="527">
        <f>F15+250</f>
        <v>9810</v>
      </c>
      <c r="K15" s="255">
        <f t="shared" ref="K15" si="20">+J15*$X$1</f>
        <v>9810</v>
      </c>
      <c r="L15" s="527">
        <f>F15+210</f>
        <v>9770</v>
      </c>
      <c r="M15" s="255">
        <f t="shared" ref="M15" si="21">+L15*$X$1</f>
        <v>9770</v>
      </c>
      <c r="N15" s="527">
        <f>F15+180</f>
        <v>9740</v>
      </c>
      <c r="O15" s="255">
        <f t="shared" ref="O15" si="22">+N15*$X$1</f>
        <v>9740</v>
      </c>
      <c r="P15" s="527">
        <f>F15+140</f>
        <v>9700</v>
      </c>
      <c r="Q15" s="255">
        <f t="shared" ref="Q15" si="23">+P15*$X$1</f>
        <v>9700</v>
      </c>
      <c r="R15" s="527">
        <f>F15+110</f>
        <v>9670</v>
      </c>
      <c r="S15" s="255">
        <f t="shared" ref="S15" si="24">+R15*$X$1</f>
        <v>9670</v>
      </c>
      <c r="T15" s="527">
        <f>F15+90</f>
        <v>9650</v>
      </c>
      <c r="U15" s="255">
        <f t="shared" ref="U15" si="25">+T15*$X$1</f>
        <v>9650</v>
      </c>
      <c r="V15" s="527"/>
      <c r="W15" s="255"/>
      <c r="X15" s="667"/>
      <c r="Y15" s="668"/>
      <c r="Z15" s="668"/>
      <c r="AA15" s="669"/>
      <c r="AB15" s="339">
        <v>19</v>
      </c>
      <c r="AE15" s="69"/>
      <c r="AF15" s="873" t="s">
        <v>24</v>
      </c>
      <c r="AG15" s="873"/>
      <c r="AH15" s="873"/>
      <c r="AI15" s="873"/>
    </row>
    <row r="16" spans="1:39" ht="12.6" customHeight="1" x14ac:dyDescent="0.2">
      <c r="A16" s="17"/>
      <c r="B16" s="675" t="s">
        <v>989</v>
      </c>
      <c r="C16" s="680"/>
      <c r="D16" s="680"/>
      <c r="E16" s="681"/>
      <c r="F16" s="256">
        <v>3240</v>
      </c>
      <c r="G16" s="275">
        <f t="shared" si="18"/>
        <v>3240</v>
      </c>
      <c r="H16" s="250"/>
      <c r="I16" s="303"/>
      <c r="J16" s="536"/>
      <c r="K16" s="256"/>
      <c r="L16" s="536"/>
      <c r="M16" s="256"/>
      <c r="N16" s="536"/>
      <c r="O16" s="256"/>
      <c r="P16" s="536"/>
      <c r="Q16" s="256"/>
      <c r="R16" s="536"/>
      <c r="S16" s="256"/>
      <c r="T16" s="536"/>
      <c r="U16" s="256"/>
      <c r="V16" s="536"/>
      <c r="W16" s="256"/>
      <c r="X16" s="119"/>
      <c r="Y16" s="119"/>
      <c r="Z16" s="119"/>
      <c r="AA16" s="119"/>
      <c r="AB16" s="339">
        <v>20</v>
      </c>
      <c r="AE16" s="58"/>
      <c r="AF16" s="873" t="s">
        <v>783</v>
      </c>
      <c r="AG16" s="873"/>
      <c r="AH16" s="873"/>
      <c r="AI16" s="873"/>
    </row>
    <row r="17" spans="1:37" ht="12.6" customHeight="1" x14ac:dyDescent="0.2">
      <c r="A17" s="88"/>
      <c r="B17" s="731" t="s">
        <v>25</v>
      </c>
      <c r="C17" s="703"/>
      <c r="D17" s="703"/>
      <c r="E17" s="704"/>
      <c r="F17" s="326">
        <f>4.1*X2</f>
        <v>6313.9999999999991</v>
      </c>
      <c r="G17" s="276">
        <f>+F17*$X$1</f>
        <v>6313.9999999999991</v>
      </c>
      <c r="H17" s="287">
        <f>F17+600</f>
        <v>6913.9999999999991</v>
      </c>
      <c r="I17" s="255">
        <f t="shared" ref="I17:I18" si="26">+H17*$X$1</f>
        <v>6913.9999999999991</v>
      </c>
      <c r="J17" s="527"/>
      <c r="K17" s="257"/>
      <c r="L17" s="527"/>
      <c r="M17" s="255"/>
      <c r="N17" s="527"/>
      <c r="O17" s="255"/>
      <c r="P17" s="93"/>
      <c r="Q17" s="875" t="s">
        <v>138</v>
      </c>
      <c r="R17" s="876"/>
      <c r="S17" s="876"/>
      <c r="T17" s="876"/>
      <c r="U17" s="876"/>
      <c r="V17" s="876"/>
      <c r="W17" s="877"/>
      <c r="X17" s="667"/>
      <c r="Y17" s="668"/>
      <c r="Z17" s="668"/>
      <c r="AA17" s="669"/>
      <c r="AB17" s="339">
        <v>24</v>
      </c>
      <c r="AE17" s="69"/>
      <c r="AF17" s="873" t="s">
        <v>873</v>
      </c>
      <c r="AG17" s="873"/>
      <c r="AH17" s="873"/>
      <c r="AI17" s="873"/>
      <c r="AJ17" s="873"/>
    </row>
    <row r="18" spans="1:37" ht="12.6" customHeight="1" x14ac:dyDescent="0.2">
      <c r="A18" s="115"/>
      <c r="B18" s="675" t="s">
        <v>499</v>
      </c>
      <c r="C18" s="676"/>
      <c r="D18" s="676"/>
      <c r="E18" s="677"/>
      <c r="F18" s="325">
        <f>4.1*X2</f>
        <v>6313.9999999999991</v>
      </c>
      <c r="G18" s="275">
        <f>+F18*$X$1</f>
        <v>6313.9999999999991</v>
      </c>
      <c r="H18" s="392">
        <f>F18+600</f>
        <v>6913.9999999999991</v>
      </c>
      <c r="I18" s="256">
        <f t="shared" si="26"/>
        <v>6913.9999999999991</v>
      </c>
      <c r="J18" s="536"/>
      <c r="K18" s="258"/>
      <c r="L18" s="86"/>
      <c r="M18" s="258"/>
      <c r="N18" s="86">
        <f>F18+40</f>
        <v>6353.9999999999991</v>
      </c>
      <c r="O18" s="256"/>
      <c r="P18" s="250"/>
      <c r="Q18" s="958" t="s">
        <v>138</v>
      </c>
      <c r="R18" s="959"/>
      <c r="S18" s="959"/>
      <c r="T18" s="959"/>
      <c r="U18" s="959"/>
      <c r="V18" s="959"/>
      <c r="W18" s="960"/>
      <c r="X18" s="220"/>
      <c r="Y18" s="177"/>
      <c r="Z18" s="177"/>
      <c r="AA18" s="176"/>
      <c r="AB18" s="339">
        <v>25</v>
      </c>
      <c r="AE18" s="69"/>
      <c r="AF18" s="873" t="s">
        <v>533</v>
      </c>
      <c r="AG18" s="873"/>
      <c r="AH18" s="873"/>
      <c r="AI18" s="873"/>
      <c r="AJ18" s="873"/>
    </row>
    <row r="19" spans="1:37" ht="12.6" customHeight="1" x14ac:dyDescent="0.2">
      <c r="A19" s="114"/>
      <c r="B19" s="731" t="s">
        <v>26</v>
      </c>
      <c r="C19" s="703"/>
      <c r="D19" s="703"/>
      <c r="E19" s="704"/>
      <c r="F19" s="255"/>
      <c r="G19" s="271"/>
      <c r="H19" s="251"/>
      <c r="I19" s="302"/>
      <c r="J19" s="527"/>
      <c r="K19" s="257"/>
      <c r="L19" s="527"/>
      <c r="M19" s="255"/>
      <c r="N19" s="527"/>
      <c r="O19" s="255"/>
      <c r="P19" s="93"/>
      <c r="Q19" s="255"/>
      <c r="R19" s="527"/>
      <c r="S19" s="255"/>
      <c r="T19" s="527"/>
      <c r="U19" s="255"/>
      <c r="V19" s="102"/>
      <c r="W19" s="255"/>
      <c r="X19" s="667"/>
      <c r="Y19" s="668"/>
      <c r="Z19" s="668"/>
      <c r="AA19" s="669"/>
      <c r="AB19" s="32"/>
      <c r="AF19" s="873" t="s">
        <v>342</v>
      </c>
      <c r="AG19" s="873"/>
      <c r="AH19" s="873"/>
      <c r="AI19" s="874"/>
      <c r="AJ19" s="874"/>
    </row>
    <row r="20" spans="1:37" ht="12.6" customHeight="1" x14ac:dyDescent="0.2">
      <c r="A20" s="17"/>
      <c r="B20" s="675" t="s">
        <v>27</v>
      </c>
      <c r="C20" s="680"/>
      <c r="D20" s="680"/>
      <c r="E20" s="681"/>
      <c r="F20" s="256">
        <v>6930</v>
      </c>
      <c r="G20" s="275">
        <f t="shared" ref="G20:G25" si="27">+F20*$X$1</f>
        <v>6930</v>
      </c>
      <c r="H20" s="419">
        <f>F20+600</f>
        <v>7530</v>
      </c>
      <c r="I20" s="256">
        <f t="shared" ref="I20:I21" si="28">+H20*$X$1</f>
        <v>7530</v>
      </c>
      <c r="J20" s="536">
        <f>F20+280</f>
        <v>7210</v>
      </c>
      <c r="K20" s="256">
        <f t="shared" ref="K20" si="29">+J20*$X$1</f>
        <v>7210</v>
      </c>
      <c r="L20" s="536">
        <f>F20+230</f>
        <v>7160</v>
      </c>
      <c r="M20" s="256">
        <f t="shared" ref="M20" si="30">+L20*$X$1</f>
        <v>7160</v>
      </c>
      <c r="N20" s="536">
        <f>F20+190</f>
        <v>7120</v>
      </c>
      <c r="O20" s="256">
        <f t="shared" ref="O20" si="31">+N20*$X$1</f>
        <v>7120</v>
      </c>
      <c r="P20" s="536">
        <f>F20+160</f>
        <v>7090</v>
      </c>
      <c r="Q20" s="256">
        <f t="shared" ref="Q20" si="32">+P20*$X$1</f>
        <v>7090</v>
      </c>
      <c r="R20" s="536">
        <f>F20+130</f>
        <v>7060</v>
      </c>
      <c r="S20" s="256">
        <f t="shared" ref="S20" si="33">+R20*$X$1</f>
        <v>7060</v>
      </c>
      <c r="T20" s="536">
        <f>F20+110</f>
        <v>7040</v>
      </c>
      <c r="U20" s="256">
        <f t="shared" ref="U20" si="34">+T20*$X$1</f>
        <v>7040</v>
      </c>
      <c r="V20" s="536">
        <f>F20+90</f>
        <v>7020</v>
      </c>
      <c r="W20" s="256">
        <f t="shared" ref="W20" si="35">+V20*$X$1</f>
        <v>7020</v>
      </c>
      <c r="X20" s="667"/>
      <c r="Y20" s="668"/>
      <c r="Z20" s="668"/>
      <c r="AA20" s="669"/>
      <c r="AB20" s="339" t="s">
        <v>28</v>
      </c>
      <c r="AE20" s="69"/>
      <c r="AF20" s="873" t="s">
        <v>343</v>
      </c>
      <c r="AG20" s="873"/>
      <c r="AH20" s="873"/>
      <c r="AI20" s="873"/>
      <c r="AJ20" s="70"/>
    </row>
    <row r="21" spans="1:37" ht="12.6" customHeight="1" x14ac:dyDescent="0.2">
      <c r="A21" s="17"/>
      <c r="B21" s="748" t="s">
        <v>29</v>
      </c>
      <c r="C21" s="679"/>
      <c r="D21" s="679"/>
      <c r="E21" s="679"/>
      <c r="F21" s="255">
        <v>6930</v>
      </c>
      <c r="G21" s="276">
        <f t="shared" ref="G21" si="36">+F21*$X$1</f>
        <v>6930</v>
      </c>
      <c r="H21" s="418">
        <f>F21+600</f>
        <v>7530</v>
      </c>
      <c r="I21" s="255">
        <f t="shared" si="28"/>
        <v>7530</v>
      </c>
      <c r="J21" s="527">
        <f>F21+280</f>
        <v>7210</v>
      </c>
      <c r="K21" s="255">
        <f t="shared" ref="K21" si="37">+J21*$X$1</f>
        <v>7210</v>
      </c>
      <c r="L21" s="527">
        <f>F21+230</f>
        <v>7160</v>
      </c>
      <c r="M21" s="255">
        <f t="shared" ref="M21" si="38">+L21*$X$1</f>
        <v>7160</v>
      </c>
      <c r="N21" s="527">
        <f>F21+190</f>
        <v>7120</v>
      </c>
      <c r="O21" s="255">
        <f t="shared" ref="O21" si="39">+N21*$X$1</f>
        <v>7120</v>
      </c>
      <c r="P21" s="527">
        <f>F21+160</f>
        <v>7090</v>
      </c>
      <c r="Q21" s="255">
        <f t="shared" ref="Q21" si="40">+P21*$X$1</f>
        <v>7090</v>
      </c>
      <c r="R21" s="527">
        <f>F21+130</f>
        <v>7060</v>
      </c>
      <c r="S21" s="255">
        <f t="shared" ref="S21" si="41">+R21*$X$1</f>
        <v>7060</v>
      </c>
      <c r="T21" s="527">
        <f>F21+110</f>
        <v>7040</v>
      </c>
      <c r="U21" s="255">
        <f t="shared" ref="U21" si="42">+T21*$X$1</f>
        <v>7040</v>
      </c>
      <c r="V21" s="527">
        <f>F21+90</f>
        <v>7020</v>
      </c>
      <c r="W21" s="255">
        <f t="shared" ref="W21" si="43">+V21*$X$1</f>
        <v>7020</v>
      </c>
      <c r="X21" s="667"/>
      <c r="Y21" s="668"/>
      <c r="Z21" s="668"/>
      <c r="AA21" s="669"/>
      <c r="AB21" s="339" t="s">
        <v>30</v>
      </c>
      <c r="AE21" s="69"/>
      <c r="AF21" s="873" t="s">
        <v>358</v>
      </c>
      <c r="AG21" s="873"/>
      <c r="AH21" s="873"/>
      <c r="AI21" s="873"/>
      <c r="AJ21" s="874"/>
    </row>
    <row r="22" spans="1:37" ht="12.6" customHeight="1" x14ac:dyDescent="0.2">
      <c r="A22" s="17"/>
      <c r="B22" s="632" t="s">
        <v>314</v>
      </c>
      <c r="C22" s="633"/>
      <c r="D22" s="633"/>
      <c r="E22" s="633"/>
      <c r="F22" s="256">
        <v>2268</v>
      </c>
      <c r="G22" s="308">
        <f t="shared" si="27"/>
        <v>2268</v>
      </c>
      <c r="H22" s="250"/>
      <c r="I22" s="306"/>
      <c r="J22" s="605"/>
      <c r="K22" s="258"/>
      <c r="L22" s="86"/>
      <c r="M22" s="258"/>
      <c r="N22" s="86"/>
      <c r="O22" s="256"/>
      <c r="P22" s="250"/>
      <c r="Q22" s="303"/>
      <c r="R22" s="536"/>
      <c r="S22" s="256"/>
      <c r="T22" s="536"/>
      <c r="U22" s="256"/>
      <c r="V22" s="536"/>
      <c r="W22" s="256"/>
      <c r="X22" s="119"/>
      <c r="Y22" s="119"/>
      <c r="Z22" s="119"/>
      <c r="AA22" s="119"/>
      <c r="AB22" s="339">
        <v>35</v>
      </c>
      <c r="AE22" s="69"/>
      <c r="AF22" s="873" t="s">
        <v>315</v>
      </c>
      <c r="AG22" s="874"/>
      <c r="AH22" s="874"/>
      <c r="AI22" s="874"/>
      <c r="AJ22" s="70"/>
    </row>
    <row r="23" spans="1:37" ht="12.6" customHeight="1" x14ac:dyDescent="0.2">
      <c r="A23" s="17"/>
      <c r="B23" s="748" t="s">
        <v>313</v>
      </c>
      <c r="C23" s="679"/>
      <c r="D23" s="679"/>
      <c r="E23" s="679"/>
      <c r="F23" s="255">
        <v>2200</v>
      </c>
      <c r="G23" s="271">
        <f t="shared" si="27"/>
        <v>2200</v>
      </c>
      <c r="H23" s="251"/>
      <c r="I23" s="302"/>
      <c r="J23" s="110"/>
      <c r="K23" s="255"/>
      <c r="L23" s="527"/>
      <c r="M23" s="255"/>
      <c r="N23" s="527"/>
      <c r="O23" s="255"/>
      <c r="P23" s="251"/>
      <c r="Q23" s="302"/>
      <c r="R23" s="527"/>
      <c r="S23" s="604"/>
      <c r="T23" s="93"/>
      <c r="U23" s="270"/>
      <c r="V23" s="93"/>
      <c r="W23" s="255"/>
      <c r="X23" s="119"/>
      <c r="Y23" s="119"/>
      <c r="Z23" s="119"/>
      <c r="AA23" s="119"/>
      <c r="AB23" s="339">
        <v>36</v>
      </c>
      <c r="AE23" s="69"/>
      <c r="AF23" s="873" t="s">
        <v>446</v>
      </c>
      <c r="AG23" s="873"/>
      <c r="AH23" s="873"/>
      <c r="AI23" s="873"/>
      <c r="AJ23" s="70"/>
    </row>
    <row r="24" spans="1:37" ht="12.6" customHeight="1" x14ac:dyDescent="0.2">
      <c r="A24" s="17"/>
      <c r="B24" s="697" t="s">
        <v>991</v>
      </c>
      <c r="C24" s="698"/>
      <c r="D24" s="698"/>
      <c r="E24" s="698"/>
      <c r="F24" s="256">
        <v>2642</v>
      </c>
      <c r="G24" s="300">
        <f t="shared" si="27"/>
        <v>2642</v>
      </c>
      <c r="H24" s="250"/>
      <c r="I24" s="303"/>
      <c r="J24" s="536">
        <f>F24+200</f>
        <v>2842</v>
      </c>
      <c r="K24" s="256">
        <f t="shared" ref="K24" si="44">+J24*$X$1</f>
        <v>2842</v>
      </c>
      <c r="L24" s="536">
        <f>F24+150</f>
        <v>2792</v>
      </c>
      <c r="M24" s="256">
        <f t="shared" ref="M24" si="45">+L24*$X$1</f>
        <v>2792</v>
      </c>
      <c r="N24" s="536">
        <f>F24+100</f>
        <v>2742</v>
      </c>
      <c r="O24" s="256">
        <f>+N24*$X$1</f>
        <v>2742</v>
      </c>
      <c r="P24" s="536">
        <f>F24+90</f>
        <v>2732</v>
      </c>
      <c r="Q24" s="256">
        <f t="shared" ref="Q24" si="46">+P24*$X$1</f>
        <v>2732</v>
      </c>
      <c r="R24" s="536">
        <f>F24+70</f>
        <v>2712</v>
      </c>
      <c r="S24" s="256">
        <f>+R24*$X$1</f>
        <v>2712</v>
      </c>
      <c r="T24" s="536">
        <f>F24+56</f>
        <v>2698</v>
      </c>
      <c r="U24" s="256">
        <f t="shared" ref="U24" si="47">+T24*$X$1</f>
        <v>2698</v>
      </c>
      <c r="V24" s="536">
        <f>F24+49</f>
        <v>2691</v>
      </c>
      <c r="W24" s="256">
        <f t="shared" ref="W24" si="48">+V24*$X$1</f>
        <v>2691</v>
      </c>
      <c r="X24" s="119"/>
      <c r="Y24" s="119"/>
      <c r="Z24" s="119"/>
      <c r="AA24" s="119"/>
      <c r="AB24" s="339">
        <v>37</v>
      </c>
      <c r="AE24" s="69"/>
      <c r="AF24" s="873" t="s">
        <v>31</v>
      </c>
      <c r="AG24" s="873"/>
      <c r="AH24" s="873"/>
      <c r="AI24" s="873"/>
      <c r="AJ24" s="70"/>
    </row>
    <row r="25" spans="1:37" ht="12.6" customHeight="1" x14ac:dyDescent="0.2">
      <c r="A25" s="17"/>
      <c r="B25" s="731" t="s">
        <v>32</v>
      </c>
      <c r="C25" s="703"/>
      <c r="D25" s="703"/>
      <c r="E25" s="704"/>
      <c r="F25" s="323">
        <f>7.3*X2</f>
        <v>11242</v>
      </c>
      <c r="G25" s="255">
        <f t="shared" si="27"/>
        <v>11242</v>
      </c>
      <c r="H25" s="287"/>
      <c r="I25" s="255"/>
      <c r="J25" s="527"/>
      <c r="K25" s="255"/>
      <c r="L25" s="527">
        <f>F25+230</f>
        <v>11472</v>
      </c>
      <c r="M25" s="255">
        <f t="shared" ref="M25" si="49">+L25*$X$1</f>
        <v>11472</v>
      </c>
      <c r="N25" s="527">
        <f>F25+190</f>
        <v>11432</v>
      </c>
      <c r="O25" s="255">
        <f t="shared" ref="O25" si="50">+N25*$X$1</f>
        <v>11432</v>
      </c>
      <c r="P25" s="527">
        <f>F25+160</f>
        <v>11402</v>
      </c>
      <c r="Q25" s="255">
        <f t="shared" ref="Q25" si="51">+P25*$X$1</f>
        <v>11402</v>
      </c>
      <c r="R25" s="527">
        <f>F25+130</f>
        <v>11372</v>
      </c>
      <c r="S25" s="255">
        <f t="shared" ref="S25" si="52">+R25*$X$1</f>
        <v>11372</v>
      </c>
      <c r="T25" s="527">
        <f>F25+110</f>
        <v>11352</v>
      </c>
      <c r="U25" s="255">
        <f t="shared" ref="U25" si="53">+T25*$X$1</f>
        <v>11352</v>
      </c>
      <c r="V25" s="527"/>
      <c r="W25" s="255"/>
      <c r="X25" s="667"/>
      <c r="Y25" s="887"/>
      <c r="Z25" s="887"/>
      <c r="AA25" s="822"/>
      <c r="AB25" s="339">
        <v>39</v>
      </c>
      <c r="AE25" s="69"/>
      <c r="AF25" s="873" t="s">
        <v>673</v>
      </c>
      <c r="AG25" s="873"/>
      <c r="AH25" s="873"/>
      <c r="AI25" s="874"/>
      <c r="AJ25" s="874"/>
    </row>
    <row r="26" spans="1:37" ht="12.6" customHeight="1" x14ac:dyDescent="0.2">
      <c r="A26" s="17"/>
      <c r="B26" s="632" t="s">
        <v>33</v>
      </c>
      <c r="C26" s="633"/>
      <c r="D26" s="633"/>
      <c r="E26" s="633"/>
      <c r="F26" s="324"/>
      <c r="G26" s="256"/>
      <c r="H26" s="250"/>
      <c r="I26" s="303"/>
      <c r="J26" s="536"/>
      <c r="K26" s="256"/>
      <c r="L26" s="536">
        <f>6.7*X2</f>
        <v>10318</v>
      </c>
      <c r="M26" s="256">
        <f t="shared" ref="M26:M28" si="54">+L26*$X$1</f>
        <v>10318</v>
      </c>
      <c r="N26" s="536">
        <f>6.6*X2</f>
        <v>10164</v>
      </c>
      <c r="O26" s="256">
        <f t="shared" ref="O26:O28" si="55">+N26*$X$1</f>
        <v>10164</v>
      </c>
      <c r="P26" s="252">
        <f>6.5*X2</f>
        <v>10010</v>
      </c>
      <c r="Q26" s="256">
        <f t="shared" ref="Q26:Q28" si="56">+P26*$X$1</f>
        <v>10010</v>
      </c>
      <c r="R26" s="536">
        <f>6.45*X2</f>
        <v>9933</v>
      </c>
      <c r="S26" s="256">
        <f t="shared" ref="S26:S28" si="57">+R26*$X$1</f>
        <v>9933</v>
      </c>
      <c r="T26" s="536">
        <f>6.42*X2</f>
        <v>9886.7999999999993</v>
      </c>
      <c r="U26" s="256">
        <f t="shared" ref="U26:U28" si="58">+T26*$X$1</f>
        <v>9886.7999999999993</v>
      </c>
      <c r="V26" s="536"/>
      <c r="W26" s="256"/>
      <c r="X26" s="796"/>
      <c r="Y26" s="887"/>
      <c r="Z26" s="887"/>
      <c r="AA26" s="822"/>
      <c r="AB26" s="339">
        <v>40</v>
      </c>
      <c r="AE26" s="69"/>
      <c r="AF26" s="873" t="s">
        <v>34</v>
      </c>
      <c r="AG26" s="873"/>
      <c r="AH26" s="873"/>
      <c r="AI26" s="873"/>
      <c r="AJ26" s="874"/>
    </row>
    <row r="27" spans="1:37" ht="12.6" customHeight="1" x14ac:dyDescent="0.2">
      <c r="A27" s="17"/>
      <c r="B27" s="731" t="s">
        <v>321</v>
      </c>
      <c r="C27" s="703"/>
      <c r="D27" s="703"/>
      <c r="E27" s="704"/>
      <c r="F27" s="326">
        <f>9.7*X2</f>
        <v>14937.999999999998</v>
      </c>
      <c r="G27" s="255">
        <f>+F27*$X$1</f>
        <v>14937.999999999998</v>
      </c>
      <c r="H27" s="251"/>
      <c r="I27" s="302"/>
      <c r="J27" s="527"/>
      <c r="K27" s="255"/>
      <c r="L27" s="527">
        <f>F27+210</f>
        <v>15147.999999999998</v>
      </c>
      <c r="M27" s="255">
        <f t="shared" si="54"/>
        <v>15147.999999999998</v>
      </c>
      <c r="N27" s="527">
        <f>F27+180</f>
        <v>15117.999999999998</v>
      </c>
      <c r="O27" s="255">
        <f t="shared" si="55"/>
        <v>15117.999999999998</v>
      </c>
      <c r="P27" s="527">
        <f>F27+140</f>
        <v>15077.999999999998</v>
      </c>
      <c r="Q27" s="255">
        <f t="shared" si="56"/>
        <v>15077.999999999998</v>
      </c>
      <c r="R27" s="527">
        <f>F27+110</f>
        <v>15047.999999999998</v>
      </c>
      <c r="S27" s="255">
        <f t="shared" si="57"/>
        <v>15047.999999999998</v>
      </c>
      <c r="T27" s="527">
        <f>F27+90</f>
        <v>15027.999999999998</v>
      </c>
      <c r="U27" s="255">
        <f t="shared" si="58"/>
        <v>15027.999999999998</v>
      </c>
      <c r="V27" s="527"/>
      <c r="W27" s="255"/>
      <c r="X27" s="195"/>
      <c r="Y27" s="150"/>
      <c r="Z27" s="150"/>
      <c r="AA27" s="151"/>
      <c r="AB27" s="339">
        <v>44</v>
      </c>
      <c r="AE27" s="69"/>
      <c r="AF27" s="873" t="s">
        <v>373</v>
      </c>
      <c r="AG27" s="873"/>
      <c r="AH27" s="873"/>
      <c r="AI27" s="874"/>
      <c r="AJ27" s="874"/>
      <c r="AK27" s="62"/>
    </row>
    <row r="28" spans="1:37" ht="12.6" customHeight="1" x14ac:dyDescent="0.2">
      <c r="A28" s="17"/>
      <c r="B28" s="725" t="s">
        <v>602</v>
      </c>
      <c r="C28" s="726"/>
      <c r="D28" s="726"/>
      <c r="E28" s="726"/>
      <c r="F28" s="324">
        <f>0.52*X2</f>
        <v>800.80000000000007</v>
      </c>
      <c r="G28" s="256">
        <f>+F28*$X$1</f>
        <v>800.80000000000007</v>
      </c>
      <c r="H28" s="250"/>
      <c r="I28" s="303"/>
      <c r="J28" s="82"/>
      <c r="K28" s="256"/>
      <c r="L28" s="536">
        <f>F28+210</f>
        <v>1010.8000000000001</v>
      </c>
      <c r="M28" s="256">
        <f t="shared" si="54"/>
        <v>1010.8000000000001</v>
      </c>
      <c r="N28" s="536">
        <f>F28+160</f>
        <v>960.80000000000007</v>
      </c>
      <c r="O28" s="256">
        <f t="shared" si="55"/>
        <v>960.80000000000007</v>
      </c>
      <c r="P28" s="536">
        <f>F28+130</f>
        <v>930.80000000000007</v>
      </c>
      <c r="Q28" s="256">
        <f t="shared" si="56"/>
        <v>930.80000000000007</v>
      </c>
      <c r="R28" s="536">
        <f>F28+110</f>
        <v>910.80000000000007</v>
      </c>
      <c r="S28" s="256">
        <f t="shared" si="57"/>
        <v>910.80000000000007</v>
      </c>
      <c r="T28" s="536">
        <f>F28+90</f>
        <v>890.80000000000007</v>
      </c>
      <c r="U28" s="256">
        <f t="shared" si="58"/>
        <v>890.80000000000007</v>
      </c>
      <c r="V28" s="536">
        <f>F28+70</f>
        <v>870.80000000000007</v>
      </c>
      <c r="W28" s="256">
        <f t="shared" ref="W28" si="59">+V28*$X$1</f>
        <v>870.80000000000007</v>
      </c>
      <c r="X28" s="119"/>
      <c r="Y28" s="119"/>
      <c r="Z28" s="119"/>
      <c r="AA28" s="119"/>
      <c r="AB28" s="339">
        <v>45</v>
      </c>
      <c r="AF28" s="873" t="s">
        <v>980</v>
      </c>
      <c r="AG28" s="873"/>
      <c r="AH28" s="873"/>
      <c r="AI28" s="874"/>
      <c r="AJ28" s="874"/>
    </row>
    <row r="29" spans="1:37" ht="12.6" customHeight="1" x14ac:dyDescent="0.2">
      <c r="A29" s="17"/>
      <c r="B29" s="748" t="s">
        <v>35</v>
      </c>
      <c r="C29" s="679"/>
      <c r="D29" s="679"/>
      <c r="E29" s="679"/>
      <c r="F29" s="255">
        <v>786</v>
      </c>
      <c r="G29" s="276">
        <f t="shared" ref="G29:G37" si="60">+F29*$X$1</f>
        <v>786</v>
      </c>
      <c r="H29" s="881" t="s">
        <v>36</v>
      </c>
      <c r="I29" s="881"/>
      <c r="J29" s="882"/>
      <c r="K29" s="883"/>
      <c r="L29" s="251"/>
      <c r="M29" s="302"/>
      <c r="N29" s="79">
        <v>2350</v>
      </c>
      <c r="O29" s="276">
        <f t="shared" ref="O29:O40" si="61">+N29*$X$1</f>
        <v>2350</v>
      </c>
      <c r="P29" s="281">
        <v>2160</v>
      </c>
      <c r="Q29" s="593">
        <f t="shared" ref="Q29:S51" si="62">+P29*$X$1</f>
        <v>2160</v>
      </c>
      <c r="R29" s="93">
        <v>1996</v>
      </c>
      <c r="S29" s="234">
        <f t="shared" si="62"/>
        <v>1996</v>
      </c>
      <c r="T29" s="527">
        <v>1844</v>
      </c>
      <c r="U29" s="234">
        <f t="shared" ref="U29:U46" si="63">+T29*$X$1</f>
        <v>1844</v>
      </c>
      <c r="V29" s="527">
        <v>1780</v>
      </c>
      <c r="W29" s="255">
        <f t="shared" ref="W29:W46" si="64">+V29*$X$1</f>
        <v>1780</v>
      </c>
      <c r="X29" s="667"/>
      <c r="Y29" s="887"/>
      <c r="Z29" s="887"/>
      <c r="AA29" s="822"/>
      <c r="AB29" s="339" t="s">
        <v>37</v>
      </c>
      <c r="AE29" s="69"/>
      <c r="AF29" s="873" t="s">
        <v>997</v>
      </c>
      <c r="AG29" s="873"/>
      <c r="AH29" s="873"/>
      <c r="AI29" s="874"/>
      <c r="AJ29" s="874"/>
    </row>
    <row r="30" spans="1:37" ht="12.6" customHeight="1" x14ac:dyDescent="0.2">
      <c r="A30" s="17"/>
      <c r="B30" s="632" t="s">
        <v>38</v>
      </c>
      <c r="C30" s="633"/>
      <c r="D30" s="633"/>
      <c r="E30" s="633"/>
      <c r="F30" s="256">
        <v>786</v>
      </c>
      <c r="G30" s="275">
        <f t="shared" si="60"/>
        <v>786</v>
      </c>
      <c r="H30" s="884" t="s">
        <v>36</v>
      </c>
      <c r="I30" s="884"/>
      <c r="J30" s="885"/>
      <c r="K30" s="886"/>
      <c r="L30" s="250"/>
      <c r="M30" s="303"/>
      <c r="N30" s="83">
        <v>2350</v>
      </c>
      <c r="O30" s="275">
        <f t="shared" ref="O30:O33" si="65">+N30*$X$1</f>
        <v>2350</v>
      </c>
      <c r="P30" s="252">
        <v>2160</v>
      </c>
      <c r="Q30" s="592">
        <f t="shared" ref="Q30:Q33" si="66">+P30*$X$1</f>
        <v>2160</v>
      </c>
      <c r="R30" s="92">
        <v>1996</v>
      </c>
      <c r="S30" s="269">
        <f t="shared" ref="S30:S33" si="67">+R30*$X$1</f>
        <v>1996</v>
      </c>
      <c r="T30" s="536">
        <v>1844</v>
      </c>
      <c r="U30" s="269">
        <f t="shared" ref="U30:U33" si="68">+T30*$X$1</f>
        <v>1844</v>
      </c>
      <c r="V30" s="536">
        <v>1780</v>
      </c>
      <c r="W30" s="256">
        <f t="shared" ref="W30:W33" si="69">+V30*$X$1</f>
        <v>1780</v>
      </c>
      <c r="X30" s="667"/>
      <c r="Y30" s="887"/>
      <c r="Z30" s="887"/>
      <c r="AA30" s="822"/>
      <c r="AB30" s="339" t="s">
        <v>39</v>
      </c>
    </row>
    <row r="31" spans="1:37" ht="12.6" customHeight="1" x14ac:dyDescent="0.2">
      <c r="A31" s="17"/>
      <c r="B31" s="748" t="s">
        <v>40</v>
      </c>
      <c r="C31" s="679"/>
      <c r="D31" s="679"/>
      <c r="E31" s="679"/>
      <c r="F31" s="255">
        <v>786</v>
      </c>
      <c r="G31" s="276">
        <f t="shared" si="60"/>
        <v>786</v>
      </c>
      <c r="H31" s="878" t="s">
        <v>36</v>
      </c>
      <c r="I31" s="878"/>
      <c r="J31" s="879"/>
      <c r="K31" s="880"/>
      <c r="L31" s="251"/>
      <c r="M31" s="302"/>
      <c r="N31" s="79">
        <v>2350</v>
      </c>
      <c r="O31" s="276">
        <f t="shared" si="65"/>
        <v>2350</v>
      </c>
      <c r="P31" s="281">
        <v>2160</v>
      </c>
      <c r="Q31" s="593">
        <f t="shared" si="66"/>
        <v>2160</v>
      </c>
      <c r="R31" s="93">
        <v>1996</v>
      </c>
      <c r="S31" s="234">
        <f t="shared" si="67"/>
        <v>1996</v>
      </c>
      <c r="T31" s="527">
        <v>1844</v>
      </c>
      <c r="U31" s="234">
        <f t="shared" si="68"/>
        <v>1844</v>
      </c>
      <c r="V31" s="527">
        <v>1780</v>
      </c>
      <c r="W31" s="255">
        <f t="shared" si="69"/>
        <v>1780</v>
      </c>
      <c r="X31" s="667"/>
      <c r="Y31" s="887"/>
      <c r="Z31" s="887"/>
      <c r="AA31" s="822"/>
      <c r="AB31" s="339" t="s">
        <v>41</v>
      </c>
    </row>
    <row r="32" spans="1:37" ht="12.6" customHeight="1" x14ac:dyDescent="0.2">
      <c r="A32" s="17"/>
      <c r="B32" s="632" t="s">
        <v>42</v>
      </c>
      <c r="C32" s="633"/>
      <c r="D32" s="633"/>
      <c r="E32" s="633"/>
      <c r="F32" s="256">
        <v>786</v>
      </c>
      <c r="G32" s="275">
        <f t="shared" si="60"/>
        <v>786</v>
      </c>
      <c r="H32" s="884" t="s">
        <v>36</v>
      </c>
      <c r="I32" s="884"/>
      <c r="J32" s="885"/>
      <c r="K32" s="886"/>
      <c r="L32" s="250"/>
      <c r="M32" s="303"/>
      <c r="N32" s="83">
        <v>2350</v>
      </c>
      <c r="O32" s="275">
        <f t="shared" si="65"/>
        <v>2350</v>
      </c>
      <c r="P32" s="252">
        <v>2160</v>
      </c>
      <c r="Q32" s="592">
        <f t="shared" si="66"/>
        <v>2160</v>
      </c>
      <c r="R32" s="92">
        <v>1996</v>
      </c>
      <c r="S32" s="269">
        <f t="shared" si="67"/>
        <v>1996</v>
      </c>
      <c r="T32" s="536">
        <v>1844</v>
      </c>
      <c r="U32" s="269">
        <f t="shared" si="68"/>
        <v>1844</v>
      </c>
      <c r="V32" s="536">
        <v>1780</v>
      </c>
      <c r="W32" s="256">
        <f t="shared" si="69"/>
        <v>1780</v>
      </c>
      <c r="X32" s="667"/>
      <c r="Y32" s="887"/>
      <c r="Z32" s="887"/>
      <c r="AA32" s="822"/>
      <c r="AB32" s="339" t="s">
        <v>43</v>
      </c>
    </row>
    <row r="33" spans="1:28" ht="12.6" customHeight="1" x14ac:dyDescent="0.2">
      <c r="A33" s="17"/>
      <c r="B33" s="748" t="s">
        <v>44</v>
      </c>
      <c r="C33" s="679"/>
      <c r="D33" s="679"/>
      <c r="E33" s="679"/>
      <c r="F33" s="255">
        <v>786</v>
      </c>
      <c r="G33" s="276">
        <f t="shared" si="60"/>
        <v>786</v>
      </c>
      <c r="H33" s="878" t="s">
        <v>36</v>
      </c>
      <c r="I33" s="878"/>
      <c r="J33" s="879"/>
      <c r="K33" s="880"/>
      <c r="L33" s="251"/>
      <c r="M33" s="302"/>
      <c r="N33" s="79">
        <v>2350</v>
      </c>
      <c r="O33" s="276">
        <f t="shared" si="65"/>
        <v>2350</v>
      </c>
      <c r="P33" s="281">
        <v>2160</v>
      </c>
      <c r="Q33" s="593">
        <f t="shared" si="66"/>
        <v>2160</v>
      </c>
      <c r="R33" s="93">
        <v>1996</v>
      </c>
      <c r="S33" s="234">
        <f t="shared" si="67"/>
        <v>1996</v>
      </c>
      <c r="T33" s="527">
        <v>1844</v>
      </c>
      <c r="U33" s="234">
        <f t="shared" si="68"/>
        <v>1844</v>
      </c>
      <c r="V33" s="527">
        <v>1780</v>
      </c>
      <c r="W33" s="255">
        <f t="shared" si="69"/>
        <v>1780</v>
      </c>
      <c r="X33" s="667"/>
      <c r="Y33" s="887"/>
      <c r="Z33" s="887"/>
      <c r="AA33" s="822"/>
      <c r="AB33" s="339" t="s">
        <v>45</v>
      </c>
    </row>
    <row r="34" spans="1:28" ht="12.6" customHeight="1" x14ac:dyDescent="0.25">
      <c r="A34" s="17"/>
      <c r="B34" s="632" t="s">
        <v>46</v>
      </c>
      <c r="C34" s="633"/>
      <c r="D34" s="633"/>
      <c r="E34" s="633"/>
      <c r="F34" s="256">
        <v>786</v>
      </c>
      <c r="G34" s="275">
        <f t="shared" si="60"/>
        <v>786</v>
      </c>
      <c r="H34" s="884" t="s">
        <v>36</v>
      </c>
      <c r="I34" s="884"/>
      <c r="J34" s="885"/>
      <c r="K34" s="886"/>
      <c r="L34" s="250"/>
      <c r="M34" s="303"/>
      <c r="N34" s="83">
        <v>2035</v>
      </c>
      <c r="O34" s="275">
        <f t="shared" si="61"/>
        <v>2035</v>
      </c>
      <c r="P34" s="252">
        <v>1867</v>
      </c>
      <c r="Q34" s="592">
        <f t="shared" si="62"/>
        <v>1867</v>
      </c>
      <c r="R34" s="536">
        <v>1711</v>
      </c>
      <c r="S34" s="269">
        <f t="shared" si="62"/>
        <v>1711</v>
      </c>
      <c r="T34" s="536">
        <v>1594</v>
      </c>
      <c r="U34" s="269">
        <f t="shared" si="63"/>
        <v>1594</v>
      </c>
      <c r="V34" s="536">
        <v>1515</v>
      </c>
      <c r="W34" s="256">
        <f t="shared" si="64"/>
        <v>1515</v>
      </c>
      <c r="X34" s="667"/>
      <c r="Y34" s="799"/>
      <c r="Z34" s="799"/>
      <c r="AA34" s="800"/>
      <c r="AB34" s="339" t="s">
        <v>406</v>
      </c>
    </row>
    <row r="35" spans="1:28" ht="12.6" customHeight="1" x14ac:dyDescent="0.2">
      <c r="A35" s="17"/>
      <c r="B35" s="748" t="s">
        <v>47</v>
      </c>
      <c r="C35" s="679"/>
      <c r="D35" s="679"/>
      <c r="E35" s="679"/>
      <c r="F35" s="255">
        <v>786</v>
      </c>
      <c r="G35" s="276">
        <f t="shared" si="60"/>
        <v>786</v>
      </c>
      <c r="H35" s="878" t="s">
        <v>36</v>
      </c>
      <c r="I35" s="878"/>
      <c r="J35" s="879"/>
      <c r="K35" s="880"/>
      <c r="L35" s="251"/>
      <c r="M35" s="302"/>
      <c r="N35" s="79">
        <v>1790</v>
      </c>
      <c r="O35" s="276">
        <f t="shared" ref="O35" si="70">+N35*$X$1</f>
        <v>1790</v>
      </c>
      <c r="P35" s="281">
        <v>1641</v>
      </c>
      <c r="Q35" s="593">
        <f t="shared" ref="Q35" si="71">+P35*$X$1</f>
        <v>1641</v>
      </c>
      <c r="R35" s="93">
        <v>1496</v>
      </c>
      <c r="S35" s="234">
        <f t="shared" ref="S35" si="72">+R35*$X$1</f>
        <v>1496</v>
      </c>
      <c r="T35" s="527">
        <v>1379</v>
      </c>
      <c r="U35" s="234">
        <f t="shared" ref="U35" si="73">+T35*$X$1</f>
        <v>1379</v>
      </c>
      <c r="V35" s="527">
        <v>1237</v>
      </c>
      <c r="W35" s="255">
        <f t="shared" ref="W35" si="74">+V35*$X$1</f>
        <v>1237</v>
      </c>
      <c r="X35" s="667"/>
      <c r="Y35" s="799"/>
      <c r="Z35" s="799"/>
      <c r="AA35" s="800"/>
      <c r="AB35" s="339" t="s">
        <v>404</v>
      </c>
    </row>
    <row r="36" spans="1:28" ht="12.6" customHeight="1" x14ac:dyDescent="0.25">
      <c r="A36" s="17"/>
      <c r="B36" s="632" t="s">
        <v>48</v>
      </c>
      <c r="C36" s="633"/>
      <c r="D36" s="633"/>
      <c r="E36" s="633"/>
      <c r="F36" s="256">
        <v>786</v>
      </c>
      <c r="G36" s="275">
        <f t="shared" si="60"/>
        <v>786</v>
      </c>
      <c r="H36" s="884" t="s">
        <v>36</v>
      </c>
      <c r="I36" s="884"/>
      <c r="J36" s="885"/>
      <c r="K36" s="886"/>
      <c r="L36" s="250"/>
      <c r="M36" s="303"/>
      <c r="N36" s="83">
        <v>1790</v>
      </c>
      <c r="O36" s="275">
        <f t="shared" ref="O36" si="75">+N36*$X$1</f>
        <v>1790</v>
      </c>
      <c r="P36" s="252">
        <v>1641</v>
      </c>
      <c r="Q36" s="592">
        <f t="shared" ref="Q36" si="76">+P36*$X$1</f>
        <v>1641</v>
      </c>
      <c r="R36" s="92">
        <v>1496</v>
      </c>
      <c r="S36" s="269">
        <f t="shared" ref="S36" si="77">+R36*$X$1</f>
        <v>1496</v>
      </c>
      <c r="T36" s="536">
        <v>1379</v>
      </c>
      <c r="U36" s="269">
        <f t="shared" ref="U36" si="78">+T36*$X$1</f>
        <v>1379</v>
      </c>
      <c r="V36" s="536">
        <v>1237</v>
      </c>
      <c r="W36" s="256">
        <f t="shared" ref="W36" si="79">+V36*$X$1</f>
        <v>1237</v>
      </c>
      <c r="X36" s="667"/>
      <c r="Y36" s="799"/>
      <c r="Z36" s="799"/>
      <c r="AA36" s="800"/>
      <c r="AB36" s="339" t="s">
        <v>407</v>
      </c>
    </row>
    <row r="37" spans="1:28" ht="12.6" customHeight="1" x14ac:dyDescent="0.25">
      <c r="A37" s="17"/>
      <c r="B37" s="748" t="s">
        <v>49</v>
      </c>
      <c r="C37" s="679"/>
      <c r="D37" s="679"/>
      <c r="E37" s="679"/>
      <c r="F37" s="255">
        <v>786</v>
      </c>
      <c r="G37" s="276">
        <f t="shared" si="60"/>
        <v>786</v>
      </c>
      <c r="H37" s="878" t="s">
        <v>36</v>
      </c>
      <c r="I37" s="878"/>
      <c r="J37" s="879"/>
      <c r="K37" s="880"/>
      <c r="L37" s="251"/>
      <c r="M37" s="302"/>
      <c r="N37" s="79">
        <v>2110</v>
      </c>
      <c r="O37" s="276">
        <v>2430</v>
      </c>
      <c r="P37" s="281">
        <v>1950</v>
      </c>
      <c r="Q37" s="593">
        <v>2243</v>
      </c>
      <c r="R37" s="527">
        <v>2064</v>
      </c>
      <c r="S37" s="234">
        <f t="shared" si="62"/>
        <v>2064</v>
      </c>
      <c r="T37" s="527">
        <v>1935</v>
      </c>
      <c r="U37" s="234">
        <f t="shared" si="63"/>
        <v>1935</v>
      </c>
      <c r="V37" s="527">
        <v>1850</v>
      </c>
      <c r="W37" s="255">
        <f t="shared" si="64"/>
        <v>1850</v>
      </c>
      <c r="X37" s="667"/>
      <c r="Y37" s="799"/>
      <c r="Z37" s="799"/>
      <c r="AA37" s="800"/>
      <c r="AB37" s="339" t="s">
        <v>405</v>
      </c>
    </row>
    <row r="38" spans="1:28" ht="12.6" customHeight="1" x14ac:dyDescent="0.2">
      <c r="A38" s="17"/>
      <c r="B38" s="632" t="s">
        <v>408</v>
      </c>
      <c r="C38" s="633"/>
      <c r="D38" s="633"/>
      <c r="E38" s="633"/>
      <c r="F38" s="256">
        <v>786</v>
      </c>
      <c r="G38" s="275">
        <f t="shared" ref="G38" si="80">+F38*$X$1</f>
        <v>786</v>
      </c>
      <c r="H38" s="884" t="s">
        <v>36</v>
      </c>
      <c r="I38" s="884"/>
      <c r="J38" s="885"/>
      <c r="K38" s="886"/>
      <c r="L38" s="250"/>
      <c r="M38" s="303"/>
      <c r="N38" s="83">
        <v>2390</v>
      </c>
      <c r="O38" s="275">
        <f t="shared" ref="O38:O39" si="81">+N38*$X$1</f>
        <v>2390</v>
      </c>
      <c r="P38" s="252">
        <v>2204</v>
      </c>
      <c r="Q38" s="592">
        <f t="shared" si="62"/>
        <v>2204</v>
      </c>
      <c r="R38" s="536">
        <v>2032</v>
      </c>
      <c r="S38" s="269">
        <f t="shared" si="62"/>
        <v>2032</v>
      </c>
      <c r="T38" s="536">
        <v>1921</v>
      </c>
      <c r="U38" s="269">
        <f t="shared" si="63"/>
        <v>1921</v>
      </c>
      <c r="V38" s="536">
        <v>1808</v>
      </c>
      <c r="W38" s="256">
        <f t="shared" si="64"/>
        <v>1808</v>
      </c>
      <c r="X38" s="667"/>
      <c r="Y38" s="799"/>
      <c r="Z38" s="799"/>
      <c r="AA38" s="800"/>
      <c r="AB38" s="339" t="s">
        <v>410</v>
      </c>
    </row>
    <row r="39" spans="1:28" ht="12.6" customHeight="1" x14ac:dyDescent="0.2">
      <c r="A39" s="17"/>
      <c r="B39" s="748" t="s">
        <v>409</v>
      </c>
      <c r="C39" s="679"/>
      <c r="D39" s="679"/>
      <c r="E39" s="679"/>
      <c r="F39" s="255">
        <v>786</v>
      </c>
      <c r="G39" s="276">
        <f t="shared" ref="G39" si="82">+F39*$X$1</f>
        <v>786</v>
      </c>
      <c r="H39" s="878" t="s">
        <v>36</v>
      </c>
      <c r="I39" s="878"/>
      <c r="J39" s="879"/>
      <c r="K39" s="880"/>
      <c r="L39" s="251"/>
      <c r="M39" s="302"/>
      <c r="N39" s="79">
        <v>2035</v>
      </c>
      <c r="O39" s="276">
        <f t="shared" si="81"/>
        <v>2035</v>
      </c>
      <c r="P39" s="281">
        <v>1867</v>
      </c>
      <c r="Q39" s="593">
        <f t="shared" ref="Q39" si="83">+P39*$X$1</f>
        <v>1867</v>
      </c>
      <c r="R39" s="527">
        <v>1711</v>
      </c>
      <c r="S39" s="234">
        <f t="shared" ref="S39" si="84">+R39*$X$1</f>
        <v>1711</v>
      </c>
      <c r="T39" s="527">
        <v>1594</v>
      </c>
      <c r="U39" s="234">
        <f t="shared" ref="U39" si="85">+T39*$X$1</f>
        <v>1594</v>
      </c>
      <c r="V39" s="527">
        <v>1515</v>
      </c>
      <c r="W39" s="255">
        <f t="shared" ref="W39" si="86">+V39*$X$1</f>
        <v>1515</v>
      </c>
      <c r="X39" s="667"/>
      <c r="Y39" s="799"/>
      <c r="Z39" s="799"/>
      <c r="AA39" s="800"/>
      <c r="AB39" s="339" t="s">
        <v>411</v>
      </c>
    </row>
    <row r="40" spans="1:28" ht="12.6" customHeight="1" x14ac:dyDescent="0.2">
      <c r="A40" s="17"/>
      <c r="B40" s="632" t="s">
        <v>50</v>
      </c>
      <c r="C40" s="633"/>
      <c r="D40" s="633"/>
      <c r="E40" s="633"/>
      <c r="F40" s="256">
        <v>1710</v>
      </c>
      <c r="G40" s="275">
        <f t="shared" ref="G40:G48" si="87">+F40*$X$1</f>
        <v>1710</v>
      </c>
      <c r="H40" s="841" t="s">
        <v>51</v>
      </c>
      <c r="I40" s="841"/>
      <c r="J40" s="842"/>
      <c r="K40" s="843"/>
      <c r="L40" s="250"/>
      <c r="M40" s="303"/>
      <c r="N40" s="83">
        <v>3030</v>
      </c>
      <c r="O40" s="275">
        <f t="shared" si="61"/>
        <v>3030</v>
      </c>
      <c r="P40" s="252">
        <v>2808</v>
      </c>
      <c r="Q40" s="592">
        <f t="shared" si="62"/>
        <v>2808</v>
      </c>
      <c r="R40" s="536">
        <v>2582</v>
      </c>
      <c r="S40" s="269">
        <f t="shared" si="62"/>
        <v>2582</v>
      </c>
      <c r="T40" s="536">
        <v>2406</v>
      </c>
      <c r="U40" s="269">
        <f t="shared" si="63"/>
        <v>2406</v>
      </c>
      <c r="V40" s="536">
        <v>2305</v>
      </c>
      <c r="W40" s="256">
        <f t="shared" si="64"/>
        <v>2305</v>
      </c>
      <c r="X40" s="667"/>
      <c r="Y40" s="799"/>
      <c r="Z40" s="799"/>
      <c r="AA40" s="800"/>
      <c r="AB40" s="340" t="s">
        <v>52</v>
      </c>
    </row>
    <row r="41" spans="1:28" ht="12.6" customHeight="1" x14ac:dyDescent="0.2">
      <c r="A41" s="17"/>
      <c r="B41" s="748" t="s">
        <v>53</v>
      </c>
      <c r="C41" s="679"/>
      <c r="D41" s="679"/>
      <c r="E41" s="679"/>
      <c r="F41" s="255">
        <v>1710</v>
      </c>
      <c r="G41" s="276">
        <f t="shared" si="87"/>
        <v>1710</v>
      </c>
      <c r="H41" s="955" t="s">
        <v>51</v>
      </c>
      <c r="I41" s="955"/>
      <c r="J41" s="956"/>
      <c r="K41" s="957"/>
      <c r="L41" s="251"/>
      <c r="M41" s="302"/>
      <c r="N41" s="79">
        <v>3030</v>
      </c>
      <c r="O41" s="276">
        <f t="shared" ref="O41:O42" si="88">+N41*$X$1</f>
        <v>3030</v>
      </c>
      <c r="P41" s="281">
        <v>2808</v>
      </c>
      <c r="Q41" s="593">
        <f t="shared" ref="Q41:Q42" si="89">+P41*$X$1</f>
        <v>2808</v>
      </c>
      <c r="R41" s="527">
        <v>2582</v>
      </c>
      <c r="S41" s="234">
        <f t="shared" ref="S41:S42" si="90">+R41*$X$1</f>
        <v>2582</v>
      </c>
      <c r="T41" s="527">
        <v>2406</v>
      </c>
      <c r="U41" s="234">
        <f t="shared" ref="U41:U42" si="91">+T41*$X$1</f>
        <v>2406</v>
      </c>
      <c r="V41" s="527">
        <v>2305</v>
      </c>
      <c r="W41" s="255">
        <f t="shared" ref="W41:W42" si="92">+V41*$X$1</f>
        <v>2305</v>
      </c>
      <c r="X41" s="667"/>
      <c r="Y41" s="799"/>
      <c r="Z41" s="799"/>
      <c r="AA41" s="800"/>
      <c r="AB41" s="340" t="s">
        <v>54</v>
      </c>
    </row>
    <row r="42" spans="1:28" ht="12.6" customHeight="1" x14ac:dyDescent="0.2">
      <c r="A42" s="17"/>
      <c r="B42" s="632" t="s">
        <v>55</v>
      </c>
      <c r="C42" s="633"/>
      <c r="D42" s="633"/>
      <c r="E42" s="633"/>
      <c r="F42" s="256">
        <v>1710</v>
      </c>
      <c r="G42" s="275">
        <f t="shared" si="87"/>
        <v>1710</v>
      </c>
      <c r="H42" s="884" t="s">
        <v>51</v>
      </c>
      <c r="I42" s="884"/>
      <c r="J42" s="885"/>
      <c r="K42" s="886"/>
      <c r="L42" s="250"/>
      <c r="M42" s="303"/>
      <c r="N42" s="83">
        <v>3030</v>
      </c>
      <c r="O42" s="275">
        <f t="shared" si="88"/>
        <v>3030</v>
      </c>
      <c r="P42" s="252">
        <v>2808</v>
      </c>
      <c r="Q42" s="592">
        <f t="shared" si="89"/>
        <v>2808</v>
      </c>
      <c r="R42" s="536">
        <v>2582</v>
      </c>
      <c r="S42" s="269">
        <f t="shared" si="90"/>
        <v>2582</v>
      </c>
      <c r="T42" s="536">
        <v>2406</v>
      </c>
      <c r="U42" s="269">
        <f t="shared" si="91"/>
        <v>2406</v>
      </c>
      <c r="V42" s="536">
        <v>2305</v>
      </c>
      <c r="W42" s="256">
        <f t="shared" si="92"/>
        <v>2305</v>
      </c>
      <c r="X42" s="667"/>
      <c r="Y42" s="799"/>
      <c r="Z42" s="799"/>
      <c r="AA42" s="800"/>
      <c r="AB42" s="340" t="s">
        <v>56</v>
      </c>
    </row>
    <row r="43" spans="1:28" ht="12.6" customHeight="1" x14ac:dyDescent="0.2">
      <c r="A43" s="17"/>
      <c r="B43" s="748" t="s">
        <v>496</v>
      </c>
      <c r="C43" s="679"/>
      <c r="D43" s="679"/>
      <c r="E43" s="679"/>
      <c r="F43" s="255">
        <v>1840</v>
      </c>
      <c r="G43" s="276">
        <f t="shared" ref="G43" si="93">+F43*$X$1</f>
        <v>1840</v>
      </c>
      <c r="H43" s="881" t="s">
        <v>51</v>
      </c>
      <c r="I43" s="881"/>
      <c r="J43" s="882"/>
      <c r="K43" s="883"/>
      <c r="L43" s="251"/>
      <c r="M43" s="302"/>
      <c r="N43" s="79">
        <v>3205</v>
      </c>
      <c r="O43" s="276">
        <f t="shared" ref="O43" si="94">+N43*$X$1</f>
        <v>3205</v>
      </c>
      <c r="P43" s="281">
        <v>2976</v>
      </c>
      <c r="Q43" s="593">
        <f t="shared" ref="Q43" si="95">+P43*$X$1</f>
        <v>2976</v>
      </c>
      <c r="R43" s="527">
        <v>2724</v>
      </c>
      <c r="S43" s="234">
        <f t="shared" ref="S43" si="96">+R43*$X$1</f>
        <v>2724</v>
      </c>
      <c r="T43" s="527">
        <v>2558</v>
      </c>
      <c r="U43" s="234">
        <f t="shared" ref="U43" si="97">+T43*$X$1</f>
        <v>2558</v>
      </c>
      <c r="V43" s="527">
        <v>2437</v>
      </c>
      <c r="W43" s="255">
        <f t="shared" ref="W43" si="98">+V43*$X$1</f>
        <v>2437</v>
      </c>
      <c r="X43" s="667"/>
      <c r="Y43" s="799"/>
      <c r="Z43" s="799"/>
      <c r="AA43" s="800"/>
      <c r="AB43" s="341" t="s">
        <v>506</v>
      </c>
    </row>
    <row r="44" spans="1:28" ht="12.6" customHeight="1" x14ac:dyDescent="0.2">
      <c r="A44" s="17"/>
      <c r="B44" s="632" t="s">
        <v>497</v>
      </c>
      <c r="C44" s="633"/>
      <c r="D44" s="633"/>
      <c r="E44" s="633"/>
      <c r="F44" s="256">
        <v>1840</v>
      </c>
      <c r="G44" s="275">
        <f t="shared" ref="G44" si="99">+F44*$X$1</f>
        <v>1840</v>
      </c>
      <c r="H44" s="841" t="s">
        <v>51</v>
      </c>
      <c r="I44" s="841"/>
      <c r="J44" s="842"/>
      <c r="K44" s="843"/>
      <c r="L44" s="250"/>
      <c r="M44" s="303"/>
      <c r="N44" s="83">
        <v>3205</v>
      </c>
      <c r="O44" s="275">
        <f t="shared" ref="O44:O45" si="100">+N44*$X$1</f>
        <v>3205</v>
      </c>
      <c r="P44" s="252">
        <v>2976</v>
      </c>
      <c r="Q44" s="592">
        <f t="shared" ref="Q44:Q45" si="101">+P44*$X$1</f>
        <v>2976</v>
      </c>
      <c r="R44" s="536">
        <v>2724</v>
      </c>
      <c r="S44" s="269">
        <f t="shared" ref="S44:S45" si="102">+R44*$X$1</f>
        <v>2724</v>
      </c>
      <c r="T44" s="536">
        <v>2558</v>
      </c>
      <c r="U44" s="269">
        <f t="shared" ref="U44:U45" si="103">+T44*$X$1</f>
        <v>2558</v>
      </c>
      <c r="V44" s="536">
        <v>2437</v>
      </c>
      <c r="W44" s="256">
        <f t="shared" ref="W44:W45" si="104">+V44*$X$1</f>
        <v>2437</v>
      </c>
      <c r="X44" s="667"/>
      <c r="Y44" s="799"/>
      <c r="Z44" s="799"/>
      <c r="AA44" s="800"/>
      <c r="AB44" s="341" t="s">
        <v>507</v>
      </c>
    </row>
    <row r="45" spans="1:28" ht="12.6" customHeight="1" x14ac:dyDescent="0.2">
      <c r="A45" s="17"/>
      <c r="B45" s="748" t="s">
        <v>498</v>
      </c>
      <c r="C45" s="679"/>
      <c r="D45" s="679"/>
      <c r="E45" s="679"/>
      <c r="F45" s="255">
        <v>1840</v>
      </c>
      <c r="G45" s="276">
        <f t="shared" ref="G45" si="105">+F45*$X$1</f>
        <v>1840</v>
      </c>
      <c r="H45" s="881" t="s">
        <v>51</v>
      </c>
      <c r="I45" s="881"/>
      <c r="J45" s="882"/>
      <c r="K45" s="883"/>
      <c r="L45" s="251"/>
      <c r="M45" s="302"/>
      <c r="N45" s="79">
        <v>3205</v>
      </c>
      <c r="O45" s="276">
        <f t="shared" si="100"/>
        <v>3205</v>
      </c>
      <c r="P45" s="281">
        <v>2976</v>
      </c>
      <c r="Q45" s="593">
        <f t="shared" si="101"/>
        <v>2976</v>
      </c>
      <c r="R45" s="527">
        <v>2724</v>
      </c>
      <c r="S45" s="234">
        <f t="shared" si="102"/>
        <v>2724</v>
      </c>
      <c r="T45" s="527">
        <v>2558</v>
      </c>
      <c r="U45" s="234">
        <f t="shared" si="103"/>
        <v>2558</v>
      </c>
      <c r="V45" s="527">
        <v>2437</v>
      </c>
      <c r="W45" s="255">
        <f t="shared" si="104"/>
        <v>2437</v>
      </c>
      <c r="X45" s="667"/>
      <c r="Y45" s="799"/>
      <c r="Z45" s="799"/>
      <c r="AA45" s="800"/>
      <c r="AB45" s="341" t="s">
        <v>508</v>
      </c>
    </row>
    <row r="46" spans="1:28" ht="12.6" customHeight="1" x14ac:dyDescent="0.2">
      <c r="A46" s="17"/>
      <c r="B46" s="632" t="s">
        <v>57</v>
      </c>
      <c r="C46" s="633"/>
      <c r="D46" s="633"/>
      <c r="E46" s="633"/>
      <c r="F46" s="256">
        <v>2310</v>
      </c>
      <c r="G46" s="275">
        <f t="shared" si="87"/>
        <v>2310</v>
      </c>
      <c r="H46" s="884" t="s">
        <v>51</v>
      </c>
      <c r="I46" s="884"/>
      <c r="J46" s="885"/>
      <c r="K46" s="886"/>
      <c r="L46" s="250"/>
      <c r="M46" s="303"/>
      <c r="N46" s="82">
        <v>4215</v>
      </c>
      <c r="O46" s="300">
        <f t="shared" ref="O46" si="106">+N46*$X$1</f>
        <v>4215</v>
      </c>
      <c r="P46" s="252">
        <v>3903</v>
      </c>
      <c r="Q46" s="282">
        <f t="shared" si="62"/>
        <v>3903</v>
      </c>
      <c r="R46" s="536">
        <v>3592</v>
      </c>
      <c r="S46" s="256">
        <f t="shared" si="62"/>
        <v>3592</v>
      </c>
      <c r="T46" s="536">
        <v>3342</v>
      </c>
      <c r="U46" s="256">
        <f t="shared" si="63"/>
        <v>3342</v>
      </c>
      <c r="V46" s="536">
        <v>3220</v>
      </c>
      <c r="W46" s="256">
        <f t="shared" si="64"/>
        <v>3220</v>
      </c>
      <c r="X46" s="667"/>
      <c r="Y46" s="799"/>
      <c r="Z46" s="799"/>
      <c r="AA46" s="800"/>
      <c r="AB46" s="341" t="s">
        <v>58</v>
      </c>
    </row>
    <row r="47" spans="1:28" ht="12.6" customHeight="1" x14ac:dyDescent="0.2">
      <c r="A47" s="17"/>
      <c r="B47" s="748" t="s">
        <v>59</v>
      </c>
      <c r="C47" s="679"/>
      <c r="D47" s="679"/>
      <c r="E47" s="679"/>
      <c r="F47" s="255">
        <v>2310</v>
      </c>
      <c r="G47" s="276">
        <f t="shared" si="87"/>
        <v>2310</v>
      </c>
      <c r="H47" s="881" t="s">
        <v>51</v>
      </c>
      <c r="I47" s="881"/>
      <c r="J47" s="882"/>
      <c r="K47" s="883"/>
      <c r="L47" s="251"/>
      <c r="M47" s="302"/>
      <c r="N47" s="68">
        <v>4215</v>
      </c>
      <c r="O47" s="271">
        <f t="shared" ref="O47:O48" si="107">+N47*$X$1</f>
        <v>4215</v>
      </c>
      <c r="P47" s="281">
        <v>3903</v>
      </c>
      <c r="Q47" s="283">
        <f t="shared" ref="Q47:Q48" si="108">+P47*$X$1</f>
        <v>3903</v>
      </c>
      <c r="R47" s="527">
        <v>3592</v>
      </c>
      <c r="S47" s="255">
        <f t="shared" ref="S47:S48" si="109">+R47*$X$1</f>
        <v>3592</v>
      </c>
      <c r="T47" s="527">
        <v>3342</v>
      </c>
      <c r="U47" s="255">
        <f t="shared" ref="U47:U48" si="110">+T47*$X$1</f>
        <v>3342</v>
      </c>
      <c r="V47" s="527">
        <v>3220</v>
      </c>
      <c r="W47" s="255">
        <f t="shared" ref="W47:W48" si="111">+V47*$X$1</f>
        <v>3220</v>
      </c>
      <c r="X47" s="667"/>
      <c r="Y47" s="799"/>
      <c r="Z47" s="799"/>
      <c r="AA47" s="800"/>
      <c r="AB47" s="341" t="s">
        <v>60</v>
      </c>
    </row>
    <row r="48" spans="1:28" ht="12.6" customHeight="1" x14ac:dyDescent="0.2">
      <c r="A48" s="17"/>
      <c r="B48" s="632" t="s">
        <v>61</v>
      </c>
      <c r="C48" s="633"/>
      <c r="D48" s="633"/>
      <c r="E48" s="633"/>
      <c r="F48" s="256">
        <v>2310</v>
      </c>
      <c r="G48" s="427">
        <f t="shared" si="87"/>
        <v>2310</v>
      </c>
      <c r="H48" s="884" t="s">
        <v>51</v>
      </c>
      <c r="I48" s="884"/>
      <c r="J48" s="885"/>
      <c r="K48" s="966"/>
      <c r="L48" s="250"/>
      <c r="M48" s="303"/>
      <c r="N48" s="82">
        <v>4215</v>
      </c>
      <c r="O48" s="300">
        <f t="shared" si="107"/>
        <v>4215</v>
      </c>
      <c r="P48" s="252">
        <v>3903</v>
      </c>
      <c r="Q48" s="282">
        <f t="shared" si="108"/>
        <v>3903</v>
      </c>
      <c r="R48" s="536">
        <v>3592</v>
      </c>
      <c r="S48" s="256">
        <f t="shared" si="109"/>
        <v>3592</v>
      </c>
      <c r="T48" s="536">
        <v>3342</v>
      </c>
      <c r="U48" s="256">
        <f t="shared" si="110"/>
        <v>3342</v>
      </c>
      <c r="V48" s="536">
        <v>3220</v>
      </c>
      <c r="W48" s="256">
        <f t="shared" si="111"/>
        <v>3220</v>
      </c>
      <c r="X48" s="667"/>
      <c r="Y48" s="799"/>
      <c r="Z48" s="799"/>
      <c r="AA48" s="800"/>
      <c r="AB48" s="341" t="s">
        <v>62</v>
      </c>
    </row>
    <row r="49" spans="1:35" ht="12.6" customHeight="1" x14ac:dyDescent="0.2">
      <c r="A49" s="17"/>
      <c r="B49" s="748" t="s">
        <v>385</v>
      </c>
      <c r="C49" s="679"/>
      <c r="D49" s="679"/>
      <c r="E49" s="826"/>
      <c r="F49" s="583"/>
      <c r="G49" s="562"/>
      <c r="H49" s="562"/>
      <c r="I49" s="562"/>
      <c r="J49" s="251"/>
      <c r="K49" s="251"/>
      <c r="L49" s="238"/>
      <c r="M49" s="255"/>
      <c r="N49" s="563"/>
      <c r="O49" s="307"/>
      <c r="P49" s="251"/>
      <c r="Q49" s="283"/>
      <c r="R49" s="102"/>
      <c r="S49" s="531"/>
      <c r="T49" s="102"/>
      <c r="U49" s="531"/>
      <c r="V49" s="102"/>
      <c r="W49" s="255"/>
      <c r="X49" s="119"/>
      <c r="Y49" s="119"/>
      <c r="Z49" s="119"/>
      <c r="AA49" s="119"/>
      <c r="AB49" s="33">
        <v>48</v>
      </c>
      <c r="AC49" s="342" t="s">
        <v>63</v>
      </c>
      <c r="AD49" s="342" t="s">
        <v>64</v>
      </c>
      <c r="AE49" s="342" t="s">
        <v>65</v>
      </c>
    </row>
    <row r="50" spans="1:35" ht="12.6" customHeight="1" x14ac:dyDescent="0.2">
      <c r="A50" s="17"/>
      <c r="B50" s="952" t="s">
        <v>66</v>
      </c>
      <c r="C50" s="953"/>
      <c r="D50" s="953"/>
      <c r="E50" s="953"/>
      <c r="F50" s="582"/>
      <c r="G50" s="512"/>
      <c r="H50" s="512"/>
      <c r="I50" s="512"/>
      <c r="J50" s="250"/>
      <c r="K50" s="250"/>
      <c r="L50" s="265"/>
      <c r="M50" s="536"/>
      <c r="N50" s="565"/>
      <c r="O50" s="536"/>
      <c r="P50" s="385"/>
      <c r="Q50" s="536"/>
      <c r="R50" s="536"/>
      <c r="S50" s="536"/>
      <c r="T50" s="536"/>
      <c r="U50" s="536"/>
      <c r="V50" s="82"/>
      <c r="W50" s="82"/>
      <c r="X50" s="152"/>
      <c r="Y50" s="152"/>
      <c r="Z50" s="152"/>
      <c r="AA50" s="152"/>
      <c r="AB50" s="178">
        <v>54</v>
      </c>
    </row>
    <row r="51" spans="1:35" ht="12.6" customHeight="1" x14ac:dyDescent="0.2">
      <c r="A51" s="17"/>
      <c r="B51" s="748" t="s">
        <v>67</v>
      </c>
      <c r="C51" s="679"/>
      <c r="D51" s="679"/>
      <c r="E51" s="679"/>
      <c r="F51" s="255">
        <v>1115</v>
      </c>
      <c r="G51" s="234">
        <f t="shared" ref="G51:G54" si="112">+F51*$X$1</f>
        <v>1115</v>
      </c>
      <c r="H51" s="111"/>
      <c r="I51" s="255"/>
      <c r="J51" s="527">
        <f>F51+360</f>
        <v>1475</v>
      </c>
      <c r="K51" s="255">
        <f t="shared" ref="K51" si="113">+J51*$X$1</f>
        <v>1475</v>
      </c>
      <c r="L51" s="527">
        <f>F51+260</f>
        <v>1375</v>
      </c>
      <c r="M51" s="255">
        <f t="shared" ref="M51" si="114">+L51*$X$1</f>
        <v>1375</v>
      </c>
      <c r="N51" s="93">
        <f>F51+210</f>
        <v>1325</v>
      </c>
      <c r="O51" s="234">
        <f t="shared" ref="O51" si="115">+N51*$X$1</f>
        <v>1325</v>
      </c>
      <c r="P51" s="93">
        <f>F51+180</f>
        <v>1295</v>
      </c>
      <c r="Q51" s="255">
        <f t="shared" si="62"/>
        <v>1295</v>
      </c>
      <c r="R51" s="93">
        <f>F51+160</f>
        <v>1275</v>
      </c>
      <c r="S51" s="234">
        <f t="shared" ref="S51" si="116">+R51*$X$1</f>
        <v>1275</v>
      </c>
      <c r="T51" s="93">
        <f>F51+145</f>
        <v>1260</v>
      </c>
      <c r="U51" s="234">
        <f t="shared" ref="U51" si="117">+T51*$X$1</f>
        <v>1260</v>
      </c>
      <c r="V51" s="93">
        <f>F51+130</f>
        <v>1245</v>
      </c>
      <c r="W51" s="255">
        <f t="shared" ref="W51" si="118">+V51*$X$1</f>
        <v>1245</v>
      </c>
      <c r="X51" s="118"/>
      <c r="Y51" s="119"/>
      <c r="Z51" s="119"/>
      <c r="AA51" s="119"/>
      <c r="AB51" s="339">
        <v>60</v>
      </c>
    </row>
    <row r="52" spans="1:35" ht="12.6" customHeight="1" x14ac:dyDescent="0.2">
      <c r="A52" s="17"/>
      <c r="B52" s="632" t="s">
        <v>476</v>
      </c>
      <c r="C52" s="633"/>
      <c r="D52" s="633"/>
      <c r="E52" s="633"/>
      <c r="F52" s="256">
        <v>1330</v>
      </c>
      <c r="G52" s="269">
        <f t="shared" si="112"/>
        <v>1330</v>
      </c>
      <c r="H52" s="112"/>
      <c r="I52" s="256"/>
      <c r="J52" s="536">
        <f>F52+360</f>
        <v>1690</v>
      </c>
      <c r="K52" s="256">
        <f t="shared" ref="K52:K54" si="119">+J52*$X$1</f>
        <v>1690</v>
      </c>
      <c r="L52" s="536">
        <f>F52+260</f>
        <v>1590</v>
      </c>
      <c r="M52" s="256">
        <f t="shared" ref="M52:M54" si="120">+L52*$X$1</f>
        <v>1590</v>
      </c>
      <c r="N52" s="92">
        <f>F52+210</f>
        <v>1540</v>
      </c>
      <c r="O52" s="269">
        <f t="shared" ref="O52:O54" si="121">+N52*$X$1</f>
        <v>1540</v>
      </c>
      <c r="P52" s="92">
        <f>F52+180</f>
        <v>1510</v>
      </c>
      <c r="Q52" s="256">
        <f t="shared" ref="Q52:Q54" si="122">+P52*$X$1</f>
        <v>1510</v>
      </c>
      <c r="R52" s="92">
        <f>F52+160</f>
        <v>1490</v>
      </c>
      <c r="S52" s="269">
        <f t="shared" ref="S52:S54" si="123">+R52*$X$1</f>
        <v>1490</v>
      </c>
      <c r="T52" s="92">
        <f>F52+145</f>
        <v>1475</v>
      </c>
      <c r="U52" s="269">
        <f t="shared" ref="U52:U54" si="124">+T52*$X$1</f>
        <v>1475</v>
      </c>
      <c r="V52" s="92">
        <f>F52+130</f>
        <v>1460</v>
      </c>
      <c r="W52" s="256">
        <f t="shared" ref="W52:W54" si="125">+V52*$X$1</f>
        <v>1460</v>
      </c>
      <c r="X52" s="118"/>
      <c r="Y52" s="119"/>
      <c r="Z52" s="119"/>
      <c r="AA52" s="119"/>
      <c r="AB52" s="339">
        <v>61</v>
      </c>
    </row>
    <row r="53" spans="1:35" ht="12.6" customHeight="1" x14ac:dyDescent="0.2">
      <c r="A53" s="17"/>
      <c r="B53" s="862" t="s">
        <v>68</v>
      </c>
      <c r="C53" s="863"/>
      <c r="D53" s="863"/>
      <c r="E53" s="863"/>
      <c r="F53" s="257">
        <v>1172</v>
      </c>
      <c r="G53" s="531">
        <f t="shared" si="112"/>
        <v>1172</v>
      </c>
      <c r="H53" s="564"/>
      <c r="I53" s="255"/>
      <c r="J53" s="527">
        <f>F53+360</f>
        <v>1532</v>
      </c>
      <c r="K53" s="255">
        <f t="shared" si="119"/>
        <v>1532</v>
      </c>
      <c r="L53" s="527">
        <f>F53+260</f>
        <v>1432</v>
      </c>
      <c r="M53" s="255">
        <f t="shared" si="120"/>
        <v>1432</v>
      </c>
      <c r="N53" s="93">
        <f>F53+210</f>
        <v>1382</v>
      </c>
      <c r="O53" s="234">
        <f t="shared" si="121"/>
        <v>1382</v>
      </c>
      <c r="P53" s="93">
        <f>F53+180</f>
        <v>1352</v>
      </c>
      <c r="Q53" s="255">
        <f t="shared" si="122"/>
        <v>1352</v>
      </c>
      <c r="R53" s="93">
        <f>F53+160</f>
        <v>1332</v>
      </c>
      <c r="S53" s="234">
        <f t="shared" si="123"/>
        <v>1332</v>
      </c>
      <c r="T53" s="93">
        <f>F53+145</f>
        <v>1317</v>
      </c>
      <c r="U53" s="234">
        <f t="shared" si="124"/>
        <v>1317</v>
      </c>
      <c r="V53" s="93">
        <f>F53+130</f>
        <v>1302</v>
      </c>
      <c r="W53" s="255">
        <f t="shared" si="125"/>
        <v>1302</v>
      </c>
      <c r="X53" s="118"/>
      <c r="Y53" s="119"/>
      <c r="Z53" s="119"/>
      <c r="AA53" s="119"/>
      <c r="AB53" s="339">
        <v>62</v>
      </c>
    </row>
    <row r="54" spans="1:35" ht="12.6" customHeight="1" x14ac:dyDescent="0.2">
      <c r="A54" s="17"/>
      <c r="B54" s="632" t="s">
        <v>69</v>
      </c>
      <c r="C54" s="658"/>
      <c r="D54" s="658"/>
      <c r="E54" s="658"/>
      <c r="F54" s="256">
        <v>1387</v>
      </c>
      <c r="G54" s="256">
        <f t="shared" si="112"/>
        <v>1387</v>
      </c>
      <c r="H54" s="112"/>
      <c r="I54" s="256"/>
      <c r="J54" s="536">
        <f>F54+360</f>
        <v>1747</v>
      </c>
      <c r="K54" s="256">
        <f t="shared" si="119"/>
        <v>1747</v>
      </c>
      <c r="L54" s="536">
        <f>F54+260</f>
        <v>1647</v>
      </c>
      <c r="M54" s="256">
        <f t="shared" si="120"/>
        <v>1647</v>
      </c>
      <c r="N54" s="92">
        <f>F54+210</f>
        <v>1597</v>
      </c>
      <c r="O54" s="269">
        <f t="shared" si="121"/>
        <v>1597</v>
      </c>
      <c r="P54" s="92">
        <f>F54+180</f>
        <v>1567</v>
      </c>
      <c r="Q54" s="256">
        <f t="shared" si="122"/>
        <v>1567</v>
      </c>
      <c r="R54" s="92">
        <f>F54+160</f>
        <v>1547</v>
      </c>
      <c r="S54" s="269">
        <f t="shared" si="123"/>
        <v>1547</v>
      </c>
      <c r="T54" s="92">
        <f>F54+145</f>
        <v>1532</v>
      </c>
      <c r="U54" s="269">
        <f t="shared" si="124"/>
        <v>1532</v>
      </c>
      <c r="V54" s="92">
        <f>F54+130</f>
        <v>1517</v>
      </c>
      <c r="W54" s="256">
        <f t="shared" si="125"/>
        <v>1517</v>
      </c>
      <c r="X54" s="118"/>
      <c r="Y54" s="119"/>
      <c r="Z54" s="119"/>
      <c r="AA54" s="119"/>
      <c r="AB54" s="339">
        <v>63</v>
      </c>
      <c r="AD54" s="4"/>
      <c r="AE54" s="4"/>
      <c r="AF54" s="4"/>
      <c r="AG54" s="4"/>
      <c r="AH54" s="4"/>
      <c r="AI54" s="4"/>
    </row>
    <row r="55" spans="1:35" ht="12.6" customHeight="1" x14ac:dyDescent="0.2">
      <c r="A55" s="17"/>
      <c r="B55" s="748" t="s">
        <v>472</v>
      </c>
      <c r="C55" s="679"/>
      <c r="D55" s="679"/>
      <c r="E55" s="679"/>
      <c r="F55" s="255">
        <v>1445</v>
      </c>
      <c r="G55" s="255">
        <f t="shared" ref="G55" si="126">+F55*$X$1</f>
        <v>1445</v>
      </c>
      <c r="H55" s="111"/>
      <c r="I55" s="255"/>
      <c r="J55" s="527">
        <f>F55+430</f>
        <v>1875</v>
      </c>
      <c r="K55" s="255">
        <f t="shared" ref="K55" si="127">+J55*$X$1</f>
        <v>1875</v>
      </c>
      <c r="L55" s="527">
        <f>F55+330</f>
        <v>1775</v>
      </c>
      <c r="M55" s="255">
        <f t="shared" ref="M55:M58" si="128">+L55*$X$1</f>
        <v>1775</v>
      </c>
      <c r="N55" s="93">
        <f>F55+270</f>
        <v>1715</v>
      </c>
      <c r="O55" s="234">
        <f t="shared" ref="O55:O58" si="129">+N55*$X$1</f>
        <v>1715</v>
      </c>
      <c r="P55" s="93">
        <f>F55+230</f>
        <v>1675</v>
      </c>
      <c r="Q55" s="255">
        <f t="shared" ref="Q55:Q58" si="130">+P55*$X$1</f>
        <v>1675</v>
      </c>
      <c r="R55" s="93">
        <f>F55+215</f>
        <v>1660</v>
      </c>
      <c r="S55" s="234">
        <f t="shared" ref="S55:S58" si="131">+R55*$X$1</f>
        <v>1660</v>
      </c>
      <c r="T55" s="93">
        <f>F55+195</f>
        <v>1640</v>
      </c>
      <c r="U55" s="234">
        <f t="shared" ref="U55:U58" si="132">+T55*$X$1</f>
        <v>1640</v>
      </c>
      <c r="V55" s="93">
        <f>F55+180</f>
        <v>1625</v>
      </c>
      <c r="W55" s="255">
        <f t="shared" ref="W55:W58" si="133">+V55*$X$1</f>
        <v>1625</v>
      </c>
      <c r="X55" s="118"/>
      <c r="Y55" s="119"/>
      <c r="Z55" s="119"/>
      <c r="AA55" s="119"/>
      <c r="AB55" s="339">
        <v>64</v>
      </c>
    </row>
    <row r="56" spans="1:35" ht="12.6" customHeight="1" x14ac:dyDescent="0.2">
      <c r="A56" s="17"/>
      <c r="B56" s="970" t="s">
        <v>1013</v>
      </c>
      <c r="C56" s="853"/>
      <c r="D56" s="853"/>
      <c r="E56" s="853"/>
      <c r="F56" s="450">
        <v>390</v>
      </c>
      <c r="G56" s="450">
        <f t="shared" ref="G56:G69" si="134">+F56*$X$1</f>
        <v>390</v>
      </c>
      <c r="H56" s="452"/>
      <c r="I56" s="454"/>
      <c r="J56" s="458"/>
      <c r="K56" s="450"/>
      <c r="L56" s="581">
        <f t="shared" ref="L56:L62" si="135">F56+210</f>
        <v>600</v>
      </c>
      <c r="M56" s="451">
        <f t="shared" ref="M56" si="136">+L56*$X$1</f>
        <v>600</v>
      </c>
      <c r="N56" s="581">
        <f t="shared" ref="N56:N62" si="137">F56+160</f>
        <v>550</v>
      </c>
      <c r="O56" s="451">
        <f t="shared" ref="O56" si="138">+N56*$X$1</f>
        <v>550</v>
      </c>
      <c r="P56" s="581">
        <f t="shared" ref="P56:P62" si="139">F56+130</f>
        <v>520</v>
      </c>
      <c r="Q56" s="451">
        <f t="shared" ref="Q56" si="140">+P56*$X$1</f>
        <v>520</v>
      </c>
      <c r="R56" s="581">
        <f t="shared" ref="R56:R62" si="141">F56+110</f>
        <v>500</v>
      </c>
      <c r="S56" s="451">
        <f t="shared" ref="S56" si="142">+R56*$X$1</f>
        <v>500</v>
      </c>
      <c r="T56" s="581">
        <f t="shared" ref="T56:T62" si="143">F56+90</f>
        <v>480</v>
      </c>
      <c r="U56" s="451">
        <f t="shared" ref="U56" si="144">+T56*$X$1</f>
        <v>480</v>
      </c>
      <c r="V56" s="581">
        <f t="shared" ref="V56:V62" si="145">F56+70</f>
        <v>460</v>
      </c>
      <c r="W56" s="451">
        <f t="shared" ref="W56" si="146">+V56*$X$1</f>
        <v>460</v>
      </c>
      <c r="X56" s="119"/>
      <c r="Y56" s="119"/>
      <c r="Z56" s="119"/>
      <c r="AA56" s="119"/>
      <c r="AB56" s="339">
        <v>85</v>
      </c>
    </row>
    <row r="57" spans="1:35" ht="12.6" customHeight="1" x14ac:dyDescent="0.2">
      <c r="A57" s="17"/>
      <c r="B57" s="699" t="s">
        <v>1012</v>
      </c>
      <c r="C57" s="700"/>
      <c r="D57" s="700"/>
      <c r="E57" s="700"/>
      <c r="F57" s="270">
        <v>970</v>
      </c>
      <c r="G57" s="270">
        <f t="shared" ref="G57" si="147">+F57*$X$1</f>
        <v>970</v>
      </c>
      <c r="H57" s="251"/>
      <c r="I57" s="302"/>
      <c r="J57" s="371"/>
      <c r="K57" s="270"/>
      <c r="L57" s="527">
        <f t="shared" ref="L57" si="148">F57+210</f>
        <v>1180</v>
      </c>
      <c r="M57" s="255">
        <f t="shared" ref="M57" si="149">+L57*$X$1</f>
        <v>1180</v>
      </c>
      <c r="N57" s="527">
        <f t="shared" ref="N57" si="150">F57+160</f>
        <v>1130</v>
      </c>
      <c r="O57" s="255">
        <f t="shared" ref="O57" si="151">+N57*$X$1</f>
        <v>1130</v>
      </c>
      <c r="P57" s="527">
        <f t="shared" ref="P57" si="152">F57+130</f>
        <v>1100</v>
      </c>
      <c r="Q57" s="255">
        <f t="shared" ref="Q57" si="153">+P57*$X$1</f>
        <v>1100</v>
      </c>
      <c r="R57" s="527">
        <f t="shared" ref="R57" si="154">F57+110</f>
        <v>1080</v>
      </c>
      <c r="S57" s="255">
        <f t="shared" ref="S57" si="155">+R57*$X$1</f>
        <v>1080</v>
      </c>
      <c r="T57" s="527">
        <f t="shared" ref="T57" si="156">F57+90</f>
        <v>1060</v>
      </c>
      <c r="U57" s="255">
        <f t="shared" ref="U57" si="157">+T57*$X$1</f>
        <v>1060</v>
      </c>
      <c r="V57" s="527">
        <f t="shared" ref="V57" si="158">F57+70</f>
        <v>1040</v>
      </c>
      <c r="W57" s="255">
        <f t="shared" ref="W57" si="159">+V57*$X$1</f>
        <v>1040</v>
      </c>
      <c r="X57" s="119"/>
      <c r="Y57" s="119"/>
      <c r="Z57" s="119"/>
      <c r="AA57" s="119"/>
      <c r="AB57" s="339">
        <v>85</v>
      </c>
    </row>
    <row r="58" spans="1:35" ht="12.6" customHeight="1" x14ac:dyDescent="0.2">
      <c r="A58" s="17"/>
      <c r="B58" s="725" t="s">
        <v>890</v>
      </c>
      <c r="C58" s="726"/>
      <c r="D58" s="726"/>
      <c r="E58" s="726"/>
      <c r="F58" s="280">
        <v>1450</v>
      </c>
      <c r="G58" s="427">
        <f t="shared" si="134"/>
        <v>1450</v>
      </c>
      <c r="H58" s="250"/>
      <c r="I58" s="303"/>
      <c r="J58" s="372"/>
      <c r="K58" s="280"/>
      <c r="L58" s="536">
        <f t="shared" si="135"/>
        <v>1660</v>
      </c>
      <c r="M58" s="256">
        <f t="shared" si="128"/>
        <v>1660</v>
      </c>
      <c r="N58" s="536">
        <f t="shared" si="137"/>
        <v>1610</v>
      </c>
      <c r="O58" s="256">
        <f t="shared" si="129"/>
        <v>1610</v>
      </c>
      <c r="P58" s="536">
        <f t="shared" si="139"/>
        <v>1580</v>
      </c>
      <c r="Q58" s="256">
        <f t="shared" si="130"/>
        <v>1580</v>
      </c>
      <c r="R58" s="536">
        <f t="shared" si="141"/>
        <v>1560</v>
      </c>
      <c r="S58" s="256">
        <f t="shared" si="131"/>
        <v>1560</v>
      </c>
      <c r="T58" s="536">
        <f t="shared" si="143"/>
        <v>1540</v>
      </c>
      <c r="U58" s="256">
        <f t="shared" si="132"/>
        <v>1540</v>
      </c>
      <c r="V58" s="536">
        <f t="shared" si="145"/>
        <v>1520</v>
      </c>
      <c r="W58" s="256">
        <f t="shared" si="133"/>
        <v>1520</v>
      </c>
      <c r="X58" s="119"/>
      <c r="Y58" s="119"/>
      <c r="Z58" s="119"/>
      <c r="AA58" s="119"/>
      <c r="AB58" s="341" t="s">
        <v>896</v>
      </c>
    </row>
    <row r="59" spans="1:35" ht="12.6" customHeight="1" x14ac:dyDescent="0.2">
      <c r="A59" s="17"/>
      <c r="B59" s="699" t="s">
        <v>891</v>
      </c>
      <c r="C59" s="700"/>
      <c r="D59" s="700"/>
      <c r="E59" s="700"/>
      <c r="F59" s="270">
        <v>1080</v>
      </c>
      <c r="G59" s="299">
        <f t="shared" ref="G59" si="160">+F59*$X$1</f>
        <v>1080</v>
      </c>
      <c r="H59" s="251"/>
      <c r="I59" s="302"/>
      <c r="J59" s="371"/>
      <c r="K59" s="270"/>
      <c r="L59" s="527">
        <f t="shared" si="135"/>
        <v>1290</v>
      </c>
      <c r="M59" s="255">
        <f t="shared" ref="M59:M61" si="161">+L59*$X$1</f>
        <v>1290</v>
      </c>
      <c r="N59" s="527">
        <f t="shared" si="137"/>
        <v>1240</v>
      </c>
      <c r="O59" s="255">
        <f t="shared" ref="O59:O61" si="162">+N59*$X$1</f>
        <v>1240</v>
      </c>
      <c r="P59" s="527">
        <f t="shared" si="139"/>
        <v>1210</v>
      </c>
      <c r="Q59" s="255">
        <f t="shared" ref="Q59:Q61" si="163">+P59*$X$1</f>
        <v>1210</v>
      </c>
      <c r="R59" s="527">
        <f t="shared" si="141"/>
        <v>1190</v>
      </c>
      <c r="S59" s="255">
        <f t="shared" ref="S59:S61" si="164">+R59*$X$1</f>
        <v>1190</v>
      </c>
      <c r="T59" s="527">
        <f t="shared" si="143"/>
        <v>1170</v>
      </c>
      <c r="U59" s="255">
        <f t="shared" ref="U59:U61" si="165">+T59*$X$1</f>
        <v>1170</v>
      </c>
      <c r="V59" s="527">
        <f t="shared" si="145"/>
        <v>1150</v>
      </c>
      <c r="W59" s="255">
        <f t="shared" ref="W59:W61" si="166">+V59*$X$1</f>
        <v>1150</v>
      </c>
      <c r="X59" s="119"/>
      <c r="Y59" s="119"/>
      <c r="Z59" s="119"/>
      <c r="AA59" s="119"/>
      <c r="AB59" s="341" t="s">
        <v>897</v>
      </c>
    </row>
    <row r="60" spans="1:35" ht="12.6" customHeight="1" x14ac:dyDescent="0.2">
      <c r="A60" s="17"/>
      <c r="B60" s="725" t="s">
        <v>892</v>
      </c>
      <c r="C60" s="726"/>
      <c r="D60" s="726"/>
      <c r="E60" s="726"/>
      <c r="F60" s="280">
        <v>1100</v>
      </c>
      <c r="G60" s="427">
        <f t="shared" ref="G60:G64" si="167">+F60*$X$1</f>
        <v>1100</v>
      </c>
      <c r="H60" s="250"/>
      <c r="I60" s="303"/>
      <c r="J60" s="372"/>
      <c r="K60" s="280"/>
      <c r="L60" s="536">
        <f t="shared" si="135"/>
        <v>1310</v>
      </c>
      <c r="M60" s="256">
        <f t="shared" si="161"/>
        <v>1310</v>
      </c>
      <c r="N60" s="536">
        <f t="shared" si="137"/>
        <v>1260</v>
      </c>
      <c r="O60" s="256">
        <f t="shared" si="162"/>
        <v>1260</v>
      </c>
      <c r="P60" s="536">
        <f t="shared" si="139"/>
        <v>1230</v>
      </c>
      <c r="Q60" s="256">
        <f t="shared" si="163"/>
        <v>1230</v>
      </c>
      <c r="R60" s="536">
        <f t="shared" si="141"/>
        <v>1210</v>
      </c>
      <c r="S60" s="256">
        <f t="shared" si="164"/>
        <v>1210</v>
      </c>
      <c r="T60" s="536">
        <f t="shared" si="143"/>
        <v>1190</v>
      </c>
      <c r="U60" s="256">
        <f t="shared" si="165"/>
        <v>1190</v>
      </c>
      <c r="V60" s="536">
        <f t="shared" si="145"/>
        <v>1170</v>
      </c>
      <c r="W60" s="256">
        <f t="shared" si="166"/>
        <v>1170</v>
      </c>
      <c r="X60" s="119"/>
      <c r="Y60" s="119"/>
      <c r="Z60" s="119"/>
      <c r="AA60" s="119"/>
      <c r="AB60" s="341" t="s">
        <v>894</v>
      </c>
    </row>
    <row r="61" spans="1:35" ht="12.6" customHeight="1" x14ac:dyDescent="0.2">
      <c r="A61" s="17"/>
      <c r="B61" s="699" t="s">
        <v>893</v>
      </c>
      <c r="C61" s="700"/>
      <c r="D61" s="700"/>
      <c r="E61" s="700"/>
      <c r="F61" s="270">
        <v>794</v>
      </c>
      <c r="G61" s="299">
        <f t="shared" ref="G61" si="168">+F61*$X$1</f>
        <v>794</v>
      </c>
      <c r="H61" s="251"/>
      <c r="I61" s="302"/>
      <c r="J61" s="371"/>
      <c r="K61" s="270"/>
      <c r="L61" s="527">
        <f t="shared" si="135"/>
        <v>1004</v>
      </c>
      <c r="M61" s="255">
        <f t="shared" si="161"/>
        <v>1004</v>
      </c>
      <c r="N61" s="527">
        <f t="shared" si="137"/>
        <v>954</v>
      </c>
      <c r="O61" s="255">
        <f t="shared" si="162"/>
        <v>954</v>
      </c>
      <c r="P61" s="527">
        <f t="shared" si="139"/>
        <v>924</v>
      </c>
      <c r="Q61" s="255">
        <f t="shared" si="163"/>
        <v>924</v>
      </c>
      <c r="R61" s="527">
        <f t="shared" si="141"/>
        <v>904</v>
      </c>
      <c r="S61" s="255">
        <f t="shared" si="164"/>
        <v>904</v>
      </c>
      <c r="T61" s="527">
        <f t="shared" si="143"/>
        <v>884</v>
      </c>
      <c r="U61" s="255">
        <f t="shared" si="165"/>
        <v>884</v>
      </c>
      <c r="V61" s="527">
        <f t="shared" si="145"/>
        <v>864</v>
      </c>
      <c r="W61" s="255">
        <f t="shared" si="166"/>
        <v>864</v>
      </c>
      <c r="X61" s="119"/>
      <c r="Y61" s="119"/>
      <c r="Z61" s="119"/>
      <c r="AA61" s="119"/>
      <c r="AB61" s="341" t="s">
        <v>895</v>
      </c>
    </row>
    <row r="62" spans="1:35" ht="12.6" customHeight="1" x14ac:dyDescent="0.2">
      <c r="A62" s="17"/>
      <c r="B62" s="725" t="s">
        <v>701</v>
      </c>
      <c r="C62" s="726"/>
      <c r="D62" s="726"/>
      <c r="E62" s="726"/>
      <c r="F62" s="324">
        <f>2.57*X2</f>
        <v>3957.7999999999997</v>
      </c>
      <c r="G62" s="256">
        <f t="shared" si="167"/>
        <v>3957.7999999999997</v>
      </c>
      <c r="H62" s="82"/>
      <c r="I62" s="256"/>
      <c r="J62" s="82">
        <f>F62+280</f>
        <v>4237.7999999999993</v>
      </c>
      <c r="K62" s="256">
        <f t="shared" ref="K62" si="169">+J62*$X$1</f>
        <v>4237.7999999999993</v>
      </c>
      <c r="L62" s="536">
        <f t="shared" si="135"/>
        <v>4167.7999999999993</v>
      </c>
      <c r="M62" s="256">
        <f t="shared" ref="M62" si="170">+L62*$X$1</f>
        <v>4167.7999999999993</v>
      </c>
      <c r="N62" s="536">
        <f t="shared" si="137"/>
        <v>4117.7999999999993</v>
      </c>
      <c r="O62" s="256">
        <f t="shared" ref="O62" si="171">+N62*$X$1</f>
        <v>4117.7999999999993</v>
      </c>
      <c r="P62" s="536">
        <f t="shared" si="139"/>
        <v>4087.7999999999997</v>
      </c>
      <c r="Q62" s="256">
        <f t="shared" ref="Q62" si="172">+P62*$X$1</f>
        <v>4087.7999999999997</v>
      </c>
      <c r="R62" s="536">
        <f t="shared" si="141"/>
        <v>4067.7999999999997</v>
      </c>
      <c r="S62" s="256">
        <f t="shared" ref="S62" si="173">+R62*$X$1</f>
        <v>4067.7999999999997</v>
      </c>
      <c r="T62" s="536">
        <f t="shared" si="143"/>
        <v>4047.7999999999997</v>
      </c>
      <c r="U62" s="256">
        <f t="shared" ref="U62" si="174">+T62*$X$1</f>
        <v>4047.7999999999997</v>
      </c>
      <c r="V62" s="536">
        <f t="shared" si="145"/>
        <v>4027.7999999999997</v>
      </c>
      <c r="W62" s="256">
        <f t="shared" ref="W62" si="175">+V62*$X$1</f>
        <v>4027.7999999999997</v>
      </c>
      <c r="X62" s="119"/>
      <c r="Y62" s="119"/>
      <c r="Z62" s="119"/>
      <c r="AA62" s="119"/>
      <c r="AB62" s="339" t="s">
        <v>702</v>
      </c>
    </row>
    <row r="63" spans="1:35" ht="12.6" customHeight="1" x14ac:dyDescent="0.2">
      <c r="A63" s="17"/>
      <c r="B63" s="731" t="s">
        <v>987</v>
      </c>
      <c r="C63" s="732"/>
      <c r="D63" s="732"/>
      <c r="E63" s="733"/>
      <c r="F63" s="270">
        <v>1280</v>
      </c>
      <c r="G63" s="299">
        <f t="shared" si="134"/>
        <v>1280</v>
      </c>
      <c r="H63" s="251"/>
      <c r="I63" s="302"/>
      <c r="J63" s="68">
        <f>F63+320</f>
        <v>1600</v>
      </c>
      <c r="K63" s="255">
        <f t="shared" ref="K63" si="176">+J63*$X$1</f>
        <v>1600</v>
      </c>
      <c r="L63" s="527">
        <f>F63+240</f>
        <v>1520</v>
      </c>
      <c r="M63" s="255">
        <f t="shared" ref="M63" si="177">+L63*$X$1</f>
        <v>1520</v>
      </c>
      <c r="N63" s="527">
        <f>F63+210</f>
        <v>1490</v>
      </c>
      <c r="O63" s="255">
        <f t="shared" ref="O63" si="178">+N63*$X$1</f>
        <v>1490</v>
      </c>
      <c r="P63" s="527">
        <f>F63+180</f>
        <v>1460</v>
      </c>
      <c r="Q63" s="255">
        <f t="shared" ref="Q63" si="179">+P63*$X$1</f>
        <v>1460</v>
      </c>
      <c r="R63" s="527">
        <f>F63+150</f>
        <v>1430</v>
      </c>
      <c r="S63" s="255">
        <f t="shared" ref="S63" si="180">+R63*$X$1</f>
        <v>1430</v>
      </c>
      <c r="T63" s="527">
        <f>F63+120</f>
        <v>1400</v>
      </c>
      <c r="U63" s="255">
        <f t="shared" ref="U63" si="181">+T63*$X$1</f>
        <v>1400</v>
      </c>
      <c r="V63" s="527">
        <f>F63+100</f>
        <v>1380</v>
      </c>
      <c r="W63" s="255">
        <f t="shared" ref="W63" si="182">+V63*$X$1</f>
        <v>1380</v>
      </c>
      <c r="X63" s="119"/>
      <c r="Y63" s="119"/>
      <c r="Z63" s="119"/>
      <c r="AA63" s="119"/>
      <c r="AB63" s="339">
        <v>89</v>
      </c>
    </row>
    <row r="64" spans="1:35" ht="12.6" customHeight="1" x14ac:dyDescent="0.2">
      <c r="A64" s="17"/>
      <c r="B64" s="672" t="s">
        <v>986</v>
      </c>
      <c r="C64" s="673"/>
      <c r="D64" s="673"/>
      <c r="E64" s="674"/>
      <c r="F64" s="270">
        <v>1480</v>
      </c>
      <c r="G64" s="256">
        <f t="shared" si="167"/>
        <v>1480</v>
      </c>
      <c r="H64" s="250"/>
      <c r="I64" s="303"/>
      <c r="J64" s="82">
        <f>F64+320</f>
        <v>1800</v>
      </c>
      <c r="K64" s="256">
        <f t="shared" ref="K64" si="183">+J64*$X$1</f>
        <v>1800</v>
      </c>
      <c r="L64" s="536">
        <f>F64+240</f>
        <v>1720</v>
      </c>
      <c r="M64" s="256">
        <f t="shared" ref="M64" si="184">+L64*$X$1</f>
        <v>1720</v>
      </c>
      <c r="N64" s="536">
        <f>F64+210</f>
        <v>1690</v>
      </c>
      <c r="O64" s="256">
        <f t="shared" ref="O64:O65" si="185">+N64*$X$1</f>
        <v>1690</v>
      </c>
      <c r="P64" s="536">
        <f>F64+180</f>
        <v>1660</v>
      </c>
      <c r="Q64" s="256">
        <f t="shared" ref="Q64:Q65" si="186">+P64*$X$1</f>
        <v>1660</v>
      </c>
      <c r="R64" s="536">
        <f>F64+150</f>
        <v>1630</v>
      </c>
      <c r="S64" s="256">
        <f t="shared" ref="S64:S65" si="187">+R64*$X$1</f>
        <v>1630</v>
      </c>
      <c r="T64" s="536">
        <f>F64+120</f>
        <v>1600</v>
      </c>
      <c r="U64" s="256">
        <f t="shared" ref="U64:U65" si="188">+T64*$X$1</f>
        <v>1600</v>
      </c>
      <c r="V64" s="536">
        <f>F64+100</f>
        <v>1580</v>
      </c>
      <c r="W64" s="256">
        <f t="shared" ref="W64:W65" si="189">+V64*$X$1</f>
        <v>1580</v>
      </c>
      <c r="X64" s="119"/>
      <c r="Y64" s="119"/>
      <c r="Z64" s="119"/>
      <c r="AA64" s="119"/>
      <c r="AB64" s="339" t="s">
        <v>988</v>
      </c>
    </row>
    <row r="65" spans="1:38" ht="12.6" customHeight="1" x14ac:dyDescent="0.2">
      <c r="A65" s="17"/>
      <c r="B65" s="748" t="s">
        <v>453</v>
      </c>
      <c r="C65" s="679"/>
      <c r="D65" s="679"/>
      <c r="E65" s="679"/>
      <c r="F65" s="255">
        <v>667</v>
      </c>
      <c r="G65" s="299">
        <f t="shared" si="134"/>
        <v>667</v>
      </c>
      <c r="H65" s="251"/>
      <c r="I65" s="302"/>
      <c r="J65" s="68"/>
      <c r="K65" s="234"/>
      <c r="L65" s="527"/>
      <c r="M65" s="234"/>
      <c r="N65" s="527">
        <f>F65+160</f>
        <v>827</v>
      </c>
      <c r="O65" s="255">
        <f t="shared" si="185"/>
        <v>827</v>
      </c>
      <c r="P65" s="527">
        <f>F65+130</f>
        <v>797</v>
      </c>
      <c r="Q65" s="255">
        <f t="shared" si="186"/>
        <v>797</v>
      </c>
      <c r="R65" s="527">
        <f>F65+110</f>
        <v>777</v>
      </c>
      <c r="S65" s="255">
        <f t="shared" si="187"/>
        <v>777</v>
      </c>
      <c r="T65" s="527">
        <f>F65+90</f>
        <v>757</v>
      </c>
      <c r="U65" s="255">
        <f t="shared" si="188"/>
        <v>757</v>
      </c>
      <c r="V65" s="527">
        <f>F65+70</f>
        <v>737</v>
      </c>
      <c r="W65" s="255">
        <f t="shared" si="189"/>
        <v>737</v>
      </c>
      <c r="X65" s="131"/>
      <c r="Y65" s="131"/>
      <c r="Z65" s="131" t="s">
        <v>70</v>
      </c>
      <c r="AA65" s="119"/>
      <c r="AB65" s="339">
        <v>91</v>
      </c>
    </row>
    <row r="66" spans="1:38" ht="12.6" customHeight="1" x14ac:dyDescent="0.2">
      <c r="A66" s="17"/>
      <c r="B66" s="952" t="s">
        <v>71</v>
      </c>
      <c r="C66" s="953"/>
      <c r="D66" s="953"/>
      <c r="E66" s="954"/>
      <c r="F66" s="256">
        <v>290</v>
      </c>
      <c r="G66" s="275">
        <f t="shared" si="134"/>
        <v>290</v>
      </c>
      <c r="H66" s="250"/>
      <c r="I66" s="303"/>
      <c r="J66" s="82"/>
      <c r="K66" s="269"/>
      <c r="L66" s="536"/>
      <c r="M66" s="269"/>
      <c r="N66" s="536">
        <f>F66+160</f>
        <v>450</v>
      </c>
      <c r="O66" s="256">
        <f t="shared" ref="O66" si="190">+N66*$X$1</f>
        <v>450</v>
      </c>
      <c r="P66" s="536">
        <f>F66+130</f>
        <v>420</v>
      </c>
      <c r="Q66" s="256">
        <f t="shared" ref="Q66" si="191">+P66*$X$1</f>
        <v>420</v>
      </c>
      <c r="R66" s="536">
        <f>F66+110</f>
        <v>400</v>
      </c>
      <c r="S66" s="256">
        <f t="shared" ref="S66" si="192">+R66*$X$1</f>
        <v>400</v>
      </c>
      <c r="T66" s="536">
        <f>F66+90</f>
        <v>380</v>
      </c>
      <c r="U66" s="256">
        <f t="shared" ref="U66" si="193">+T66*$X$1</f>
        <v>380</v>
      </c>
      <c r="V66" s="536">
        <f>F66+70</f>
        <v>360</v>
      </c>
      <c r="W66" s="256">
        <f t="shared" ref="W66" si="194">+V66*$X$1</f>
        <v>360</v>
      </c>
      <c r="X66" s="131"/>
      <c r="Y66" s="131"/>
      <c r="Z66" s="131"/>
      <c r="AA66" s="119"/>
      <c r="AB66" s="339" t="s">
        <v>72</v>
      </c>
    </row>
    <row r="67" spans="1:38" ht="12.6" customHeight="1" x14ac:dyDescent="0.2">
      <c r="A67" s="17"/>
      <c r="B67" s="967" t="s">
        <v>310</v>
      </c>
      <c r="C67" s="968"/>
      <c r="D67" s="968"/>
      <c r="E67" s="969"/>
      <c r="F67" s="255"/>
      <c r="G67" s="276"/>
      <c r="H67" s="251"/>
      <c r="I67" s="251"/>
      <c r="J67" s="68"/>
      <c r="K67" s="87"/>
      <c r="L67" s="527"/>
      <c r="M67" s="234"/>
      <c r="N67" s="93"/>
      <c r="O67" s="234"/>
      <c r="P67" s="93"/>
      <c r="Q67" s="255"/>
      <c r="R67" s="93"/>
      <c r="S67" s="234"/>
      <c r="T67" s="93"/>
      <c r="U67" s="234"/>
      <c r="V67" s="93"/>
      <c r="W67" s="255"/>
      <c r="X67" s="131"/>
      <c r="Y67" s="131"/>
      <c r="Z67" s="131"/>
      <c r="AA67" s="119"/>
      <c r="AB67" s="32"/>
    </row>
    <row r="68" spans="1:38" ht="12.6" customHeight="1" x14ac:dyDescent="0.2">
      <c r="A68" s="17"/>
      <c r="B68" s="952" t="s">
        <v>311</v>
      </c>
      <c r="C68" s="953"/>
      <c r="D68" s="953"/>
      <c r="E68" s="954"/>
      <c r="F68" s="256"/>
      <c r="G68" s="275"/>
      <c r="H68" s="250"/>
      <c r="I68" s="250"/>
      <c r="J68" s="82"/>
      <c r="K68" s="85"/>
      <c r="L68" s="536"/>
      <c r="M68" s="269"/>
      <c r="N68" s="92"/>
      <c r="O68" s="269"/>
      <c r="P68" s="92"/>
      <c r="Q68" s="256"/>
      <c r="R68" s="92"/>
      <c r="S68" s="269"/>
      <c r="T68" s="92"/>
      <c r="U68" s="269"/>
      <c r="V68" s="92"/>
      <c r="W68" s="256"/>
      <c r="X68" s="131"/>
      <c r="Y68" s="131"/>
      <c r="Z68" s="131"/>
      <c r="AA68" s="119"/>
      <c r="AB68" s="32"/>
    </row>
    <row r="69" spans="1:38" ht="12.6" customHeight="1" x14ac:dyDescent="0.2">
      <c r="A69" s="17"/>
      <c r="B69" s="748" t="s">
        <v>73</v>
      </c>
      <c r="C69" s="679"/>
      <c r="D69" s="679"/>
      <c r="E69" s="679"/>
      <c r="F69" s="255">
        <v>5970</v>
      </c>
      <c r="G69" s="276">
        <f t="shared" si="134"/>
        <v>5970</v>
      </c>
      <c r="H69" s="68">
        <f>F69+700</f>
        <v>6670</v>
      </c>
      <c r="I69" s="255">
        <f>+H69*$X$1</f>
        <v>6670</v>
      </c>
      <c r="J69" s="68">
        <f>F69+280</f>
        <v>6250</v>
      </c>
      <c r="K69" s="255">
        <f t="shared" ref="K69" si="195">+J69*$X$1</f>
        <v>6250</v>
      </c>
      <c r="L69" s="527">
        <f>F69+210</f>
        <v>6180</v>
      </c>
      <c r="M69" s="255">
        <f t="shared" ref="M69" si="196">+L69*$X$1</f>
        <v>6180</v>
      </c>
      <c r="N69" s="527">
        <f>F69+160</f>
        <v>6130</v>
      </c>
      <c r="O69" s="255">
        <f t="shared" ref="O69" si="197">+N69*$X$1</f>
        <v>6130</v>
      </c>
      <c r="P69" s="527">
        <f>F69+130</f>
        <v>6100</v>
      </c>
      <c r="Q69" s="255">
        <f t="shared" ref="Q69" si="198">+P69*$X$1</f>
        <v>6100</v>
      </c>
      <c r="R69" s="527">
        <f>F69+110</f>
        <v>6080</v>
      </c>
      <c r="S69" s="255">
        <f t="shared" ref="S69" si="199">+R69*$X$1</f>
        <v>6080</v>
      </c>
      <c r="T69" s="527">
        <f>F69+90</f>
        <v>6060</v>
      </c>
      <c r="U69" s="255">
        <f t="shared" ref="U69" si="200">+T69*$X$1</f>
        <v>6060</v>
      </c>
      <c r="V69" s="527">
        <f>F69+70</f>
        <v>6040</v>
      </c>
      <c r="W69" s="255">
        <f t="shared" ref="W69" si="201">+V69*$X$1</f>
        <v>6040</v>
      </c>
      <c r="X69" s="121"/>
      <c r="Y69" s="119"/>
      <c r="Z69" s="119"/>
      <c r="AA69" s="119"/>
      <c r="AB69" s="339">
        <v>92</v>
      </c>
    </row>
    <row r="70" spans="1:38" ht="12.6" customHeight="1" x14ac:dyDescent="0.25">
      <c r="A70" s="54"/>
      <c r="B70" s="632" t="s">
        <v>421</v>
      </c>
      <c r="C70" s="658"/>
      <c r="D70" s="658"/>
      <c r="E70" s="658"/>
      <c r="F70" s="256"/>
      <c r="G70" s="269"/>
      <c r="H70" s="226"/>
      <c r="I70" s="858" t="s">
        <v>429</v>
      </c>
      <c r="J70" s="859"/>
      <c r="K70" s="859"/>
      <c r="L70" s="860"/>
      <c r="M70" s="861"/>
      <c r="N70" s="536">
        <v>1020</v>
      </c>
      <c r="O70" s="275">
        <f>+N70*$X$1</f>
        <v>1020</v>
      </c>
      <c r="P70" s="252">
        <v>980</v>
      </c>
      <c r="Q70" s="300">
        <f>+P70*$X$1</f>
        <v>980</v>
      </c>
      <c r="R70" s="536">
        <v>925</v>
      </c>
      <c r="S70" s="269">
        <f>+R70*$X$1</f>
        <v>925</v>
      </c>
      <c r="T70" s="536">
        <v>880</v>
      </c>
      <c r="U70" s="256">
        <f>+T70*$X$1</f>
        <v>880</v>
      </c>
      <c r="V70" s="536">
        <v>805</v>
      </c>
      <c r="W70" s="256">
        <f>+V70*$X$1</f>
        <v>805</v>
      </c>
      <c r="X70" s="729"/>
      <c r="Y70" s="729"/>
      <c r="Z70" s="729"/>
      <c r="AA70" s="729"/>
      <c r="AB70" s="178" t="s">
        <v>422</v>
      </c>
    </row>
    <row r="71" spans="1:38" ht="12.6" customHeight="1" x14ac:dyDescent="0.25">
      <c r="A71" s="54"/>
      <c r="B71" s="748" t="s">
        <v>301</v>
      </c>
      <c r="C71" s="682"/>
      <c r="D71" s="682"/>
      <c r="E71" s="682"/>
      <c r="F71" s="255"/>
      <c r="G71" s="234"/>
      <c r="H71" s="96"/>
      <c r="I71" s="962" t="s">
        <v>429</v>
      </c>
      <c r="J71" s="963"/>
      <c r="K71" s="963"/>
      <c r="L71" s="964"/>
      <c r="M71" s="965"/>
      <c r="N71" s="527">
        <v>1120</v>
      </c>
      <c r="O71" s="276">
        <f>+N71*$X$1</f>
        <v>1120</v>
      </c>
      <c r="P71" s="261">
        <v>1080</v>
      </c>
      <c r="Q71" s="271">
        <f>+P71*$X$1</f>
        <v>1080</v>
      </c>
      <c r="R71" s="527">
        <v>990</v>
      </c>
      <c r="S71" s="234">
        <f>+R71*$X$1</f>
        <v>990</v>
      </c>
      <c r="T71" s="527">
        <v>960</v>
      </c>
      <c r="U71" s="255">
        <f>+T71*$X$1</f>
        <v>960</v>
      </c>
      <c r="V71" s="527">
        <v>870</v>
      </c>
      <c r="W71" s="255">
        <f>+V71*$X$1</f>
        <v>870</v>
      </c>
      <c r="X71" s="729"/>
      <c r="Y71" s="729"/>
      <c r="Z71" s="729"/>
      <c r="AA71" s="729"/>
      <c r="AB71" s="178" t="s">
        <v>74</v>
      </c>
    </row>
    <row r="72" spans="1:38" ht="12.6" customHeight="1" x14ac:dyDescent="0.25">
      <c r="A72" s="54"/>
      <c r="B72" s="632" t="s">
        <v>423</v>
      </c>
      <c r="C72" s="658"/>
      <c r="D72" s="658"/>
      <c r="E72" s="658"/>
      <c r="F72" s="256"/>
      <c r="G72" s="597"/>
      <c r="H72" s="598"/>
      <c r="I72" s="858" t="s">
        <v>429</v>
      </c>
      <c r="J72" s="859"/>
      <c r="K72" s="859"/>
      <c r="L72" s="860"/>
      <c r="M72" s="861"/>
      <c r="N72" s="536">
        <v>1600</v>
      </c>
      <c r="O72" s="275">
        <f>+N72*$X$1</f>
        <v>1600</v>
      </c>
      <c r="P72" s="260">
        <v>1570</v>
      </c>
      <c r="Q72" s="300">
        <f>+P72*$X$1</f>
        <v>1570</v>
      </c>
      <c r="R72" s="536">
        <v>1500</v>
      </c>
      <c r="S72" s="269">
        <f>+R72*$X$1</f>
        <v>1500</v>
      </c>
      <c r="T72" s="536">
        <v>1475</v>
      </c>
      <c r="U72" s="256">
        <f>+T72*$X$1</f>
        <v>1475</v>
      </c>
      <c r="V72" s="536">
        <v>1390</v>
      </c>
      <c r="W72" s="256">
        <f>+V72*$X$1</f>
        <v>1390</v>
      </c>
      <c r="X72" s="729"/>
      <c r="Y72" s="729"/>
      <c r="Z72" s="729"/>
      <c r="AA72" s="729"/>
      <c r="AB72" s="178" t="s">
        <v>424</v>
      </c>
    </row>
    <row r="73" spans="1:38" s="6" customFormat="1" ht="12.6" customHeight="1" x14ac:dyDescent="0.25">
      <c r="A73" s="54"/>
      <c r="B73" s="961" t="s">
        <v>356</v>
      </c>
      <c r="C73" s="703"/>
      <c r="D73" s="703"/>
      <c r="E73" s="704"/>
      <c r="F73" s="255"/>
      <c r="G73" s="255"/>
      <c r="H73" s="527"/>
      <c r="I73" s="255"/>
      <c r="J73" s="594"/>
      <c r="K73" s="595"/>
      <c r="L73" s="596">
        <v>2760</v>
      </c>
      <c r="M73" s="255">
        <f>+L73*$X$1</f>
        <v>2760</v>
      </c>
      <c r="N73" s="527">
        <v>2490</v>
      </c>
      <c r="O73" s="276">
        <f>+N73*$X$1</f>
        <v>2490</v>
      </c>
      <c r="P73" s="327">
        <v>2300</v>
      </c>
      <c r="Q73" s="271">
        <f>+P73*$X$1</f>
        <v>2300</v>
      </c>
      <c r="R73" s="527">
        <v>2270</v>
      </c>
      <c r="S73" s="234">
        <f>+R73*$X$1</f>
        <v>2270</v>
      </c>
      <c r="T73" s="527">
        <v>2185</v>
      </c>
      <c r="U73" s="255">
        <f>+T73*$X$1</f>
        <v>2185</v>
      </c>
      <c r="V73" s="587"/>
      <c r="W73" s="311"/>
      <c r="X73" s="224"/>
      <c r="Y73" s="225"/>
      <c r="Z73" s="225"/>
      <c r="AA73" s="225"/>
      <c r="AB73" s="178" t="s">
        <v>75</v>
      </c>
      <c r="AC73" s="8"/>
      <c r="AD73" s="8"/>
      <c r="AE73" s="8"/>
      <c r="AF73" s="8"/>
      <c r="AG73" s="8"/>
      <c r="AH73" s="53"/>
      <c r="AI73" s="22"/>
      <c r="AJ73" s="53"/>
      <c r="AK73" s="8"/>
      <c r="AL73" s="8"/>
    </row>
    <row r="74" spans="1:38" s="6" customFormat="1" ht="12.6" customHeight="1" x14ac:dyDescent="0.25">
      <c r="A74" s="54"/>
      <c r="B74" s="849" t="s">
        <v>357</v>
      </c>
      <c r="C74" s="850"/>
      <c r="D74" s="850"/>
      <c r="E74" s="851"/>
      <c r="F74" s="256"/>
      <c r="G74" s="599"/>
      <c r="H74" s="92"/>
      <c r="I74" s="600"/>
      <c r="J74" s="601"/>
      <c r="K74" s="602"/>
      <c r="L74" s="603">
        <v>3700</v>
      </c>
      <c r="M74" s="256">
        <f>+L74*$X$1</f>
        <v>3700</v>
      </c>
      <c r="N74" s="536">
        <v>3490</v>
      </c>
      <c r="O74" s="600">
        <f>+N74*$X$1</f>
        <v>3490</v>
      </c>
      <c r="P74" s="328">
        <v>3400</v>
      </c>
      <c r="Q74" s="300">
        <f>+P74*$X$1</f>
        <v>3400</v>
      </c>
      <c r="R74" s="536">
        <v>3370</v>
      </c>
      <c r="S74" s="599">
        <f>+R74*$X$1</f>
        <v>3370</v>
      </c>
      <c r="T74" s="536">
        <v>3150</v>
      </c>
      <c r="U74" s="256">
        <f>+T74*$X$1</f>
        <v>3150</v>
      </c>
      <c r="V74" s="586"/>
      <c r="W74" s="312"/>
      <c r="X74" s="827"/>
      <c r="Y74" s="828"/>
      <c r="Z74" s="828"/>
      <c r="AA74" s="828"/>
      <c r="AB74" s="178" t="s">
        <v>76</v>
      </c>
      <c r="AC74" s="8"/>
      <c r="AD74" s="8"/>
      <c r="AE74" s="8"/>
      <c r="AF74" s="8"/>
      <c r="AG74" s="8"/>
      <c r="AH74" s="53"/>
      <c r="AI74" s="53"/>
      <c r="AJ74" s="53"/>
      <c r="AK74" s="8"/>
      <c r="AL74" s="8"/>
    </row>
    <row r="75" spans="1:38" ht="12.6" customHeight="1" x14ac:dyDescent="0.2">
      <c r="A75" s="88"/>
      <c r="B75" s="98"/>
      <c r="C75" s="64"/>
      <c r="D75" s="64"/>
      <c r="E75" s="64"/>
      <c r="F75" s="169"/>
      <c r="G75" s="169"/>
      <c r="H75" s="169"/>
      <c r="I75" s="169"/>
      <c r="J75" s="169"/>
      <c r="K75" s="169"/>
      <c r="L75" s="99"/>
      <c r="M75" s="99"/>
      <c r="N75" s="100"/>
      <c r="O75" s="100"/>
      <c r="P75" s="100"/>
      <c r="Q75" s="101"/>
      <c r="R75" s="81"/>
      <c r="S75" s="60"/>
      <c r="T75" s="60"/>
      <c r="U75" s="60"/>
      <c r="V75" s="60"/>
      <c r="W75" s="60"/>
      <c r="X75" s="72"/>
      <c r="AB75" s="97"/>
    </row>
    <row r="76" spans="1:38" ht="12.6" customHeight="1" x14ac:dyDescent="0.2">
      <c r="A76" s="88"/>
      <c r="B76" s="98"/>
      <c r="C76" s="508"/>
      <c r="D76" s="508"/>
      <c r="E76" s="508"/>
      <c r="F76" s="217"/>
      <c r="G76" s="217"/>
      <c r="H76" s="217"/>
      <c r="I76" s="217"/>
      <c r="J76" s="217"/>
      <c r="K76" s="217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218"/>
      <c r="D77" s="218"/>
      <c r="E77" s="2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5.75" customHeight="1" x14ac:dyDescent="0.2">
      <c r="A78" s="17"/>
      <c r="B78" s="789" t="s">
        <v>11</v>
      </c>
      <c r="C78" s="775" t="s">
        <v>12</v>
      </c>
      <c r="D78" s="776"/>
      <c r="E78" s="776"/>
      <c r="F78" s="650" t="s">
        <v>13</v>
      </c>
      <c r="G78" s="650" t="s">
        <v>13</v>
      </c>
      <c r="H78" s="695" t="s">
        <v>723</v>
      </c>
      <c r="I78" s="695"/>
      <c r="J78" s="696"/>
      <c r="K78" s="696"/>
      <c r="L78" s="696"/>
      <c r="M78" s="696"/>
      <c r="N78" s="696"/>
      <c r="O78" s="696"/>
      <c r="P78" s="696"/>
      <c r="Q78" s="696"/>
      <c r="R78" s="696"/>
      <c r="S78" s="696"/>
      <c r="T78" s="696"/>
      <c r="U78" s="696"/>
      <c r="V78" s="696"/>
      <c r="W78" s="696"/>
      <c r="X78" s="739" t="s">
        <v>14</v>
      </c>
      <c r="Y78" s="740"/>
      <c r="Z78" s="740"/>
      <c r="AA78" s="741"/>
      <c r="AB78" s="638" t="s">
        <v>15</v>
      </c>
      <c r="AF78" s="640" t="s">
        <v>3</v>
      </c>
      <c r="AG78" s="641"/>
      <c r="AH78" s="641"/>
    </row>
    <row r="79" spans="1:38" ht="12" customHeight="1" x14ac:dyDescent="0.2">
      <c r="A79" s="17"/>
      <c r="B79" s="789"/>
      <c r="C79" s="776"/>
      <c r="D79" s="776"/>
      <c r="E79" s="776"/>
      <c r="F79" s="651"/>
      <c r="G79" s="651"/>
      <c r="H79" s="400"/>
      <c r="I79" s="398" t="s">
        <v>261</v>
      </c>
      <c r="J79" s="400"/>
      <c r="K79" s="398" t="s">
        <v>17</v>
      </c>
      <c r="L79" s="401"/>
      <c r="M79" s="401" t="s">
        <v>18</v>
      </c>
      <c r="N79" s="401"/>
      <c r="O79" s="398" t="s">
        <v>19</v>
      </c>
      <c r="P79" s="401"/>
      <c r="Q79" s="401" t="s">
        <v>262</v>
      </c>
      <c r="R79" s="401"/>
      <c r="S79" s="401" t="s">
        <v>20</v>
      </c>
      <c r="T79" s="401"/>
      <c r="U79" s="401" t="s">
        <v>21</v>
      </c>
      <c r="V79" s="401"/>
      <c r="W79" s="401" t="s">
        <v>22</v>
      </c>
      <c r="X79" s="742"/>
      <c r="Y79" s="743"/>
      <c r="Z79" s="743"/>
      <c r="AA79" s="744"/>
      <c r="AB79" s="639"/>
    </row>
    <row r="80" spans="1:38" ht="12.6" customHeight="1" x14ac:dyDescent="0.2">
      <c r="A80" s="17"/>
      <c r="B80" s="745" t="s">
        <v>77</v>
      </c>
      <c r="C80" s="700"/>
      <c r="D80" s="700"/>
      <c r="E80" s="840"/>
      <c r="F80" s="844" t="s">
        <v>600</v>
      </c>
      <c r="G80" s="845"/>
      <c r="H80" s="845"/>
      <c r="I80" s="845"/>
      <c r="J80" s="554"/>
      <c r="K80" s="407"/>
      <c r="L80" s="555"/>
      <c r="M80" s="270"/>
      <c r="N80" s="93"/>
      <c r="O80" s="299"/>
      <c r="P80" s="556"/>
      <c r="Q80" s="299"/>
      <c r="R80" s="93"/>
      <c r="S80" s="270"/>
      <c r="T80" s="93"/>
      <c r="U80" s="270"/>
      <c r="V80" s="93"/>
      <c r="W80" s="270"/>
      <c r="X80" s="119"/>
      <c r="Y80" s="119"/>
      <c r="Z80" s="119"/>
      <c r="AA80" s="119"/>
      <c r="AB80" s="346" t="s">
        <v>78</v>
      </c>
      <c r="AC80" s="342" t="s">
        <v>79</v>
      </c>
      <c r="AD80" s="342" t="s">
        <v>80</v>
      </c>
      <c r="AE80" s="342" t="s">
        <v>81</v>
      </c>
      <c r="AF80" s="342" t="s">
        <v>82</v>
      </c>
      <c r="AG80" s="342" t="s">
        <v>83</v>
      </c>
    </row>
    <row r="81" spans="1:34" ht="12.6" customHeight="1" x14ac:dyDescent="0.2">
      <c r="A81" s="17"/>
      <c r="B81" s="657" t="s">
        <v>84</v>
      </c>
      <c r="C81" s="633"/>
      <c r="D81" s="633"/>
      <c r="E81" s="825"/>
      <c r="F81" s="846"/>
      <c r="G81" s="845"/>
      <c r="H81" s="845"/>
      <c r="I81" s="845"/>
      <c r="J81" s="237"/>
      <c r="K81" s="250"/>
      <c r="L81" s="266"/>
      <c r="M81" s="256"/>
      <c r="N81" s="92"/>
      <c r="O81" s="275"/>
      <c r="P81" s="252"/>
      <c r="Q81" s="300"/>
      <c r="R81" s="92"/>
      <c r="S81" s="269"/>
      <c r="T81" s="92"/>
      <c r="U81" s="256"/>
      <c r="V81" s="536"/>
      <c r="W81" s="256"/>
      <c r="X81" s="122"/>
      <c r="Y81" s="122"/>
      <c r="Z81" s="122"/>
      <c r="AA81" s="122"/>
      <c r="AB81" s="346" t="s">
        <v>85</v>
      </c>
      <c r="AC81" s="342" t="s">
        <v>86</v>
      </c>
      <c r="AD81" s="342" t="s">
        <v>87</v>
      </c>
      <c r="AE81" s="342" t="s">
        <v>88</v>
      </c>
      <c r="AF81" s="342" t="s">
        <v>89</v>
      </c>
      <c r="AG81" s="342" t="s">
        <v>90</v>
      </c>
      <c r="AH81" s="342" t="s">
        <v>91</v>
      </c>
    </row>
    <row r="82" spans="1:34" ht="12.6" customHeight="1" x14ac:dyDescent="0.25">
      <c r="A82" s="17"/>
      <c r="B82" s="678" t="s">
        <v>92</v>
      </c>
      <c r="C82" s="679"/>
      <c r="D82" s="679"/>
      <c r="E82" s="826"/>
      <c r="F82" s="846"/>
      <c r="G82" s="845"/>
      <c r="H82" s="845"/>
      <c r="I82" s="845"/>
      <c r="J82" s="239"/>
      <c r="K82" s="251"/>
      <c r="L82" s="417"/>
      <c r="M82" s="255"/>
      <c r="N82" s="527"/>
      <c r="O82" s="276"/>
      <c r="P82" s="281"/>
      <c r="Q82" s="271"/>
      <c r="R82" s="527"/>
      <c r="S82" s="234"/>
      <c r="T82" s="527"/>
      <c r="U82" s="255"/>
      <c r="V82" s="527"/>
      <c r="W82" s="255"/>
      <c r="X82" s="816"/>
      <c r="Y82" s="817"/>
      <c r="Z82" s="817"/>
      <c r="AA82" s="171"/>
      <c r="AB82" s="346" t="s">
        <v>93</v>
      </c>
      <c r="AC82" s="342" t="s">
        <v>94</v>
      </c>
      <c r="AD82" s="342" t="s">
        <v>95</v>
      </c>
      <c r="AE82" s="342" t="s">
        <v>96</v>
      </c>
      <c r="AF82" s="342" t="s">
        <v>97</v>
      </c>
      <c r="AG82" s="347" t="s">
        <v>98</v>
      </c>
      <c r="AH82" s="342" t="s">
        <v>99</v>
      </c>
    </row>
    <row r="83" spans="1:34" ht="12.6" customHeight="1" x14ac:dyDescent="0.25">
      <c r="A83" s="17"/>
      <c r="B83" s="657" t="s">
        <v>100</v>
      </c>
      <c r="C83" s="633"/>
      <c r="D83" s="633"/>
      <c r="E83" s="825"/>
      <c r="F83" s="846"/>
      <c r="G83" s="845"/>
      <c r="H83" s="845"/>
      <c r="I83" s="845"/>
      <c r="J83" s="237"/>
      <c r="K83" s="250"/>
      <c r="L83" s="266"/>
      <c r="M83" s="256"/>
      <c r="N83" s="536"/>
      <c r="O83" s="275"/>
      <c r="P83" s="252"/>
      <c r="Q83" s="300"/>
      <c r="R83" s="536"/>
      <c r="S83" s="269"/>
      <c r="T83" s="536"/>
      <c r="U83" s="256"/>
      <c r="V83" s="536"/>
      <c r="W83" s="256"/>
      <c r="X83" s="816"/>
      <c r="Y83" s="817"/>
      <c r="Z83" s="817"/>
      <c r="AA83" s="171"/>
      <c r="AB83" s="346" t="s">
        <v>101</v>
      </c>
      <c r="AC83" s="348" t="s">
        <v>102</v>
      </c>
      <c r="AD83" s="348" t="s">
        <v>103</v>
      </c>
      <c r="AE83" s="348" t="s">
        <v>104</v>
      </c>
      <c r="AF83" s="348" t="s">
        <v>105</v>
      </c>
      <c r="AG83" s="28"/>
    </row>
    <row r="84" spans="1:34" ht="12.6" customHeight="1" x14ac:dyDescent="0.2">
      <c r="A84" s="17"/>
      <c r="B84" s="678" t="s">
        <v>106</v>
      </c>
      <c r="C84" s="679"/>
      <c r="D84" s="679"/>
      <c r="E84" s="826"/>
      <c r="F84" s="846"/>
      <c r="G84" s="845"/>
      <c r="H84" s="845"/>
      <c r="I84" s="845"/>
      <c r="J84" s="239"/>
      <c r="K84" s="251"/>
      <c r="L84" s="417"/>
      <c r="M84" s="255"/>
      <c r="N84" s="527"/>
      <c r="O84" s="276"/>
      <c r="P84" s="281"/>
      <c r="Q84" s="271"/>
      <c r="R84" s="527"/>
      <c r="S84" s="234"/>
      <c r="T84" s="527"/>
      <c r="U84" s="255"/>
      <c r="V84" s="527"/>
      <c r="W84" s="255"/>
      <c r="X84" s="136"/>
      <c r="Y84" s="136"/>
      <c r="Z84" s="136"/>
      <c r="AA84" s="136"/>
      <c r="AB84" s="29" t="s">
        <v>107</v>
      </c>
      <c r="AC84" s="342" t="s">
        <v>108</v>
      </c>
      <c r="AD84" s="342" t="s">
        <v>109</v>
      </c>
      <c r="AE84" s="342" t="s">
        <v>110</v>
      </c>
      <c r="AF84" s="342" t="s">
        <v>111</v>
      </c>
      <c r="AG84" s="342" t="s">
        <v>112</v>
      </c>
    </row>
    <row r="85" spans="1:34" ht="12.6" customHeight="1" x14ac:dyDescent="0.2">
      <c r="A85" s="17"/>
      <c r="B85" s="657" t="s">
        <v>113</v>
      </c>
      <c r="C85" s="633"/>
      <c r="D85" s="633"/>
      <c r="E85" s="825"/>
      <c r="F85" s="846"/>
      <c r="G85" s="845"/>
      <c r="H85" s="845"/>
      <c r="I85" s="845"/>
      <c r="J85" s="237"/>
      <c r="K85" s="250"/>
      <c r="L85" s="266"/>
      <c r="M85" s="256"/>
      <c r="N85" s="536"/>
      <c r="O85" s="275"/>
      <c r="P85" s="252"/>
      <c r="Q85" s="300"/>
      <c r="R85" s="536"/>
      <c r="S85" s="269"/>
      <c r="T85" s="536"/>
      <c r="U85" s="256"/>
      <c r="V85" s="536"/>
      <c r="W85" s="256"/>
      <c r="X85" s="136"/>
      <c r="Y85" s="136"/>
      <c r="Z85" s="136"/>
      <c r="AA85" s="136"/>
      <c r="AB85" s="29" t="s">
        <v>114</v>
      </c>
      <c r="AC85" s="348" t="s">
        <v>115</v>
      </c>
      <c r="AD85" s="348" t="s">
        <v>116</v>
      </c>
      <c r="AE85" s="348" t="s">
        <v>117</v>
      </c>
    </row>
    <row r="86" spans="1:34" ht="12.6" customHeight="1" x14ac:dyDescent="0.25">
      <c r="A86" s="17"/>
      <c r="B86" s="678" t="s">
        <v>963</v>
      </c>
      <c r="C86" s="679"/>
      <c r="D86" s="679"/>
      <c r="E86" s="826"/>
      <c r="F86" s="846"/>
      <c r="G86" s="845"/>
      <c r="H86" s="845"/>
      <c r="I86" s="845"/>
      <c r="J86" s="239"/>
      <c r="K86" s="251"/>
      <c r="L86" s="417"/>
      <c r="M86" s="255"/>
      <c r="N86" s="527"/>
      <c r="O86" s="276"/>
      <c r="P86" s="281"/>
      <c r="Q86" s="271"/>
      <c r="R86" s="527"/>
      <c r="S86" s="234"/>
      <c r="T86" s="527"/>
      <c r="U86" s="255"/>
      <c r="V86" s="527"/>
      <c r="W86" s="255"/>
      <c r="X86" s="816"/>
      <c r="Y86" s="817"/>
      <c r="Z86" s="817"/>
      <c r="AA86" s="171"/>
      <c r="AB86" s="29" t="s">
        <v>118</v>
      </c>
      <c r="AC86" s="342" t="s">
        <v>119</v>
      </c>
      <c r="AD86" s="342" t="s">
        <v>120</v>
      </c>
      <c r="AE86" s="342" t="s">
        <v>121</v>
      </c>
      <c r="AF86" s="342" t="s">
        <v>122</v>
      </c>
      <c r="AG86" s="342" t="s">
        <v>123</v>
      </c>
      <c r="AH86" s="342" t="s">
        <v>124</v>
      </c>
    </row>
    <row r="87" spans="1:34" ht="12.6" customHeight="1" x14ac:dyDescent="0.25">
      <c r="A87" s="17"/>
      <c r="B87" s="657" t="s">
        <v>125</v>
      </c>
      <c r="C87" s="633"/>
      <c r="D87" s="633"/>
      <c r="E87" s="825"/>
      <c r="F87" s="846"/>
      <c r="G87" s="845"/>
      <c r="H87" s="845"/>
      <c r="I87" s="845"/>
      <c r="J87" s="237"/>
      <c r="K87" s="250"/>
      <c r="L87" s="266"/>
      <c r="M87" s="256"/>
      <c r="N87" s="536"/>
      <c r="O87" s="275"/>
      <c r="P87" s="252"/>
      <c r="Q87" s="300"/>
      <c r="R87" s="536"/>
      <c r="S87" s="269"/>
      <c r="T87" s="536"/>
      <c r="U87" s="256"/>
      <c r="V87" s="536"/>
      <c r="W87" s="256"/>
      <c r="X87" s="816"/>
      <c r="Y87" s="817"/>
      <c r="Z87" s="817"/>
      <c r="AA87" s="171"/>
      <c r="AB87" s="344" t="s">
        <v>126</v>
      </c>
      <c r="AC87" s="61"/>
      <c r="AD87" s="61"/>
      <c r="AE87" s="61"/>
      <c r="AF87" s="61"/>
      <c r="AG87" s="61"/>
    </row>
    <row r="88" spans="1:34" ht="12.6" customHeight="1" x14ac:dyDescent="0.2">
      <c r="A88" s="17"/>
      <c r="B88" s="678" t="s">
        <v>127</v>
      </c>
      <c r="C88" s="679"/>
      <c r="D88" s="679"/>
      <c r="E88" s="826"/>
      <c r="F88" s="846"/>
      <c r="G88" s="845"/>
      <c r="H88" s="845"/>
      <c r="I88" s="845"/>
      <c r="J88" s="239"/>
      <c r="K88" s="251"/>
      <c r="L88" s="417"/>
      <c r="M88" s="255"/>
      <c r="N88" s="527"/>
      <c r="O88" s="276"/>
      <c r="P88" s="281"/>
      <c r="Q88" s="271"/>
      <c r="R88" s="527"/>
      <c r="S88" s="234"/>
      <c r="T88" s="527"/>
      <c r="U88" s="255"/>
      <c r="V88" s="527"/>
      <c r="W88" s="255"/>
      <c r="X88" s="135"/>
      <c r="Y88" s="135"/>
      <c r="Z88" s="135"/>
      <c r="AA88" s="135"/>
      <c r="AB88" s="342" t="s">
        <v>128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57" t="s">
        <v>129</v>
      </c>
      <c r="C89" s="633"/>
      <c r="D89" s="633"/>
      <c r="E89" s="825"/>
      <c r="F89" s="846"/>
      <c r="G89" s="845"/>
      <c r="H89" s="845"/>
      <c r="I89" s="845"/>
      <c r="J89" s="237"/>
      <c r="K89" s="250"/>
      <c r="L89" s="266"/>
      <c r="M89" s="256"/>
      <c r="N89" s="536"/>
      <c r="O89" s="275"/>
      <c r="P89" s="252"/>
      <c r="Q89" s="275"/>
      <c r="R89" s="536"/>
      <c r="S89" s="275"/>
      <c r="T89" s="536"/>
      <c r="U89" s="256"/>
      <c r="V89" s="536"/>
      <c r="W89" s="256"/>
      <c r="X89" s="135"/>
      <c r="Y89" s="135"/>
      <c r="Z89" s="135"/>
      <c r="AA89" s="135"/>
      <c r="AB89" s="342" t="s">
        <v>130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78" t="s">
        <v>131</v>
      </c>
      <c r="C90" s="679"/>
      <c r="D90" s="679"/>
      <c r="E90" s="826"/>
      <c r="F90" s="847"/>
      <c r="G90" s="848"/>
      <c r="H90" s="848"/>
      <c r="I90" s="848"/>
      <c r="J90" s="239"/>
      <c r="K90" s="251"/>
      <c r="L90" s="417"/>
      <c r="M90" s="255"/>
      <c r="N90" s="527"/>
      <c r="O90" s="307"/>
      <c r="P90" s="281"/>
      <c r="Q90" s="271"/>
      <c r="R90" s="102"/>
      <c r="S90" s="531"/>
      <c r="T90" s="527"/>
      <c r="U90" s="255"/>
      <c r="V90" s="527"/>
      <c r="W90" s="255"/>
      <c r="X90" s="119"/>
      <c r="Y90" s="119"/>
      <c r="Z90" s="119"/>
      <c r="AA90" s="119"/>
      <c r="AB90" s="345" t="s">
        <v>132</v>
      </c>
      <c r="AC90" s="342" t="s">
        <v>133</v>
      </c>
      <c r="AD90" s="342" t="s">
        <v>134</v>
      </c>
      <c r="AE90" s="342" t="s">
        <v>135</v>
      </c>
      <c r="AF90" s="342" t="s">
        <v>136</v>
      </c>
      <c r="AG90" s="342" t="s">
        <v>137</v>
      </c>
    </row>
    <row r="91" spans="1:34" ht="12.6" customHeight="1" x14ac:dyDescent="0.2">
      <c r="A91" s="17"/>
      <c r="B91" s="657" t="s">
        <v>417</v>
      </c>
      <c r="C91" s="633"/>
      <c r="D91" s="633"/>
      <c r="E91" s="633"/>
      <c r="F91" s="256"/>
      <c r="G91" s="300"/>
      <c r="H91" s="237"/>
      <c r="I91" s="553"/>
      <c r="J91" s="536"/>
      <c r="K91" s="256"/>
      <c r="L91" s="536"/>
      <c r="M91" s="256"/>
      <c r="N91" s="536"/>
      <c r="O91" s="256"/>
      <c r="P91" s="536"/>
      <c r="Q91" s="256"/>
      <c r="R91" s="536"/>
      <c r="S91" s="256"/>
      <c r="T91" s="536"/>
      <c r="U91" s="256"/>
      <c r="V91" s="82"/>
      <c r="W91" s="304"/>
      <c r="X91" s="146"/>
      <c r="Y91" s="122"/>
      <c r="Z91" s="122"/>
      <c r="AA91" s="125"/>
      <c r="AB91" s="343">
        <v>117</v>
      </c>
    </row>
    <row r="92" spans="1:34" ht="12.6" customHeight="1" x14ac:dyDescent="0.2">
      <c r="A92" s="17"/>
      <c r="B92" s="683" t="s">
        <v>435</v>
      </c>
      <c r="C92" s="703"/>
      <c r="D92" s="703"/>
      <c r="E92" s="704"/>
      <c r="F92" s="255"/>
      <c r="G92" s="271"/>
      <c r="H92" s="239"/>
      <c r="I92" s="251"/>
      <c r="J92" s="527"/>
      <c r="K92" s="255"/>
      <c r="L92" s="527"/>
      <c r="M92" s="255"/>
      <c r="N92" s="527"/>
      <c r="O92" s="255"/>
      <c r="P92" s="527"/>
      <c r="Q92" s="255"/>
      <c r="R92" s="527"/>
      <c r="S92" s="255"/>
      <c r="T92" s="527"/>
      <c r="U92" s="255"/>
      <c r="V92" s="68"/>
      <c r="W92" s="305"/>
      <c r="X92" s="146"/>
      <c r="Y92" s="122"/>
      <c r="Z92" s="122"/>
      <c r="AA92" s="125"/>
      <c r="AB92" s="343"/>
    </row>
    <row r="93" spans="1:34" ht="12.6" customHeight="1" x14ac:dyDescent="0.2">
      <c r="A93" s="17"/>
      <c r="B93" s="657" t="s">
        <v>418</v>
      </c>
      <c r="C93" s="633"/>
      <c r="D93" s="633"/>
      <c r="E93" s="633"/>
      <c r="F93" s="256"/>
      <c r="G93" s="300"/>
      <c r="H93" s="237"/>
      <c r="I93" s="250"/>
      <c r="J93" s="536"/>
      <c r="K93" s="256"/>
      <c r="L93" s="536"/>
      <c r="M93" s="256"/>
      <c r="N93" s="536"/>
      <c r="O93" s="256"/>
      <c r="P93" s="536"/>
      <c r="Q93" s="256"/>
      <c r="R93" s="536"/>
      <c r="S93" s="256"/>
      <c r="T93" s="536"/>
      <c r="U93" s="256"/>
      <c r="V93" s="82"/>
      <c r="W93" s="304"/>
      <c r="X93" s="146"/>
      <c r="Y93" s="122"/>
      <c r="Z93" s="122"/>
      <c r="AA93" s="125"/>
      <c r="AB93" s="343">
        <v>129</v>
      </c>
    </row>
    <row r="94" spans="1:34" ht="12.6" customHeight="1" x14ac:dyDescent="0.2">
      <c r="A94" s="94"/>
      <c r="B94" s="852" t="s">
        <v>350</v>
      </c>
      <c r="C94" s="853"/>
      <c r="D94" s="853"/>
      <c r="E94" s="853"/>
      <c r="F94" s="450">
        <v>790</v>
      </c>
      <c r="G94" s="456">
        <f t="shared" ref="G94:G98" si="202">+F94*$X$1</f>
        <v>790</v>
      </c>
      <c r="H94" s="452"/>
      <c r="I94" s="452"/>
      <c r="J94" s="520">
        <f t="shared" ref="J94:J103" si="203">F94+280</f>
        <v>1070</v>
      </c>
      <c r="K94" s="521">
        <f>+J94*$X$1</f>
        <v>1070</v>
      </c>
      <c r="L94" s="522">
        <f>F94+210</f>
        <v>1000</v>
      </c>
      <c r="M94" s="521">
        <f t="shared" ref="M94:M95" si="204">+L94*$X$1</f>
        <v>1000</v>
      </c>
      <c r="N94" s="457">
        <f>F94+7.2</f>
        <v>797.2</v>
      </c>
      <c r="O94" s="854" t="s">
        <v>138</v>
      </c>
      <c r="P94" s="855"/>
      <c r="Q94" s="855"/>
      <c r="R94" s="855"/>
      <c r="S94" s="855"/>
      <c r="T94" s="855"/>
      <c r="U94" s="855"/>
      <c r="V94" s="855"/>
      <c r="W94" s="855"/>
      <c r="X94" s="147"/>
      <c r="Y94" s="122"/>
      <c r="Z94" s="122"/>
      <c r="AA94" s="125"/>
      <c r="AB94" s="349">
        <v>247</v>
      </c>
    </row>
    <row r="95" spans="1:34" ht="12.6" customHeight="1" x14ac:dyDescent="0.2">
      <c r="A95" s="88"/>
      <c r="B95" s="642" t="s">
        <v>449</v>
      </c>
      <c r="C95" s="680"/>
      <c r="D95" s="680"/>
      <c r="E95" s="681"/>
      <c r="F95" s="324">
        <f>2.631*X2</f>
        <v>4051.74</v>
      </c>
      <c r="G95" s="275">
        <f>+F95*$X$1</f>
        <v>4051.74</v>
      </c>
      <c r="H95" s="536"/>
      <c r="I95" s="256"/>
      <c r="J95" s="82">
        <f t="shared" si="203"/>
        <v>4331.74</v>
      </c>
      <c r="K95" s="256">
        <f t="shared" ref="K95" si="205">+J95*$X$1</f>
        <v>4331.74</v>
      </c>
      <c r="L95" s="536">
        <f>F95+210</f>
        <v>4261.74</v>
      </c>
      <c r="M95" s="256">
        <f t="shared" si="204"/>
        <v>4261.74</v>
      </c>
      <c r="N95" s="536">
        <f>F95+160</f>
        <v>4211.74</v>
      </c>
      <c r="O95" s="256">
        <f t="shared" ref="O95" si="206">+N95*$X$1</f>
        <v>4211.74</v>
      </c>
      <c r="P95" s="536">
        <f>F95+130</f>
        <v>4181.74</v>
      </c>
      <c r="Q95" s="256">
        <f t="shared" ref="Q95" si="207">+P95*$X$1</f>
        <v>4181.74</v>
      </c>
      <c r="R95" s="536">
        <f>F95+110</f>
        <v>4161.74</v>
      </c>
      <c r="S95" s="256">
        <f t="shared" ref="S95" si="208">+R95*$X$1</f>
        <v>4161.74</v>
      </c>
      <c r="T95" s="536">
        <f>F95+90</f>
        <v>4141.74</v>
      </c>
      <c r="U95" s="256">
        <f t="shared" ref="U95" si="209">+T95*$X$1</f>
        <v>4141.74</v>
      </c>
      <c r="V95" s="536">
        <f>F95+70</f>
        <v>4121.74</v>
      </c>
      <c r="W95" s="256">
        <f t="shared" ref="W95" si="210">+V95*$X$1</f>
        <v>4121.74</v>
      </c>
      <c r="X95" s="147"/>
      <c r="Y95" s="122"/>
      <c r="Z95" s="122"/>
      <c r="AA95" s="125"/>
      <c r="AB95" s="349">
        <v>249</v>
      </c>
    </row>
    <row r="96" spans="1:34" ht="12.6" customHeight="1" x14ac:dyDescent="0.2">
      <c r="A96" s="17"/>
      <c r="B96" s="678" t="s">
        <v>322</v>
      </c>
      <c r="C96" s="679"/>
      <c r="D96" s="679"/>
      <c r="E96" s="679"/>
      <c r="F96" s="255">
        <v>690</v>
      </c>
      <c r="G96" s="255">
        <f t="shared" si="202"/>
        <v>690</v>
      </c>
      <c r="H96" s="251"/>
      <c r="I96" s="251"/>
      <c r="J96" s="103">
        <f t="shared" si="203"/>
        <v>970</v>
      </c>
      <c r="K96" s="255">
        <f t="shared" ref="K96:K102" si="211">+J96*$X$1</f>
        <v>970</v>
      </c>
      <c r="L96" s="527"/>
      <c r="M96" s="527"/>
      <c r="N96" s="527">
        <f>F96+23</f>
        <v>713</v>
      </c>
      <c r="O96" s="527"/>
      <c r="P96" s="251"/>
      <c r="Q96" s="251"/>
      <c r="R96" s="527">
        <f>F96+15</f>
        <v>705</v>
      </c>
      <c r="S96" s="527"/>
      <c r="T96" s="527">
        <f>F96+12</f>
        <v>702</v>
      </c>
      <c r="U96" s="527"/>
      <c r="V96" s="527">
        <f>F96+10</f>
        <v>700</v>
      </c>
      <c r="W96" s="527"/>
      <c r="X96" s="148"/>
      <c r="Y96" s="122"/>
      <c r="Z96" s="122"/>
      <c r="AA96" s="125"/>
      <c r="AB96" s="350" t="s">
        <v>139</v>
      </c>
    </row>
    <row r="97" spans="1:29" ht="12.6" customHeight="1" x14ac:dyDescent="0.2">
      <c r="A97" s="17"/>
      <c r="B97" s="642" t="s">
        <v>439</v>
      </c>
      <c r="C97" s="643"/>
      <c r="D97" s="643"/>
      <c r="E97" s="644"/>
      <c r="F97" s="324">
        <f>12.04*X2</f>
        <v>18541.599999999999</v>
      </c>
      <c r="G97" s="256">
        <f t="shared" si="202"/>
        <v>18541.599999999999</v>
      </c>
      <c r="H97" s="536">
        <f>F97+700</f>
        <v>19241.599999999999</v>
      </c>
      <c r="I97" s="256">
        <f t="shared" ref="I97:I100" si="212">+H97*$X$1</f>
        <v>19241.599999999999</v>
      </c>
      <c r="J97" s="82">
        <f t="shared" si="203"/>
        <v>18821.599999999999</v>
      </c>
      <c r="K97" s="256">
        <f t="shared" ref="K97:K100" si="213">+J97*$X$1</f>
        <v>18821.599999999999</v>
      </c>
      <c r="L97" s="536">
        <f t="shared" ref="L97:L103" si="214">F97+210</f>
        <v>18751.599999999999</v>
      </c>
      <c r="M97" s="256">
        <f t="shared" ref="M97:M100" si="215">+L97*$X$1</f>
        <v>18751.599999999999</v>
      </c>
      <c r="N97" s="536">
        <f t="shared" ref="N97:N103" si="216">F97+160</f>
        <v>18701.599999999999</v>
      </c>
      <c r="O97" s="256">
        <f t="shared" ref="O97:O100" si="217">+N97*$X$1</f>
        <v>18701.599999999999</v>
      </c>
      <c r="P97" s="536">
        <f t="shared" ref="P97:P103" si="218">F97+130</f>
        <v>18671.599999999999</v>
      </c>
      <c r="Q97" s="256">
        <f t="shared" ref="Q97:Q100" si="219">+P97*$X$1</f>
        <v>18671.599999999999</v>
      </c>
      <c r="R97" s="536">
        <f t="shared" ref="R97:R103" si="220">F97+110</f>
        <v>18651.599999999999</v>
      </c>
      <c r="S97" s="256">
        <f t="shared" ref="S97:S100" si="221">+R97*$X$1</f>
        <v>18651.599999999999</v>
      </c>
      <c r="T97" s="536">
        <f t="shared" ref="T97:T103" si="222">F97+90</f>
        <v>18631.599999999999</v>
      </c>
      <c r="U97" s="256">
        <f t="shared" ref="U97:U100" si="223">+T97*$X$1</f>
        <v>18631.599999999999</v>
      </c>
      <c r="V97" s="536">
        <f t="shared" ref="V97:V103" si="224">F97+70</f>
        <v>18611.599999999999</v>
      </c>
      <c r="W97" s="256">
        <f t="shared" ref="W97:W100" si="225">+V97*$X$1</f>
        <v>18611.599999999999</v>
      </c>
      <c r="X97" s="149"/>
      <c r="Y97" s="122"/>
      <c r="Z97" s="122"/>
      <c r="AA97" s="125"/>
      <c r="AB97" s="350">
        <v>268</v>
      </c>
    </row>
    <row r="98" spans="1:29" ht="12.6" customHeight="1" x14ac:dyDescent="0.2">
      <c r="A98" s="17"/>
      <c r="B98" s="678" t="s">
        <v>591</v>
      </c>
      <c r="C98" s="679"/>
      <c r="D98" s="679"/>
      <c r="E98" s="679"/>
      <c r="F98" s="323">
        <f>4.49*X2</f>
        <v>6914.6</v>
      </c>
      <c r="G98" s="255">
        <f t="shared" si="202"/>
        <v>6914.6</v>
      </c>
      <c r="H98" s="527">
        <f>F98+700</f>
        <v>7614.6</v>
      </c>
      <c r="I98" s="255">
        <f t="shared" si="212"/>
        <v>7614.6</v>
      </c>
      <c r="J98" s="68">
        <f t="shared" si="203"/>
        <v>7194.6</v>
      </c>
      <c r="K98" s="255">
        <f t="shared" si="213"/>
        <v>7194.6</v>
      </c>
      <c r="L98" s="527">
        <f t="shared" si="214"/>
        <v>7124.6</v>
      </c>
      <c r="M98" s="255">
        <f t="shared" si="215"/>
        <v>7124.6</v>
      </c>
      <c r="N98" s="527">
        <f t="shared" si="216"/>
        <v>7074.6</v>
      </c>
      <c r="O98" s="255">
        <f t="shared" si="217"/>
        <v>7074.6</v>
      </c>
      <c r="P98" s="527">
        <f t="shared" si="218"/>
        <v>7044.6</v>
      </c>
      <c r="Q98" s="255">
        <f t="shared" si="219"/>
        <v>7044.6</v>
      </c>
      <c r="R98" s="527">
        <f t="shared" si="220"/>
        <v>7024.6</v>
      </c>
      <c r="S98" s="255">
        <f t="shared" si="221"/>
        <v>7024.6</v>
      </c>
      <c r="T98" s="527">
        <f t="shared" si="222"/>
        <v>7004.6</v>
      </c>
      <c r="U98" s="255">
        <f t="shared" si="223"/>
        <v>7004.6</v>
      </c>
      <c r="V98" s="527">
        <f t="shared" si="224"/>
        <v>6984.6</v>
      </c>
      <c r="W98" s="255">
        <f t="shared" si="225"/>
        <v>6984.6</v>
      </c>
      <c r="X98" s="149"/>
      <c r="Y98" s="126"/>
      <c r="Z98" s="122"/>
      <c r="AA98" s="125"/>
      <c r="AB98" s="350">
        <v>270</v>
      </c>
      <c r="AC98" s="28"/>
    </row>
    <row r="99" spans="1:29" ht="12.6" customHeight="1" x14ac:dyDescent="0.2">
      <c r="A99" s="17"/>
      <c r="B99" s="657" t="s">
        <v>140</v>
      </c>
      <c r="C99" s="633"/>
      <c r="D99" s="633"/>
      <c r="E99" s="633"/>
      <c r="F99" s="324">
        <f>13.1*X2</f>
        <v>20174</v>
      </c>
      <c r="G99" s="256">
        <f t="shared" ref="G99:G100" si="226">+F99*$X$1</f>
        <v>20174</v>
      </c>
      <c r="H99" s="536">
        <f>F99+700</f>
        <v>20874</v>
      </c>
      <c r="I99" s="256">
        <f t="shared" si="212"/>
        <v>20874</v>
      </c>
      <c r="J99" s="82">
        <f t="shared" si="203"/>
        <v>20454</v>
      </c>
      <c r="K99" s="256">
        <f t="shared" si="213"/>
        <v>20454</v>
      </c>
      <c r="L99" s="536">
        <f t="shared" si="214"/>
        <v>20384</v>
      </c>
      <c r="M99" s="256">
        <f t="shared" si="215"/>
        <v>20384</v>
      </c>
      <c r="N99" s="536">
        <f t="shared" si="216"/>
        <v>20334</v>
      </c>
      <c r="O99" s="256">
        <f t="shared" si="217"/>
        <v>20334</v>
      </c>
      <c r="P99" s="536">
        <f t="shared" si="218"/>
        <v>20304</v>
      </c>
      <c r="Q99" s="256">
        <f t="shared" si="219"/>
        <v>20304</v>
      </c>
      <c r="R99" s="536">
        <f t="shared" si="220"/>
        <v>20284</v>
      </c>
      <c r="S99" s="256">
        <f t="shared" si="221"/>
        <v>20284</v>
      </c>
      <c r="T99" s="536">
        <f t="shared" si="222"/>
        <v>20264</v>
      </c>
      <c r="U99" s="256">
        <f t="shared" si="223"/>
        <v>20264</v>
      </c>
      <c r="V99" s="536">
        <f t="shared" si="224"/>
        <v>20244</v>
      </c>
      <c r="W99" s="256">
        <f t="shared" si="225"/>
        <v>20244</v>
      </c>
      <c r="X99" s="148"/>
      <c r="Y99" s="122"/>
      <c r="Z99" s="122"/>
      <c r="AA99" s="125"/>
      <c r="AB99" s="350">
        <v>273</v>
      </c>
      <c r="AC99" s="28"/>
    </row>
    <row r="100" spans="1:29" ht="12.6" customHeight="1" x14ac:dyDescent="0.2">
      <c r="A100" s="17"/>
      <c r="B100" s="678" t="s">
        <v>141</v>
      </c>
      <c r="C100" s="679"/>
      <c r="D100" s="679"/>
      <c r="E100" s="679"/>
      <c r="F100" s="323">
        <f>8.7*X2</f>
        <v>13397.999999999998</v>
      </c>
      <c r="G100" s="255">
        <f t="shared" si="226"/>
        <v>13397.999999999998</v>
      </c>
      <c r="H100" s="527">
        <f>F100+700</f>
        <v>14097.999999999998</v>
      </c>
      <c r="I100" s="255">
        <f t="shared" si="212"/>
        <v>14097.999999999998</v>
      </c>
      <c r="J100" s="68">
        <f t="shared" si="203"/>
        <v>13677.999999999998</v>
      </c>
      <c r="K100" s="255">
        <f t="shared" si="213"/>
        <v>13677.999999999998</v>
      </c>
      <c r="L100" s="527">
        <f t="shared" si="214"/>
        <v>13607.999999999998</v>
      </c>
      <c r="M100" s="255">
        <f t="shared" si="215"/>
        <v>13607.999999999998</v>
      </c>
      <c r="N100" s="527">
        <f t="shared" si="216"/>
        <v>13557.999999999998</v>
      </c>
      <c r="O100" s="255">
        <f t="shared" si="217"/>
        <v>13557.999999999998</v>
      </c>
      <c r="P100" s="527">
        <f t="shared" si="218"/>
        <v>13527.999999999998</v>
      </c>
      <c r="Q100" s="255">
        <f t="shared" si="219"/>
        <v>13527.999999999998</v>
      </c>
      <c r="R100" s="527">
        <f t="shared" si="220"/>
        <v>13507.999999999998</v>
      </c>
      <c r="S100" s="255">
        <f t="shared" si="221"/>
        <v>13507.999999999998</v>
      </c>
      <c r="T100" s="527">
        <f t="shared" si="222"/>
        <v>13487.999999999998</v>
      </c>
      <c r="U100" s="255">
        <f t="shared" si="223"/>
        <v>13487.999999999998</v>
      </c>
      <c r="V100" s="527">
        <f t="shared" si="224"/>
        <v>13467.999999999998</v>
      </c>
      <c r="W100" s="255">
        <f t="shared" si="225"/>
        <v>13467.999999999998</v>
      </c>
      <c r="X100" s="149"/>
      <c r="Y100" s="126"/>
      <c r="Z100" s="122"/>
      <c r="AA100" s="125"/>
      <c r="AB100" s="350">
        <v>278</v>
      </c>
      <c r="AC100" s="28"/>
    </row>
    <row r="101" spans="1:29" ht="12.6" customHeight="1" x14ac:dyDescent="0.2">
      <c r="A101" s="17"/>
      <c r="B101" s="657" t="s">
        <v>854</v>
      </c>
      <c r="C101" s="633"/>
      <c r="D101" s="633"/>
      <c r="E101" s="633"/>
      <c r="F101" s="324">
        <f>1.55*X2</f>
        <v>2387</v>
      </c>
      <c r="G101" s="256">
        <f>+F101*$X$1</f>
        <v>2387</v>
      </c>
      <c r="H101" s="82"/>
      <c r="I101" s="256"/>
      <c r="J101" s="82">
        <f t="shared" si="203"/>
        <v>2667</v>
      </c>
      <c r="K101" s="256">
        <f t="shared" si="211"/>
        <v>2667</v>
      </c>
      <c r="L101" s="536">
        <f t="shared" si="214"/>
        <v>2597</v>
      </c>
      <c r="M101" s="256">
        <f t="shared" ref="M101:M102" si="227">+L101*$X$1</f>
        <v>2597</v>
      </c>
      <c r="N101" s="536">
        <f t="shared" si="216"/>
        <v>2547</v>
      </c>
      <c r="O101" s="256">
        <f t="shared" ref="O101:O102" si="228">+N101*$X$1</f>
        <v>2547</v>
      </c>
      <c r="P101" s="536">
        <f t="shared" si="218"/>
        <v>2517</v>
      </c>
      <c r="Q101" s="256">
        <f t="shared" ref="Q101:Q102" si="229">+P101*$X$1</f>
        <v>2517</v>
      </c>
      <c r="R101" s="536">
        <f t="shared" si="220"/>
        <v>2497</v>
      </c>
      <c r="S101" s="256">
        <f t="shared" ref="S101:S102" si="230">+R101*$X$1</f>
        <v>2497</v>
      </c>
      <c r="T101" s="536">
        <f t="shared" si="222"/>
        <v>2477</v>
      </c>
      <c r="U101" s="256">
        <f t="shared" ref="U101:U102" si="231">+T101*$X$1</f>
        <v>2477</v>
      </c>
      <c r="V101" s="536">
        <f t="shared" si="224"/>
        <v>2457</v>
      </c>
      <c r="W101" s="256">
        <f t="shared" ref="W101:W102" si="232">+V101*$X$1</f>
        <v>2457</v>
      </c>
      <c r="X101" s="146"/>
      <c r="Y101" s="126"/>
      <c r="Z101" s="122"/>
      <c r="AA101" s="125"/>
      <c r="AB101" s="350">
        <v>285</v>
      </c>
      <c r="AC101" s="28"/>
    </row>
    <row r="102" spans="1:29" ht="12.6" customHeight="1" x14ac:dyDescent="0.2">
      <c r="A102" s="17"/>
      <c r="B102" s="856" t="s">
        <v>142</v>
      </c>
      <c r="C102" s="857"/>
      <c r="D102" s="857"/>
      <c r="E102" s="857"/>
      <c r="F102" s="323">
        <f>2.03*X2</f>
        <v>3126.2</v>
      </c>
      <c r="G102" s="255">
        <f>+F102*$X$1</f>
        <v>3126.2</v>
      </c>
      <c r="H102" s="527">
        <f>F102+700</f>
        <v>3826.2</v>
      </c>
      <c r="I102" s="255">
        <f t="shared" ref="I102" si="233">+H102*$X$1</f>
        <v>3826.2</v>
      </c>
      <c r="J102" s="68">
        <f t="shared" si="203"/>
        <v>3406.2</v>
      </c>
      <c r="K102" s="255">
        <f t="shared" si="211"/>
        <v>3406.2</v>
      </c>
      <c r="L102" s="527">
        <f t="shared" si="214"/>
        <v>3336.2</v>
      </c>
      <c r="M102" s="255">
        <f t="shared" si="227"/>
        <v>3336.2</v>
      </c>
      <c r="N102" s="527">
        <f t="shared" si="216"/>
        <v>3286.2</v>
      </c>
      <c r="O102" s="255">
        <f t="shared" si="228"/>
        <v>3286.2</v>
      </c>
      <c r="P102" s="527">
        <f t="shared" si="218"/>
        <v>3256.2</v>
      </c>
      <c r="Q102" s="255">
        <f t="shared" si="229"/>
        <v>3256.2</v>
      </c>
      <c r="R102" s="527">
        <f t="shared" si="220"/>
        <v>3236.2</v>
      </c>
      <c r="S102" s="255">
        <f t="shared" si="230"/>
        <v>3236.2</v>
      </c>
      <c r="T102" s="527">
        <f t="shared" si="222"/>
        <v>3216.2</v>
      </c>
      <c r="U102" s="255">
        <f t="shared" si="231"/>
        <v>3216.2</v>
      </c>
      <c r="V102" s="527">
        <f t="shared" si="224"/>
        <v>3196.2</v>
      </c>
      <c r="W102" s="255">
        <f t="shared" si="232"/>
        <v>3196.2</v>
      </c>
      <c r="X102" s="146"/>
      <c r="Y102" s="126"/>
      <c r="Z102" s="122"/>
      <c r="AA102" s="125"/>
      <c r="AB102" s="350">
        <v>288</v>
      </c>
      <c r="AC102" s="28"/>
    </row>
    <row r="103" spans="1:29" ht="12.6" customHeight="1" x14ac:dyDescent="0.2">
      <c r="A103" s="17"/>
      <c r="B103" s="657" t="s">
        <v>143</v>
      </c>
      <c r="C103" s="633"/>
      <c r="D103" s="633"/>
      <c r="E103" s="633"/>
      <c r="F103" s="256">
        <v>525</v>
      </c>
      <c r="G103" s="256">
        <f>+F103*$X$1</f>
        <v>525</v>
      </c>
      <c r="H103" s="82"/>
      <c r="I103" s="256"/>
      <c r="J103" s="82">
        <f t="shared" si="203"/>
        <v>805</v>
      </c>
      <c r="K103" s="256">
        <f t="shared" ref="K103" si="234">+J103*$X$1</f>
        <v>805</v>
      </c>
      <c r="L103" s="536">
        <f t="shared" si="214"/>
        <v>735</v>
      </c>
      <c r="M103" s="256">
        <f t="shared" ref="M103" si="235">+L103*$X$1</f>
        <v>735</v>
      </c>
      <c r="N103" s="536">
        <f t="shared" si="216"/>
        <v>685</v>
      </c>
      <c r="O103" s="256">
        <f t="shared" ref="O103" si="236">+N103*$X$1</f>
        <v>685</v>
      </c>
      <c r="P103" s="536">
        <f t="shared" si="218"/>
        <v>655</v>
      </c>
      <c r="Q103" s="256">
        <f t="shared" ref="Q103" si="237">+P103*$X$1</f>
        <v>655</v>
      </c>
      <c r="R103" s="536">
        <f t="shared" si="220"/>
        <v>635</v>
      </c>
      <c r="S103" s="256">
        <f t="shared" ref="S103" si="238">+R103*$X$1</f>
        <v>635</v>
      </c>
      <c r="T103" s="536">
        <f t="shared" si="222"/>
        <v>615</v>
      </c>
      <c r="U103" s="256">
        <f t="shared" ref="U103" si="239">+T103*$X$1</f>
        <v>615</v>
      </c>
      <c r="V103" s="536">
        <f t="shared" si="224"/>
        <v>595</v>
      </c>
      <c r="W103" s="256">
        <f t="shared" ref="W103" si="240">+V103*$X$1</f>
        <v>595</v>
      </c>
      <c r="X103" s="146"/>
      <c r="Y103" s="126"/>
      <c r="Z103" s="122"/>
      <c r="AA103" s="125"/>
      <c r="AB103" s="350">
        <v>289</v>
      </c>
      <c r="AC103" s="28"/>
    </row>
    <row r="104" spans="1:29" ht="12.6" customHeight="1" x14ac:dyDescent="0.2">
      <c r="A104" s="17"/>
      <c r="B104" s="678" t="s">
        <v>144</v>
      </c>
      <c r="C104" s="679"/>
      <c r="D104" s="679"/>
      <c r="E104" s="679"/>
      <c r="F104" s="255"/>
      <c r="G104" s="707" t="s">
        <v>869</v>
      </c>
      <c r="H104" s="708"/>
      <c r="I104" s="708"/>
      <c r="J104" s="708"/>
      <c r="K104" s="708"/>
      <c r="L104" s="708"/>
      <c r="M104" s="708"/>
      <c r="N104" s="532">
        <v>750</v>
      </c>
      <c r="O104" s="255">
        <f t="shared" ref="O104:Q107" si="241">+N104*$X$1</f>
        <v>750</v>
      </c>
      <c r="P104" s="281">
        <v>724</v>
      </c>
      <c r="Q104" s="255">
        <f t="shared" si="241"/>
        <v>724</v>
      </c>
      <c r="R104" s="68">
        <v>664</v>
      </c>
      <c r="S104" s="255">
        <f t="shared" ref="S104:S107" si="242">+R104*$X$1</f>
        <v>664</v>
      </c>
      <c r="T104" s="527">
        <v>625</v>
      </c>
      <c r="U104" s="255">
        <f t="shared" ref="U104:U107" si="243">+T104*$X$1</f>
        <v>625</v>
      </c>
      <c r="V104" s="527">
        <v>534</v>
      </c>
      <c r="W104" s="255">
        <f t="shared" ref="W104:W107" si="244">+V104*$X$1</f>
        <v>534</v>
      </c>
      <c r="X104" s="813"/>
      <c r="Y104" s="814"/>
      <c r="Z104" s="814"/>
      <c r="AA104" s="815"/>
      <c r="AB104" s="350">
        <v>290</v>
      </c>
    </row>
    <row r="105" spans="1:29" ht="12.6" customHeight="1" x14ac:dyDescent="0.2">
      <c r="A105" s="17"/>
      <c r="B105" s="657" t="s">
        <v>361</v>
      </c>
      <c r="C105" s="633"/>
      <c r="D105" s="633"/>
      <c r="E105" s="633"/>
      <c r="F105" s="256"/>
      <c r="G105" s="707" t="s">
        <v>532</v>
      </c>
      <c r="H105" s="708"/>
      <c r="I105" s="708"/>
      <c r="J105" s="708"/>
      <c r="K105" s="708"/>
      <c r="L105" s="708"/>
      <c r="M105" s="709"/>
      <c r="N105" s="533">
        <v>910</v>
      </c>
      <c r="O105" s="256">
        <f t="shared" si="241"/>
        <v>910</v>
      </c>
      <c r="P105" s="252">
        <v>875</v>
      </c>
      <c r="Q105" s="256">
        <f t="shared" si="241"/>
        <v>875</v>
      </c>
      <c r="R105" s="82">
        <v>805</v>
      </c>
      <c r="S105" s="256">
        <f t="shared" si="242"/>
        <v>805</v>
      </c>
      <c r="T105" s="534">
        <v>757</v>
      </c>
      <c r="U105" s="256">
        <f t="shared" si="243"/>
        <v>757</v>
      </c>
      <c r="V105" s="534">
        <v>647</v>
      </c>
      <c r="W105" s="256">
        <f t="shared" si="244"/>
        <v>647</v>
      </c>
      <c r="X105" s="813"/>
      <c r="Y105" s="814"/>
      <c r="Z105" s="814"/>
      <c r="AA105" s="815"/>
      <c r="AB105" s="350" t="s">
        <v>145</v>
      </c>
    </row>
    <row r="106" spans="1:29" ht="12.6" customHeight="1" x14ac:dyDescent="0.2">
      <c r="A106" s="17"/>
      <c r="B106" s="678" t="s">
        <v>362</v>
      </c>
      <c r="C106" s="679"/>
      <c r="D106" s="679"/>
      <c r="E106" s="679"/>
      <c r="F106" s="255"/>
      <c r="G106" s="707" t="s">
        <v>531</v>
      </c>
      <c r="H106" s="708"/>
      <c r="I106" s="708"/>
      <c r="J106" s="708"/>
      <c r="K106" s="708"/>
      <c r="L106" s="708"/>
      <c r="M106" s="709"/>
      <c r="N106" s="281">
        <v>930</v>
      </c>
      <c r="O106" s="255">
        <f t="shared" ref="O106:O107" si="245">+N106*$X$1</f>
        <v>930</v>
      </c>
      <c r="P106" s="281">
        <v>903</v>
      </c>
      <c r="Q106" s="255">
        <f t="shared" si="241"/>
        <v>903</v>
      </c>
      <c r="R106" s="532">
        <v>831</v>
      </c>
      <c r="S106" s="255">
        <f t="shared" si="242"/>
        <v>831</v>
      </c>
      <c r="T106" s="527">
        <v>782</v>
      </c>
      <c r="U106" s="255">
        <f t="shared" si="243"/>
        <v>782</v>
      </c>
      <c r="V106" s="527">
        <v>667</v>
      </c>
      <c r="W106" s="255">
        <f t="shared" si="244"/>
        <v>667</v>
      </c>
      <c r="X106" s="813"/>
      <c r="Y106" s="814"/>
      <c r="Z106" s="814"/>
      <c r="AA106" s="815"/>
      <c r="AB106" s="350">
        <v>291</v>
      </c>
    </row>
    <row r="107" spans="1:29" ht="12.6" customHeight="1" x14ac:dyDescent="0.2">
      <c r="A107" s="17"/>
      <c r="B107" s="657" t="s">
        <v>363</v>
      </c>
      <c r="C107" s="633"/>
      <c r="D107" s="633"/>
      <c r="E107" s="633"/>
      <c r="F107" s="256"/>
      <c r="G107" s="707" t="s">
        <v>532</v>
      </c>
      <c r="H107" s="708"/>
      <c r="I107" s="708"/>
      <c r="J107" s="708"/>
      <c r="K107" s="708"/>
      <c r="L107" s="708"/>
      <c r="M107" s="709"/>
      <c r="N107" s="252">
        <v>1160</v>
      </c>
      <c r="O107" s="256">
        <f t="shared" si="245"/>
        <v>1160</v>
      </c>
      <c r="P107" s="252">
        <v>1130</v>
      </c>
      <c r="Q107" s="256">
        <f t="shared" si="241"/>
        <v>1130</v>
      </c>
      <c r="R107" s="82">
        <v>1042</v>
      </c>
      <c r="S107" s="256">
        <f t="shared" si="242"/>
        <v>1042</v>
      </c>
      <c r="T107" s="534">
        <v>981</v>
      </c>
      <c r="U107" s="256">
        <f t="shared" si="243"/>
        <v>981</v>
      </c>
      <c r="V107" s="534">
        <v>837</v>
      </c>
      <c r="W107" s="256">
        <f t="shared" si="244"/>
        <v>837</v>
      </c>
      <c r="X107" s="813"/>
      <c r="Y107" s="814"/>
      <c r="Z107" s="814"/>
      <c r="AA107" s="815"/>
      <c r="AB107" s="350" t="s">
        <v>146</v>
      </c>
    </row>
    <row r="108" spans="1:29" ht="12.6" customHeight="1" x14ac:dyDescent="0.2">
      <c r="A108" s="17"/>
      <c r="B108" s="678" t="s">
        <v>870</v>
      </c>
      <c r="C108" s="679"/>
      <c r="D108" s="679"/>
      <c r="E108" s="679"/>
      <c r="F108" s="255"/>
      <c r="G108" s="707" t="s">
        <v>531</v>
      </c>
      <c r="H108" s="708"/>
      <c r="I108" s="708"/>
      <c r="J108" s="708"/>
      <c r="K108" s="708"/>
      <c r="L108" s="708"/>
      <c r="M108" s="709"/>
      <c r="N108" s="281">
        <v>590</v>
      </c>
      <c r="O108" s="255">
        <f t="shared" ref="O108" si="246">+N108*$X$1</f>
        <v>590</v>
      </c>
      <c r="P108" s="281">
        <v>550</v>
      </c>
      <c r="Q108" s="255">
        <f t="shared" ref="Q108" si="247">+P108*$X$1</f>
        <v>550</v>
      </c>
      <c r="R108" s="532">
        <v>498</v>
      </c>
      <c r="S108" s="255">
        <f t="shared" ref="S108" si="248">+R108*$X$1</f>
        <v>498</v>
      </c>
      <c r="T108" s="527">
        <v>468</v>
      </c>
      <c r="U108" s="255">
        <f t="shared" ref="U108" si="249">+T108*$X$1</f>
        <v>468</v>
      </c>
      <c r="V108" s="527">
        <v>399</v>
      </c>
      <c r="W108" s="255">
        <f t="shared" ref="W108" si="250">+V108*$X$1</f>
        <v>399</v>
      </c>
      <c r="X108" s="813"/>
      <c r="Y108" s="814"/>
      <c r="Z108" s="814"/>
      <c r="AA108" s="815"/>
      <c r="AB108" s="350">
        <v>292</v>
      </c>
    </row>
    <row r="109" spans="1:29" ht="12.6" customHeight="1" x14ac:dyDescent="0.2">
      <c r="A109" s="17"/>
      <c r="B109" s="657" t="s">
        <v>912</v>
      </c>
      <c r="C109" s="633"/>
      <c r="D109" s="633"/>
      <c r="E109" s="633"/>
      <c r="F109" s="256"/>
      <c r="G109" s="707" t="s">
        <v>532</v>
      </c>
      <c r="H109" s="708"/>
      <c r="I109" s="708"/>
      <c r="J109" s="708"/>
      <c r="K109" s="708"/>
      <c r="L109" s="708"/>
      <c r="M109" s="709"/>
      <c r="N109" s="252">
        <v>670</v>
      </c>
      <c r="O109" s="256">
        <f t="shared" ref="O109:O110" si="251">+N109*$X$1</f>
        <v>670</v>
      </c>
      <c r="P109" s="252">
        <v>620</v>
      </c>
      <c r="Q109" s="256">
        <f t="shared" ref="Q109:Q110" si="252">+P109*$X$1</f>
        <v>620</v>
      </c>
      <c r="R109" s="533">
        <v>570</v>
      </c>
      <c r="S109" s="256">
        <f t="shared" ref="S109:S110" si="253">+R109*$X$1</f>
        <v>570</v>
      </c>
      <c r="T109" s="534">
        <v>535</v>
      </c>
      <c r="U109" s="256">
        <f t="shared" ref="U109:U110" si="254">+T109*$X$1</f>
        <v>535</v>
      </c>
      <c r="V109" s="534">
        <v>455</v>
      </c>
      <c r="W109" s="256">
        <f t="shared" ref="W109:W110" si="255">+V109*$X$1</f>
        <v>455</v>
      </c>
      <c r="X109" s="813"/>
      <c r="Y109" s="814"/>
      <c r="Z109" s="814"/>
      <c r="AA109" s="815"/>
      <c r="AB109" s="350" t="s">
        <v>910</v>
      </c>
    </row>
    <row r="110" spans="1:29" ht="12.6" customHeight="1" x14ac:dyDescent="0.2">
      <c r="A110" s="17"/>
      <c r="B110" s="678" t="s">
        <v>871</v>
      </c>
      <c r="C110" s="679"/>
      <c r="D110" s="679"/>
      <c r="E110" s="679"/>
      <c r="F110" s="255"/>
      <c r="G110" s="707" t="s">
        <v>531</v>
      </c>
      <c r="H110" s="708"/>
      <c r="I110" s="708"/>
      <c r="J110" s="708"/>
      <c r="K110" s="708"/>
      <c r="L110" s="708"/>
      <c r="M110" s="709"/>
      <c r="N110" s="281">
        <v>1150</v>
      </c>
      <c r="O110" s="255">
        <f t="shared" si="251"/>
        <v>1150</v>
      </c>
      <c r="P110" s="281">
        <v>1110</v>
      </c>
      <c r="Q110" s="255">
        <f t="shared" si="252"/>
        <v>1110</v>
      </c>
      <c r="R110" s="532">
        <v>1010</v>
      </c>
      <c r="S110" s="255">
        <f t="shared" si="253"/>
        <v>1010</v>
      </c>
      <c r="T110" s="527">
        <v>950</v>
      </c>
      <c r="U110" s="255">
        <f t="shared" si="254"/>
        <v>950</v>
      </c>
      <c r="V110" s="527">
        <v>810</v>
      </c>
      <c r="W110" s="255">
        <f t="shared" si="255"/>
        <v>810</v>
      </c>
      <c r="X110" s="813"/>
      <c r="Y110" s="814"/>
      <c r="Z110" s="814"/>
      <c r="AA110" s="815"/>
      <c r="AB110" s="350">
        <v>293</v>
      </c>
    </row>
    <row r="111" spans="1:29" ht="12.6" customHeight="1" x14ac:dyDescent="0.2">
      <c r="A111" s="17"/>
      <c r="B111" s="657" t="s">
        <v>913</v>
      </c>
      <c r="C111" s="633"/>
      <c r="D111" s="633"/>
      <c r="E111" s="633"/>
      <c r="F111" s="256"/>
      <c r="G111" s="707" t="s">
        <v>532</v>
      </c>
      <c r="H111" s="708"/>
      <c r="I111" s="818"/>
      <c r="J111" s="818"/>
      <c r="K111" s="818"/>
      <c r="L111" s="818"/>
      <c r="M111" s="819"/>
      <c r="N111" s="252">
        <v>1260</v>
      </c>
      <c r="O111" s="256">
        <f t="shared" ref="O111:W115" si="256">+N111*$X$1</f>
        <v>1260</v>
      </c>
      <c r="P111" s="252">
        <v>1200</v>
      </c>
      <c r="Q111" s="256">
        <f t="shared" ref="Q111" si="257">+P111*$X$1</f>
        <v>1200</v>
      </c>
      <c r="R111" s="533">
        <v>1080</v>
      </c>
      <c r="S111" s="256">
        <f t="shared" ref="S111" si="258">+R111*$X$1</f>
        <v>1080</v>
      </c>
      <c r="T111" s="534">
        <v>1015</v>
      </c>
      <c r="U111" s="256">
        <f t="shared" ref="U111" si="259">+T111*$X$1</f>
        <v>1015</v>
      </c>
      <c r="V111" s="534">
        <v>866</v>
      </c>
      <c r="W111" s="256">
        <f t="shared" ref="W111" si="260">+V111*$X$1</f>
        <v>866</v>
      </c>
      <c r="X111" s="813"/>
      <c r="Y111" s="814"/>
      <c r="Z111" s="814"/>
      <c r="AA111" s="815"/>
      <c r="AB111" s="350" t="s">
        <v>911</v>
      </c>
    </row>
    <row r="112" spans="1:29" ht="12.6" customHeight="1" x14ac:dyDescent="0.2">
      <c r="A112" s="17"/>
      <c r="B112" s="678" t="s">
        <v>914</v>
      </c>
      <c r="C112" s="679"/>
      <c r="D112" s="679"/>
      <c r="E112" s="679"/>
      <c r="F112" s="255"/>
      <c r="G112" s="707" t="s">
        <v>531</v>
      </c>
      <c r="H112" s="708"/>
      <c r="I112" s="708"/>
      <c r="J112" s="708"/>
      <c r="K112" s="708"/>
      <c r="L112" s="708"/>
      <c r="M112" s="709"/>
      <c r="N112" s="281">
        <v>770</v>
      </c>
      <c r="O112" s="255">
        <f t="shared" si="256"/>
        <v>770</v>
      </c>
      <c r="P112" s="281">
        <v>690</v>
      </c>
      <c r="Q112" s="255">
        <f t="shared" si="256"/>
        <v>690</v>
      </c>
      <c r="R112" s="532">
        <v>639</v>
      </c>
      <c r="S112" s="255">
        <f t="shared" si="256"/>
        <v>639</v>
      </c>
      <c r="T112" s="527">
        <v>601</v>
      </c>
      <c r="U112" s="255">
        <f t="shared" si="256"/>
        <v>601</v>
      </c>
      <c r="V112" s="527">
        <v>512</v>
      </c>
      <c r="W112" s="255">
        <f t="shared" si="256"/>
        <v>512</v>
      </c>
      <c r="X112" s="813"/>
      <c r="Y112" s="814"/>
      <c r="Z112" s="814"/>
      <c r="AA112" s="815"/>
      <c r="AB112" s="350">
        <v>294</v>
      </c>
    </row>
    <row r="113" spans="1:28" ht="12.6" customHeight="1" x14ac:dyDescent="0.2">
      <c r="A113" s="17"/>
      <c r="B113" s="657" t="s">
        <v>915</v>
      </c>
      <c r="C113" s="633"/>
      <c r="D113" s="633"/>
      <c r="E113" s="633"/>
      <c r="F113" s="256"/>
      <c r="G113" s="707" t="s">
        <v>532</v>
      </c>
      <c r="H113" s="708"/>
      <c r="I113" s="818"/>
      <c r="J113" s="818"/>
      <c r="K113" s="818"/>
      <c r="L113" s="818"/>
      <c r="M113" s="819"/>
      <c r="N113" s="252">
        <v>840</v>
      </c>
      <c r="O113" s="256">
        <f t="shared" si="256"/>
        <v>840</v>
      </c>
      <c r="P113" s="252">
        <v>770</v>
      </c>
      <c r="Q113" s="256">
        <f t="shared" si="256"/>
        <v>770</v>
      </c>
      <c r="R113" s="533">
        <v>709</v>
      </c>
      <c r="S113" s="256">
        <f t="shared" si="256"/>
        <v>709</v>
      </c>
      <c r="T113" s="534">
        <v>667</v>
      </c>
      <c r="U113" s="256">
        <f t="shared" si="256"/>
        <v>667</v>
      </c>
      <c r="V113" s="534">
        <v>570</v>
      </c>
      <c r="W113" s="256">
        <f t="shared" si="256"/>
        <v>570</v>
      </c>
      <c r="X113" s="813"/>
      <c r="Y113" s="814"/>
      <c r="Z113" s="814"/>
      <c r="AA113" s="815"/>
      <c r="AB113" s="350" t="s">
        <v>916</v>
      </c>
    </row>
    <row r="114" spans="1:28" ht="12.6" customHeight="1" x14ac:dyDescent="0.2">
      <c r="A114" s="17"/>
      <c r="B114" s="678" t="s">
        <v>918</v>
      </c>
      <c r="C114" s="679"/>
      <c r="D114" s="679"/>
      <c r="E114" s="679"/>
      <c r="F114" s="255"/>
      <c r="G114" s="707" t="s">
        <v>531</v>
      </c>
      <c r="H114" s="708"/>
      <c r="I114" s="708"/>
      <c r="J114" s="708"/>
      <c r="K114" s="708"/>
      <c r="L114" s="708"/>
      <c r="M114" s="709"/>
      <c r="N114" s="281">
        <v>1998</v>
      </c>
      <c r="O114" s="255">
        <f t="shared" si="256"/>
        <v>1998</v>
      </c>
      <c r="P114" s="281">
        <v>1911</v>
      </c>
      <c r="Q114" s="255">
        <f t="shared" si="256"/>
        <v>1911</v>
      </c>
      <c r="R114" s="532">
        <v>1764</v>
      </c>
      <c r="S114" s="255">
        <f t="shared" si="256"/>
        <v>1764</v>
      </c>
      <c r="T114" s="527">
        <v>1670</v>
      </c>
      <c r="U114" s="255">
        <f t="shared" si="256"/>
        <v>1670</v>
      </c>
      <c r="V114" s="527">
        <v>1415</v>
      </c>
      <c r="W114" s="255">
        <f t="shared" si="256"/>
        <v>1415</v>
      </c>
      <c r="X114" s="813"/>
      <c r="Y114" s="814"/>
      <c r="Z114" s="814"/>
      <c r="AA114" s="815"/>
      <c r="AB114" s="350">
        <v>295</v>
      </c>
    </row>
    <row r="115" spans="1:28" ht="12.6" customHeight="1" x14ac:dyDescent="0.2">
      <c r="A115" s="17"/>
      <c r="B115" s="657" t="s">
        <v>917</v>
      </c>
      <c r="C115" s="633"/>
      <c r="D115" s="633"/>
      <c r="E115" s="633"/>
      <c r="F115" s="256"/>
      <c r="G115" s="707" t="s">
        <v>532</v>
      </c>
      <c r="H115" s="708"/>
      <c r="I115" s="818"/>
      <c r="J115" s="818"/>
      <c r="K115" s="818"/>
      <c r="L115" s="818"/>
      <c r="M115" s="819"/>
      <c r="N115" s="252">
        <v>2070</v>
      </c>
      <c r="O115" s="256">
        <f t="shared" si="256"/>
        <v>2070</v>
      </c>
      <c r="P115" s="252">
        <v>1991</v>
      </c>
      <c r="Q115" s="256">
        <f t="shared" si="256"/>
        <v>1991</v>
      </c>
      <c r="R115" s="533">
        <v>1833</v>
      </c>
      <c r="S115" s="256">
        <f t="shared" si="256"/>
        <v>1833</v>
      </c>
      <c r="T115" s="534">
        <v>1725</v>
      </c>
      <c r="U115" s="256">
        <f t="shared" si="256"/>
        <v>1725</v>
      </c>
      <c r="V115" s="534">
        <v>1471</v>
      </c>
      <c r="W115" s="256">
        <f t="shared" si="256"/>
        <v>1471</v>
      </c>
      <c r="X115" s="813"/>
      <c r="Y115" s="814"/>
      <c r="Z115" s="814"/>
      <c r="AA115" s="815"/>
      <c r="AB115" s="350" t="s">
        <v>992</v>
      </c>
    </row>
    <row r="116" spans="1:28" ht="12.6" customHeight="1" x14ac:dyDescent="0.2">
      <c r="A116" s="17"/>
      <c r="B116" s="678" t="s">
        <v>919</v>
      </c>
      <c r="C116" s="679"/>
      <c r="D116" s="679"/>
      <c r="E116" s="679"/>
      <c r="F116" s="255"/>
      <c r="G116" s="707" t="s">
        <v>531</v>
      </c>
      <c r="H116" s="708"/>
      <c r="I116" s="708"/>
      <c r="J116" s="708"/>
      <c r="K116" s="708"/>
      <c r="L116" s="708"/>
      <c r="M116" s="709"/>
      <c r="N116" s="281">
        <v>1998</v>
      </c>
      <c r="O116" s="255">
        <f t="shared" ref="O116:O117" si="261">+N116*$X$1</f>
        <v>1998</v>
      </c>
      <c r="P116" s="281">
        <v>1911</v>
      </c>
      <c r="Q116" s="255">
        <f t="shared" ref="Q116:Q117" si="262">+P116*$X$1</f>
        <v>1911</v>
      </c>
      <c r="R116" s="567">
        <v>1764</v>
      </c>
      <c r="S116" s="255">
        <f t="shared" ref="S116:S117" si="263">+R116*$X$1</f>
        <v>1764</v>
      </c>
      <c r="T116" s="527">
        <v>1670</v>
      </c>
      <c r="U116" s="255">
        <f t="shared" ref="U116:U117" si="264">+T116*$X$1</f>
        <v>1670</v>
      </c>
      <c r="V116" s="527">
        <v>1415</v>
      </c>
      <c r="W116" s="255">
        <f t="shared" ref="W116:W117" si="265">+V116*$X$1</f>
        <v>1415</v>
      </c>
      <c r="X116" s="813"/>
      <c r="Y116" s="814"/>
      <c r="Z116" s="814"/>
      <c r="AA116" s="815"/>
      <c r="AB116" s="350">
        <v>298</v>
      </c>
    </row>
    <row r="117" spans="1:28" ht="12.6" customHeight="1" x14ac:dyDescent="0.2">
      <c r="A117" s="17"/>
      <c r="B117" s="657" t="s">
        <v>921</v>
      </c>
      <c r="C117" s="633"/>
      <c r="D117" s="633"/>
      <c r="E117" s="633"/>
      <c r="F117" s="256"/>
      <c r="G117" s="707" t="s">
        <v>532</v>
      </c>
      <c r="H117" s="708"/>
      <c r="I117" s="818"/>
      <c r="J117" s="818"/>
      <c r="K117" s="818"/>
      <c r="L117" s="818"/>
      <c r="M117" s="819"/>
      <c r="N117" s="252">
        <v>2070</v>
      </c>
      <c r="O117" s="256">
        <f t="shared" si="261"/>
        <v>2070</v>
      </c>
      <c r="P117" s="252">
        <v>1991</v>
      </c>
      <c r="Q117" s="256">
        <f t="shared" si="262"/>
        <v>1991</v>
      </c>
      <c r="R117" s="566">
        <v>1833</v>
      </c>
      <c r="S117" s="256">
        <f t="shared" si="263"/>
        <v>1833</v>
      </c>
      <c r="T117" s="536">
        <v>1725</v>
      </c>
      <c r="U117" s="256">
        <f t="shared" si="264"/>
        <v>1725</v>
      </c>
      <c r="V117" s="536">
        <v>1471</v>
      </c>
      <c r="W117" s="256">
        <f t="shared" si="265"/>
        <v>1471</v>
      </c>
      <c r="X117" s="813"/>
      <c r="Y117" s="814"/>
      <c r="Z117" s="814"/>
      <c r="AA117" s="815"/>
      <c r="AB117" s="350" t="s">
        <v>920</v>
      </c>
    </row>
    <row r="118" spans="1:28" ht="12.6" customHeight="1" x14ac:dyDescent="0.2">
      <c r="A118" s="17"/>
      <c r="B118" s="745" t="s">
        <v>901</v>
      </c>
      <c r="C118" s="700"/>
      <c r="D118" s="700"/>
      <c r="E118" s="700"/>
      <c r="F118" s="270">
        <v>460</v>
      </c>
      <c r="G118" s="255">
        <f>+F118*$X$1</f>
        <v>460</v>
      </c>
      <c r="H118" s="84"/>
      <c r="I118" s="831" t="s">
        <v>900</v>
      </c>
      <c r="J118" s="832"/>
      <c r="K118" s="832"/>
      <c r="L118" s="832"/>
      <c r="M118" s="832"/>
      <c r="N118" s="832"/>
      <c r="O118" s="832"/>
      <c r="P118" s="832"/>
      <c r="Q118" s="832"/>
      <c r="R118" s="832"/>
      <c r="S118" s="832"/>
      <c r="T118" s="832"/>
      <c r="U118" s="832"/>
      <c r="V118" s="832"/>
      <c r="W118" s="833"/>
      <c r="X118" s="693"/>
      <c r="Y118" s="667"/>
      <c r="Z118" s="667"/>
      <c r="AA118" s="669"/>
      <c r="AB118" s="350" t="s">
        <v>907</v>
      </c>
    </row>
    <row r="119" spans="1:28" ht="12.6" customHeight="1" x14ac:dyDescent="0.2">
      <c r="A119" s="17"/>
      <c r="B119" s="670" t="s">
        <v>902</v>
      </c>
      <c r="C119" s="726"/>
      <c r="D119" s="726"/>
      <c r="E119" s="726"/>
      <c r="F119" s="280">
        <v>260</v>
      </c>
      <c r="G119" s="256">
        <f t="shared" ref="G119" si="266">+F119*$X$1</f>
        <v>260</v>
      </c>
      <c r="H119" s="107"/>
      <c r="I119" s="834"/>
      <c r="J119" s="835"/>
      <c r="K119" s="835"/>
      <c r="L119" s="835"/>
      <c r="M119" s="835"/>
      <c r="N119" s="835"/>
      <c r="O119" s="835"/>
      <c r="P119" s="835"/>
      <c r="Q119" s="835"/>
      <c r="R119" s="835"/>
      <c r="S119" s="835"/>
      <c r="T119" s="835"/>
      <c r="U119" s="835"/>
      <c r="V119" s="835"/>
      <c r="W119" s="836"/>
      <c r="X119" s="693"/>
      <c r="Y119" s="667"/>
      <c r="Z119" s="667"/>
      <c r="AA119" s="669"/>
      <c r="AB119" s="350" t="s">
        <v>908</v>
      </c>
    </row>
    <row r="120" spans="1:28" ht="12.6" customHeight="1" x14ac:dyDescent="0.2">
      <c r="A120" s="17"/>
      <c r="B120" s="745" t="s">
        <v>899</v>
      </c>
      <c r="C120" s="700"/>
      <c r="D120" s="700"/>
      <c r="E120" s="700"/>
      <c r="F120" s="270">
        <v>345</v>
      </c>
      <c r="G120" s="255">
        <f>+F120*$X$1</f>
        <v>345</v>
      </c>
      <c r="H120" s="107"/>
      <c r="I120" s="837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9"/>
      <c r="X120" s="693"/>
      <c r="Y120" s="667"/>
      <c r="Z120" s="667"/>
      <c r="AA120" s="669"/>
      <c r="AB120" s="350" t="s">
        <v>909</v>
      </c>
    </row>
    <row r="121" spans="1:28" ht="12.6" customHeight="1" x14ac:dyDescent="0.2">
      <c r="A121" s="17"/>
      <c r="B121" s="657" t="s">
        <v>693</v>
      </c>
      <c r="C121" s="633"/>
      <c r="D121" s="633"/>
      <c r="E121" s="633"/>
      <c r="F121" s="309"/>
      <c r="G121" s="707" t="s">
        <v>360</v>
      </c>
      <c r="H121" s="708"/>
      <c r="I121" s="708"/>
      <c r="J121" s="708"/>
      <c r="K121" s="709"/>
      <c r="L121" s="509">
        <v>2140</v>
      </c>
      <c r="M121" s="256">
        <f t="shared" ref="M121:O134" si="267">+L121*$X$1</f>
        <v>2140</v>
      </c>
      <c r="N121" s="113">
        <v>1896</v>
      </c>
      <c r="O121" s="256">
        <f t="shared" si="267"/>
        <v>1896</v>
      </c>
      <c r="P121" s="329">
        <v>1891</v>
      </c>
      <c r="Q121" s="256">
        <f t="shared" ref="Q121:Q133" si="268">+P121*$X$1</f>
        <v>1891</v>
      </c>
      <c r="R121" s="391">
        <v>1741</v>
      </c>
      <c r="S121" s="256">
        <f t="shared" ref="S121:S134" si="269">+R121*$X$1</f>
        <v>1741</v>
      </c>
      <c r="T121" s="391">
        <v>1639</v>
      </c>
      <c r="U121" s="280">
        <f t="shared" ref="U121:U127" si="270">+T121*$X$1</f>
        <v>1639</v>
      </c>
      <c r="V121" s="391">
        <v>857</v>
      </c>
      <c r="W121" s="280">
        <f t="shared" ref="W121:W131" si="271">+V121*$X$1</f>
        <v>857</v>
      </c>
      <c r="X121" s="813"/>
      <c r="Y121" s="814"/>
      <c r="Z121" s="814"/>
      <c r="AA121" s="815"/>
      <c r="AB121" s="350">
        <v>301</v>
      </c>
    </row>
    <row r="122" spans="1:28" ht="12.6" customHeight="1" x14ac:dyDescent="0.2">
      <c r="A122" s="17"/>
      <c r="B122" s="678" t="s">
        <v>694</v>
      </c>
      <c r="C122" s="679"/>
      <c r="D122" s="679"/>
      <c r="E122" s="679"/>
      <c r="F122" s="310"/>
      <c r="G122" s="707" t="s">
        <v>360</v>
      </c>
      <c r="H122" s="708"/>
      <c r="I122" s="708"/>
      <c r="J122" s="708"/>
      <c r="K122" s="709"/>
      <c r="L122" s="267">
        <v>2350</v>
      </c>
      <c r="M122" s="489">
        <f t="shared" si="267"/>
        <v>2350</v>
      </c>
      <c r="N122" s="337">
        <v>2053</v>
      </c>
      <c r="O122" s="489">
        <f t="shared" si="267"/>
        <v>2053</v>
      </c>
      <c r="P122" s="268">
        <v>2045</v>
      </c>
      <c r="Q122" s="255">
        <f t="shared" si="268"/>
        <v>2045</v>
      </c>
      <c r="R122" s="107">
        <v>1882</v>
      </c>
      <c r="S122" s="489">
        <f t="shared" si="269"/>
        <v>1882</v>
      </c>
      <c r="T122" s="507">
        <v>1771</v>
      </c>
      <c r="U122" s="270">
        <f t="shared" si="270"/>
        <v>1771</v>
      </c>
      <c r="V122" s="507">
        <v>1004</v>
      </c>
      <c r="W122" s="270">
        <f t="shared" si="271"/>
        <v>1004</v>
      </c>
      <c r="X122" s="813"/>
      <c r="Y122" s="814"/>
      <c r="Z122" s="814"/>
      <c r="AA122" s="815"/>
      <c r="AB122" s="350" t="s">
        <v>147</v>
      </c>
    </row>
    <row r="123" spans="1:28" ht="12.6" customHeight="1" x14ac:dyDescent="0.2">
      <c r="A123" s="17"/>
      <c r="B123" s="657" t="s">
        <v>695</v>
      </c>
      <c r="C123" s="633"/>
      <c r="D123" s="633"/>
      <c r="E123" s="633"/>
      <c r="F123" s="309"/>
      <c r="G123" s="707" t="s">
        <v>360</v>
      </c>
      <c r="H123" s="708"/>
      <c r="I123" s="708"/>
      <c r="J123" s="708"/>
      <c r="K123" s="709"/>
      <c r="L123" s="509">
        <v>3720</v>
      </c>
      <c r="M123" s="256">
        <f t="shared" ref="M123" si="272">+L123*$X$1</f>
        <v>3720</v>
      </c>
      <c r="N123" s="113">
        <v>3271</v>
      </c>
      <c r="O123" s="256">
        <f t="shared" ref="O123" si="273">+N123*$X$1</f>
        <v>3271</v>
      </c>
      <c r="P123" s="329">
        <v>3265</v>
      </c>
      <c r="Q123" s="256">
        <f t="shared" ref="Q123" si="274">+P123*$X$1</f>
        <v>3265</v>
      </c>
      <c r="R123" s="391">
        <v>3005</v>
      </c>
      <c r="S123" s="256">
        <f t="shared" ref="S123" si="275">+R123*$X$1</f>
        <v>3005</v>
      </c>
      <c r="T123" s="391">
        <v>2829</v>
      </c>
      <c r="U123" s="280">
        <f t="shared" ref="U123" si="276">+T123*$X$1</f>
        <v>2829</v>
      </c>
      <c r="V123" s="391">
        <v>1927</v>
      </c>
      <c r="W123" s="280">
        <f t="shared" ref="W123" si="277">+V123*$X$1</f>
        <v>1927</v>
      </c>
      <c r="X123" s="813"/>
      <c r="Y123" s="814"/>
      <c r="Z123" s="814"/>
      <c r="AA123" s="815"/>
      <c r="AB123" s="350" t="s">
        <v>148</v>
      </c>
    </row>
    <row r="124" spans="1:28" ht="12.6" customHeight="1" x14ac:dyDescent="0.2">
      <c r="A124" s="17"/>
      <c r="B124" s="678" t="s">
        <v>712</v>
      </c>
      <c r="C124" s="774"/>
      <c r="D124" s="774"/>
      <c r="E124" s="774"/>
      <c r="F124" s="310"/>
      <c r="G124" s="707" t="s">
        <v>360</v>
      </c>
      <c r="H124" s="708"/>
      <c r="I124" s="708"/>
      <c r="J124" s="708"/>
      <c r="K124" s="709"/>
      <c r="L124" s="506">
        <v>3720</v>
      </c>
      <c r="M124" s="255">
        <f t="shared" ref="M124" si="278">+L124*$X$1</f>
        <v>3720</v>
      </c>
      <c r="N124" s="337">
        <v>3271</v>
      </c>
      <c r="O124" s="255">
        <f t="shared" ref="O124" si="279">+N124*$X$1</f>
        <v>3271</v>
      </c>
      <c r="P124" s="479">
        <v>3265</v>
      </c>
      <c r="Q124" s="255">
        <f t="shared" ref="Q124" si="280">+P124*$X$1</f>
        <v>3265</v>
      </c>
      <c r="R124" s="507">
        <v>3005</v>
      </c>
      <c r="S124" s="255">
        <f t="shared" ref="S124" si="281">+R124*$X$1</f>
        <v>3005</v>
      </c>
      <c r="T124" s="507">
        <v>2829</v>
      </c>
      <c r="U124" s="270">
        <f t="shared" ref="U124" si="282">+T124*$X$1</f>
        <v>2829</v>
      </c>
      <c r="V124" s="507">
        <v>1927</v>
      </c>
      <c r="W124" s="270">
        <f t="shared" ref="W124" si="283">+V124*$X$1</f>
        <v>1927</v>
      </c>
      <c r="X124" s="813"/>
      <c r="Y124" s="814"/>
      <c r="Z124" s="814"/>
      <c r="AA124" s="815"/>
      <c r="AB124" s="350" t="s">
        <v>715</v>
      </c>
    </row>
    <row r="125" spans="1:28" ht="12.6" customHeight="1" x14ac:dyDescent="0.2">
      <c r="A125" s="17"/>
      <c r="B125" s="657" t="s">
        <v>714</v>
      </c>
      <c r="C125" s="694"/>
      <c r="D125" s="694"/>
      <c r="E125" s="694"/>
      <c r="F125" s="309"/>
      <c r="G125" s="707" t="s">
        <v>360</v>
      </c>
      <c r="H125" s="708"/>
      <c r="I125" s="708"/>
      <c r="J125" s="708"/>
      <c r="K125" s="709"/>
      <c r="L125" s="509">
        <v>2795</v>
      </c>
      <c r="M125" s="256">
        <f t="shared" ref="M125" si="284">+L125*$X$1</f>
        <v>2795</v>
      </c>
      <c r="N125" s="82">
        <v>2453</v>
      </c>
      <c r="O125" s="256">
        <f t="shared" ref="O125" si="285">+N125*$X$1</f>
        <v>2453</v>
      </c>
      <c r="P125" s="252">
        <v>2447</v>
      </c>
      <c r="Q125" s="256">
        <f t="shared" ref="Q125" si="286">+P125*$X$1</f>
        <v>2447</v>
      </c>
      <c r="R125" s="391">
        <v>2252</v>
      </c>
      <c r="S125" s="256">
        <f t="shared" ref="S125" si="287">+R125*$X$1</f>
        <v>2252</v>
      </c>
      <c r="T125" s="391">
        <v>2119</v>
      </c>
      <c r="U125" s="256">
        <f t="shared" ref="U125" si="288">+T125*$X$1</f>
        <v>2119</v>
      </c>
      <c r="V125" s="391">
        <v>1307</v>
      </c>
      <c r="W125" s="256">
        <f t="shared" ref="W125" si="289">+V125*$X$1</f>
        <v>1307</v>
      </c>
      <c r="X125" s="813"/>
      <c r="Y125" s="814"/>
      <c r="Z125" s="814"/>
      <c r="AA125" s="815"/>
      <c r="AB125" s="350" t="s">
        <v>718</v>
      </c>
    </row>
    <row r="126" spans="1:28" ht="12.6" customHeight="1" x14ac:dyDescent="0.2">
      <c r="A126" s="17"/>
      <c r="B126" s="678" t="s">
        <v>364</v>
      </c>
      <c r="C126" s="679"/>
      <c r="D126" s="679"/>
      <c r="E126" s="679"/>
      <c r="F126" s="305"/>
      <c r="G126" s="707" t="s">
        <v>359</v>
      </c>
      <c r="H126" s="708"/>
      <c r="I126" s="708"/>
      <c r="J126" s="708"/>
      <c r="K126" s="709"/>
      <c r="L126" s="506">
        <v>1660</v>
      </c>
      <c r="M126" s="255">
        <f t="shared" si="267"/>
        <v>1660</v>
      </c>
      <c r="N126" s="68">
        <v>1441</v>
      </c>
      <c r="O126" s="255">
        <f t="shared" si="267"/>
        <v>1441</v>
      </c>
      <c r="P126" s="281">
        <v>1436</v>
      </c>
      <c r="Q126" s="255">
        <f t="shared" si="268"/>
        <v>1436</v>
      </c>
      <c r="R126" s="507">
        <v>1321</v>
      </c>
      <c r="S126" s="255">
        <f t="shared" si="269"/>
        <v>1321</v>
      </c>
      <c r="T126" s="507">
        <v>1245</v>
      </c>
      <c r="U126" s="255">
        <f t="shared" si="270"/>
        <v>1245</v>
      </c>
      <c r="V126" s="507">
        <v>685</v>
      </c>
      <c r="W126" s="255">
        <f t="shared" si="271"/>
        <v>685</v>
      </c>
      <c r="X126" s="813"/>
      <c r="Y126" s="814"/>
      <c r="Z126" s="814"/>
      <c r="AA126" s="815"/>
      <c r="AB126" s="350">
        <v>302</v>
      </c>
    </row>
    <row r="127" spans="1:28" ht="12.6" customHeight="1" x14ac:dyDescent="0.2">
      <c r="A127" s="17"/>
      <c r="B127" s="657" t="s">
        <v>365</v>
      </c>
      <c r="C127" s="633"/>
      <c r="D127" s="633"/>
      <c r="E127" s="633"/>
      <c r="F127" s="256"/>
      <c r="G127" s="707" t="s">
        <v>359</v>
      </c>
      <c r="H127" s="708"/>
      <c r="I127" s="708"/>
      <c r="J127" s="708"/>
      <c r="K127" s="709"/>
      <c r="L127" s="509">
        <v>1825</v>
      </c>
      <c r="M127" s="256">
        <f t="shared" si="267"/>
        <v>1825</v>
      </c>
      <c r="N127" s="82">
        <v>1595</v>
      </c>
      <c r="O127" s="256">
        <f t="shared" si="267"/>
        <v>1595</v>
      </c>
      <c r="P127" s="252">
        <v>1590</v>
      </c>
      <c r="Q127" s="256">
        <f t="shared" si="268"/>
        <v>1590</v>
      </c>
      <c r="R127" s="391">
        <v>1462</v>
      </c>
      <c r="S127" s="256">
        <f t="shared" si="269"/>
        <v>1462</v>
      </c>
      <c r="T127" s="391">
        <v>1376</v>
      </c>
      <c r="U127" s="256">
        <f t="shared" si="270"/>
        <v>1376</v>
      </c>
      <c r="V127" s="391">
        <v>801</v>
      </c>
      <c r="W127" s="256">
        <f t="shared" si="271"/>
        <v>801</v>
      </c>
      <c r="X127" s="813"/>
      <c r="Y127" s="814"/>
      <c r="Z127" s="814"/>
      <c r="AA127" s="815"/>
      <c r="AB127" s="350" t="s">
        <v>149</v>
      </c>
    </row>
    <row r="128" spans="1:28" ht="12.6" customHeight="1" x14ac:dyDescent="0.2">
      <c r="A128" s="17"/>
      <c r="B128" s="678" t="s">
        <v>336</v>
      </c>
      <c r="C128" s="679"/>
      <c r="D128" s="679"/>
      <c r="E128" s="679"/>
      <c r="F128" s="305"/>
      <c r="G128" s="707" t="s">
        <v>359</v>
      </c>
      <c r="H128" s="708"/>
      <c r="I128" s="708"/>
      <c r="J128" s="708"/>
      <c r="K128" s="709"/>
      <c r="L128" s="506">
        <v>3200</v>
      </c>
      <c r="M128" s="255">
        <f t="shared" ref="M128" si="290">+L128*$X$1</f>
        <v>3200</v>
      </c>
      <c r="N128" s="68">
        <v>2816</v>
      </c>
      <c r="O128" s="255">
        <f t="shared" ref="O128" si="291">+N128*$X$1</f>
        <v>2816</v>
      </c>
      <c r="P128" s="281">
        <v>2810</v>
      </c>
      <c r="Q128" s="255">
        <f t="shared" ref="Q128" si="292">+P128*$X$1</f>
        <v>2810</v>
      </c>
      <c r="R128" s="507">
        <v>2586</v>
      </c>
      <c r="S128" s="255">
        <f t="shared" ref="S128" si="293">+R128*$X$1</f>
        <v>2586</v>
      </c>
      <c r="T128" s="507">
        <v>2434</v>
      </c>
      <c r="U128" s="255">
        <f t="shared" ref="U128" si="294">+T128*$X$1</f>
        <v>2434</v>
      </c>
      <c r="V128" s="507">
        <v>1724</v>
      </c>
      <c r="W128" s="255">
        <f t="shared" ref="W128" si="295">+V128*$X$1</f>
        <v>1724</v>
      </c>
      <c r="X128" s="813"/>
      <c r="Y128" s="814"/>
      <c r="Z128" s="814"/>
      <c r="AA128" s="815"/>
      <c r="AB128" s="350" t="s">
        <v>150</v>
      </c>
    </row>
    <row r="129" spans="1:32" ht="12.6" customHeight="1" x14ac:dyDescent="0.2">
      <c r="A129" s="17"/>
      <c r="B129" s="657" t="s">
        <v>713</v>
      </c>
      <c r="C129" s="694"/>
      <c r="D129" s="694"/>
      <c r="E129" s="694"/>
      <c r="F129" s="304"/>
      <c r="G129" s="707" t="s">
        <v>359</v>
      </c>
      <c r="H129" s="708"/>
      <c r="I129" s="708"/>
      <c r="J129" s="708"/>
      <c r="K129" s="709"/>
      <c r="L129" s="509">
        <v>3200</v>
      </c>
      <c r="M129" s="256">
        <f t="shared" ref="M129" si="296">+L129*$X$1</f>
        <v>3200</v>
      </c>
      <c r="N129" s="82">
        <v>2816</v>
      </c>
      <c r="O129" s="256">
        <f t="shared" ref="O129" si="297">+N129*$X$1</f>
        <v>2816</v>
      </c>
      <c r="P129" s="252">
        <v>2810</v>
      </c>
      <c r="Q129" s="256">
        <f t="shared" ref="Q129" si="298">+P129*$X$1</f>
        <v>2810</v>
      </c>
      <c r="R129" s="391">
        <v>2586</v>
      </c>
      <c r="S129" s="256">
        <f t="shared" ref="S129" si="299">+R129*$X$1</f>
        <v>2586</v>
      </c>
      <c r="T129" s="391">
        <v>2434</v>
      </c>
      <c r="U129" s="256">
        <f t="shared" ref="U129" si="300">+T129*$X$1</f>
        <v>2434</v>
      </c>
      <c r="V129" s="391">
        <v>1724</v>
      </c>
      <c r="W129" s="256">
        <f t="shared" ref="W129" si="301">+V129*$X$1</f>
        <v>1724</v>
      </c>
      <c r="X129" s="813"/>
      <c r="Y129" s="814"/>
      <c r="Z129" s="814"/>
      <c r="AA129" s="815"/>
      <c r="AB129" s="350" t="s">
        <v>716</v>
      </c>
    </row>
    <row r="130" spans="1:32" ht="12.6" customHeight="1" x14ac:dyDescent="0.2">
      <c r="A130" s="17"/>
      <c r="B130" s="678" t="s">
        <v>717</v>
      </c>
      <c r="C130" s="774"/>
      <c r="D130" s="774"/>
      <c r="E130" s="774"/>
      <c r="F130" s="305"/>
      <c r="G130" s="707" t="s">
        <v>359</v>
      </c>
      <c r="H130" s="708"/>
      <c r="I130" s="708"/>
      <c r="J130" s="708"/>
      <c r="K130" s="709"/>
      <c r="L130" s="506">
        <v>2280</v>
      </c>
      <c r="M130" s="255">
        <f t="shared" ref="M130" si="302">+L130*$X$1</f>
        <v>2280</v>
      </c>
      <c r="N130" s="68">
        <v>1998</v>
      </c>
      <c r="O130" s="255">
        <f t="shared" ref="O130" si="303">+N130*$X$1</f>
        <v>1998</v>
      </c>
      <c r="P130" s="281">
        <v>1990</v>
      </c>
      <c r="Q130" s="255">
        <f t="shared" ref="Q130" si="304">+P130*$X$1</f>
        <v>1990</v>
      </c>
      <c r="R130" s="507">
        <v>1832</v>
      </c>
      <c r="S130" s="255">
        <f t="shared" ref="S130" si="305">+R130*$X$1</f>
        <v>1832</v>
      </c>
      <c r="T130" s="507">
        <v>1724</v>
      </c>
      <c r="U130" s="255">
        <f t="shared" ref="U130" si="306">+T130*$X$1</f>
        <v>1724</v>
      </c>
      <c r="V130" s="507">
        <v>1103</v>
      </c>
      <c r="W130" s="255">
        <v>1105</v>
      </c>
      <c r="X130" s="813"/>
      <c r="Y130" s="814"/>
      <c r="Z130" s="814"/>
      <c r="AA130" s="815"/>
      <c r="AB130" s="350" t="s">
        <v>719</v>
      </c>
    </row>
    <row r="131" spans="1:32" ht="12.6" customHeight="1" x14ac:dyDescent="0.2">
      <c r="A131" s="17"/>
      <c r="B131" s="670" t="s">
        <v>573</v>
      </c>
      <c r="C131" s="726"/>
      <c r="D131" s="726"/>
      <c r="E131" s="726"/>
      <c r="F131" s="280"/>
      <c r="G131" s="707" t="s">
        <v>360</v>
      </c>
      <c r="H131" s="708"/>
      <c r="I131" s="708"/>
      <c r="J131" s="708"/>
      <c r="K131" s="709"/>
      <c r="L131" s="509">
        <v>2370</v>
      </c>
      <c r="M131" s="256">
        <f t="shared" si="267"/>
        <v>2370</v>
      </c>
      <c r="N131" s="490">
        <v>2053</v>
      </c>
      <c r="O131" s="256">
        <f t="shared" si="267"/>
        <v>2053</v>
      </c>
      <c r="P131" s="329">
        <v>2046</v>
      </c>
      <c r="Q131" s="256">
        <f t="shared" si="268"/>
        <v>2046</v>
      </c>
      <c r="R131" s="391">
        <v>1882</v>
      </c>
      <c r="S131" s="256">
        <f t="shared" si="269"/>
        <v>1882</v>
      </c>
      <c r="T131" s="391">
        <v>1614</v>
      </c>
      <c r="U131" s="256">
        <v>1771</v>
      </c>
      <c r="V131" s="391">
        <v>1512</v>
      </c>
      <c r="W131" s="256">
        <f t="shared" si="271"/>
        <v>1512</v>
      </c>
      <c r="X131" s="813"/>
      <c r="Y131" s="814"/>
      <c r="Z131" s="814"/>
      <c r="AA131" s="815"/>
      <c r="AB131" s="350">
        <v>303</v>
      </c>
    </row>
    <row r="132" spans="1:32" ht="12.6" customHeight="1" x14ac:dyDescent="0.2">
      <c r="A132" s="17"/>
      <c r="B132" s="678" t="s">
        <v>758</v>
      </c>
      <c r="C132" s="679"/>
      <c r="D132" s="679"/>
      <c r="E132" s="679"/>
      <c r="F132" s="255">
        <v>1930</v>
      </c>
      <c r="G132" s="255">
        <f>+F132*$X$1</f>
        <v>1930</v>
      </c>
      <c r="H132" s="68"/>
      <c r="I132" s="255"/>
      <c r="J132" s="68">
        <f>F132+200</f>
        <v>2130</v>
      </c>
      <c r="K132" s="255">
        <f t="shared" ref="K132" si="307">+J132*$X$1</f>
        <v>2130</v>
      </c>
      <c r="L132" s="527">
        <f t="shared" ref="L132" si="308">F132+150</f>
        <v>2080</v>
      </c>
      <c r="M132" s="255">
        <f t="shared" si="267"/>
        <v>2080</v>
      </c>
      <c r="N132" s="527">
        <f t="shared" ref="N132" si="309">F132+110</f>
        <v>2040</v>
      </c>
      <c r="O132" s="255">
        <f t="shared" si="267"/>
        <v>2040</v>
      </c>
      <c r="P132" s="527">
        <f t="shared" ref="P132" si="310">F132+100</f>
        <v>2030</v>
      </c>
      <c r="Q132" s="255">
        <f t="shared" si="268"/>
        <v>2030</v>
      </c>
      <c r="R132" s="527"/>
      <c r="S132" s="255"/>
      <c r="T132" s="527"/>
      <c r="U132" s="255"/>
      <c r="V132" s="527"/>
      <c r="W132" s="255"/>
      <c r="X132" s="693"/>
      <c r="Y132" s="667"/>
      <c r="Z132" s="667"/>
      <c r="AA132" s="669"/>
      <c r="AB132" s="350">
        <v>304</v>
      </c>
    </row>
    <row r="133" spans="1:32" ht="12.6" customHeight="1" x14ac:dyDescent="0.2">
      <c r="A133" s="17"/>
      <c r="B133" s="657" t="s">
        <v>692</v>
      </c>
      <c r="C133" s="633"/>
      <c r="D133" s="633"/>
      <c r="E133" s="633"/>
      <c r="F133" s="290">
        <v>2350</v>
      </c>
      <c r="G133" s="256">
        <f t="shared" ref="G133" si="311">+F133*$X$1</f>
        <v>2350</v>
      </c>
      <c r="H133" s="536"/>
      <c r="I133" s="256"/>
      <c r="J133" s="536"/>
      <c r="K133" s="256"/>
      <c r="L133" s="536">
        <f>F133+150</f>
        <v>2500</v>
      </c>
      <c r="M133" s="256">
        <f t="shared" si="267"/>
        <v>2500</v>
      </c>
      <c r="N133" s="536">
        <f>F133+100</f>
        <v>2450</v>
      </c>
      <c r="O133" s="256">
        <f>+N133*$X$1</f>
        <v>2450</v>
      </c>
      <c r="P133" s="536">
        <f>F133+90</f>
        <v>2440</v>
      </c>
      <c r="Q133" s="256">
        <f t="shared" si="268"/>
        <v>2440</v>
      </c>
      <c r="R133" s="536">
        <f>F133+70</f>
        <v>2420</v>
      </c>
      <c r="S133" s="256">
        <f>+R133*$X$1</f>
        <v>2420</v>
      </c>
      <c r="T133" s="536">
        <f>F133+56</f>
        <v>2406</v>
      </c>
      <c r="U133" s="256">
        <f t="shared" ref="U133:U134" si="312">+T133*$X$1</f>
        <v>2406</v>
      </c>
      <c r="V133" s="536">
        <f>F133+49</f>
        <v>2399</v>
      </c>
      <c r="W133" s="256">
        <f t="shared" ref="W133:W134" si="313">+V133*$X$1</f>
        <v>2399</v>
      </c>
      <c r="X133" s="693"/>
      <c r="Y133" s="667"/>
      <c r="Z133" s="667"/>
      <c r="AA133" s="669"/>
      <c r="AB133" s="350">
        <v>307</v>
      </c>
    </row>
    <row r="134" spans="1:32" ht="12.6" customHeight="1" x14ac:dyDescent="0.2">
      <c r="A134" s="17"/>
      <c r="B134" s="678" t="s">
        <v>495</v>
      </c>
      <c r="C134" s="679"/>
      <c r="D134" s="679"/>
      <c r="E134" s="679"/>
      <c r="F134" s="270">
        <v>1921</v>
      </c>
      <c r="G134" s="255">
        <f>+F134*$X$1</f>
        <v>1921</v>
      </c>
      <c r="H134" s="251"/>
      <c r="I134" s="302"/>
      <c r="J134" s="527"/>
      <c r="K134" s="255"/>
      <c r="L134" s="527">
        <v>3750</v>
      </c>
      <c r="M134" s="255">
        <f>+L134*$X$1</f>
        <v>3750</v>
      </c>
      <c r="N134" s="527">
        <v>3105</v>
      </c>
      <c r="O134" s="255">
        <f t="shared" si="267"/>
        <v>3105</v>
      </c>
      <c r="P134" s="281">
        <v>2873</v>
      </c>
      <c r="Q134" s="255">
        <f t="shared" ref="Q134" si="314">+P134*$X$1</f>
        <v>2873</v>
      </c>
      <c r="R134" s="527">
        <v>2647</v>
      </c>
      <c r="S134" s="255">
        <f t="shared" si="269"/>
        <v>2647</v>
      </c>
      <c r="T134" s="527">
        <v>2480</v>
      </c>
      <c r="U134" s="255">
        <f t="shared" si="312"/>
        <v>2480</v>
      </c>
      <c r="V134" s="527">
        <v>2362</v>
      </c>
      <c r="W134" s="255">
        <f t="shared" si="313"/>
        <v>2362</v>
      </c>
      <c r="X134" s="693"/>
      <c r="Y134" s="667"/>
      <c r="Z134" s="667"/>
      <c r="AA134" s="669"/>
      <c r="AB134" s="350">
        <v>308</v>
      </c>
    </row>
    <row r="135" spans="1:32" ht="12.6" customHeight="1" x14ac:dyDescent="0.2">
      <c r="A135" s="17"/>
      <c r="B135" s="657" t="s">
        <v>494</v>
      </c>
      <c r="C135" s="633"/>
      <c r="D135" s="633"/>
      <c r="E135" s="633"/>
      <c r="F135" s="280">
        <v>1921</v>
      </c>
      <c r="G135" s="256">
        <f>+F135*$X$1</f>
        <v>1921</v>
      </c>
      <c r="H135" s="250"/>
      <c r="I135" s="303"/>
      <c r="J135" s="536"/>
      <c r="K135" s="256"/>
      <c r="L135" s="536">
        <v>3750</v>
      </c>
      <c r="M135" s="256">
        <f>+L135*$X$1</f>
        <v>3750</v>
      </c>
      <c r="N135" s="536">
        <v>3105</v>
      </c>
      <c r="O135" s="256">
        <f t="shared" ref="O135" si="315">+N135*$X$1</f>
        <v>3105</v>
      </c>
      <c r="P135" s="252">
        <v>2873</v>
      </c>
      <c r="Q135" s="256">
        <f t="shared" ref="Q135" si="316">+P135*$X$1</f>
        <v>2873</v>
      </c>
      <c r="R135" s="536">
        <v>2647</v>
      </c>
      <c r="S135" s="256">
        <f t="shared" ref="S135" si="317">+R135*$X$1</f>
        <v>2647</v>
      </c>
      <c r="T135" s="536">
        <v>2480</v>
      </c>
      <c r="U135" s="256">
        <f t="shared" ref="U135" si="318">+T135*$X$1</f>
        <v>2480</v>
      </c>
      <c r="V135" s="536">
        <v>2362</v>
      </c>
      <c r="W135" s="256">
        <f t="shared" ref="W135" si="319">+V135*$X$1</f>
        <v>2362</v>
      </c>
      <c r="X135" s="693"/>
      <c r="Y135" s="667"/>
      <c r="Z135" s="667"/>
      <c r="AA135" s="669"/>
      <c r="AB135" s="350">
        <v>309</v>
      </c>
    </row>
    <row r="136" spans="1:32" ht="12.6" customHeight="1" x14ac:dyDescent="0.2">
      <c r="A136" s="17"/>
      <c r="B136" s="678" t="s">
        <v>771</v>
      </c>
      <c r="C136" s="679"/>
      <c r="D136" s="679"/>
      <c r="E136" s="679"/>
      <c r="F136" s="323">
        <f>0.73*X2</f>
        <v>1124.2</v>
      </c>
      <c r="G136" s="255">
        <f>+F136*$X$1</f>
        <v>1124.2</v>
      </c>
      <c r="H136" s="527"/>
      <c r="I136" s="255"/>
      <c r="J136" s="527">
        <f>F136+200</f>
        <v>1324.2</v>
      </c>
      <c r="K136" s="255">
        <f t="shared" ref="K136" si="320">+J136*$X$1</f>
        <v>1324.2</v>
      </c>
      <c r="L136" s="527">
        <f>F136+150</f>
        <v>1274.2</v>
      </c>
      <c r="M136" s="255">
        <f t="shared" ref="M136:M138" si="321">+L136*$X$1</f>
        <v>1274.2</v>
      </c>
      <c r="N136" s="527">
        <f>F136+100</f>
        <v>1224.2</v>
      </c>
      <c r="O136" s="255">
        <f>+N136*$X$1</f>
        <v>1224.2</v>
      </c>
      <c r="P136" s="527">
        <f>F136+90</f>
        <v>1214.2</v>
      </c>
      <c r="Q136" s="255">
        <f t="shared" ref="Q136:Q138" si="322">+P136*$X$1</f>
        <v>1214.2</v>
      </c>
      <c r="R136" s="527">
        <f>F136+70</f>
        <v>1194.2</v>
      </c>
      <c r="S136" s="255">
        <f>+R136*$X$1</f>
        <v>1194.2</v>
      </c>
      <c r="T136" s="527">
        <f>F136+56</f>
        <v>1180.2</v>
      </c>
      <c r="U136" s="255">
        <f t="shared" ref="U136:U138" si="323">+T136*$X$1</f>
        <v>1180.2</v>
      </c>
      <c r="V136" s="527">
        <f>F136+49</f>
        <v>1173.2</v>
      </c>
      <c r="W136" s="255">
        <f t="shared" ref="W136:W138" si="324">+V136*$X$1</f>
        <v>1173.2</v>
      </c>
      <c r="X136" s="693"/>
      <c r="Y136" s="667"/>
      <c r="Z136" s="667"/>
      <c r="AA136" s="669"/>
      <c r="AB136" s="350">
        <v>310</v>
      </c>
    </row>
    <row r="137" spans="1:32" ht="12.6" customHeight="1" x14ac:dyDescent="0.2">
      <c r="A137" s="17"/>
      <c r="B137" s="657" t="s">
        <v>726</v>
      </c>
      <c r="C137" s="633"/>
      <c r="D137" s="633"/>
      <c r="E137" s="633"/>
      <c r="F137" s="324">
        <f>0.64*X2</f>
        <v>985.6</v>
      </c>
      <c r="G137" s="256">
        <f>+F137*$X$1</f>
        <v>985.6</v>
      </c>
      <c r="H137" s="536"/>
      <c r="I137" s="256"/>
      <c r="J137" s="536">
        <f>F137+200</f>
        <v>1185.5999999999999</v>
      </c>
      <c r="K137" s="256">
        <f t="shared" ref="K137" si="325">+J137*$X$1</f>
        <v>1185.5999999999999</v>
      </c>
      <c r="L137" s="536">
        <f>F137+150</f>
        <v>1135.5999999999999</v>
      </c>
      <c r="M137" s="256">
        <f t="shared" si="321"/>
        <v>1135.5999999999999</v>
      </c>
      <c r="N137" s="536">
        <f>F137+100</f>
        <v>1085.5999999999999</v>
      </c>
      <c r="O137" s="256">
        <f>+N137*$X$1</f>
        <v>1085.5999999999999</v>
      </c>
      <c r="P137" s="536">
        <f>F137+90</f>
        <v>1075.5999999999999</v>
      </c>
      <c r="Q137" s="256">
        <f t="shared" si="322"/>
        <v>1075.5999999999999</v>
      </c>
      <c r="R137" s="536">
        <f>F137+70</f>
        <v>1055.5999999999999</v>
      </c>
      <c r="S137" s="256">
        <f>+R137*$X$1</f>
        <v>1055.5999999999999</v>
      </c>
      <c r="T137" s="536">
        <f>F137+56</f>
        <v>1041.5999999999999</v>
      </c>
      <c r="U137" s="256">
        <f t="shared" si="323"/>
        <v>1041.5999999999999</v>
      </c>
      <c r="V137" s="536">
        <f>F137+49</f>
        <v>1034.5999999999999</v>
      </c>
      <c r="W137" s="256">
        <f t="shared" si="324"/>
        <v>1034.5999999999999</v>
      </c>
      <c r="X137" s="693"/>
      <c r="Y137" s="667"/>
      <c r="Z137" s="667"/>
      <c r="AA137" s="669"/>
      <c r="AB137" s="350">
        <v>311</v>
      </c>
    </row>
    <row r="138" spans="1:32" ht="12.6" customHeight="1" x14ac:dyDescent="0.2">
      <c r="A138" s="17"/>
      <c r="B138" s="678" t="s">
        <v>434</v>
      </c>
      <c r="C138" s="679"/>
      <c r="D138" s="679"/>
      <c r="E138" s="679"/>
      <c r="F138" s="323">
        <f>0.78*X2</f>
        <v>1201.2</v>
      </c>
      <c r="G138" s="255">
        <f t="shared" ref="G138" si="326">+F138*$X$1</f>
        <v>1201.2</v>
      </c>
      <c r="H138" s="527"/>
      <c r="I138" s="255"/>
      <c r="J138" s="527">
        <f>F138+200</f>
        <v>1401.2</v>
      </c>
      <c r="K138" s="255">
        <f t="shared" ref="K138" si="327">+J138*$X$1</f>
        <v>1401.2</v>
      </c>
      <c r="L138" s="527">
        <f>F138+150</f>
        <v>1351.2</v>
      </c>
      <c r="M138" s="255">
        <f t="shared" si="321"/>
        <v>1351.2</v>
      </c>
      <c r="N138" s="527">
        <f>F138+100</f>
        <v>1301.2</v>
      </c>
      <c r="O138" s="255">
        <f>+N138*$X$1</f>
        <v>1301.2</v>
      </c>
      <c r="P138" s="527">
        <f>F138+90</f>
        <v>1291.2</v>
      </c>
      <c r="Q138" s="255">
        <f t="shared" si="322"/>
        <v>1291.2</v>
      </c>
      <c r="R138" s="527">
        <f>F138+70</f>
        <v>1271.2</v>
      </c>
      <c r="S138" s="255">
        <f>+R138*$X$1</f>
        <v>1271.2</v>
      </c>
      <c r="T138" s="527">
        <f>F138+56</f>
        <v>1257.2</v>
      </c>
      <c r="U138" s="255">
        <f t="shared" si="323"/>
        <v>1257.2</v>
      </c>
      <c r="V138" s="527">
        <f>F138+49</f>
        <v>1250.2</v>
      </c>
      <c r="W138" s="255">
        <f t="shared" si="324"/>
        <v>1250.2</v>
      </c>
      <c r="X138" s="693"/>
      <c r="Y138" s="667"/>
      <c r="Z138" s="667"/>
      <c r="AA138" s="669"/>
      <c r="AB138" s="350">
        <v>312</v>
      </c>
    </row>
    <row r="139" spans="1:32" ht="12.6" customHeight="1" x14ac:dyDescent="0.2">
      <c r="A139" s="17"/>
      <c r="B139" s="642" t="s">
        <v>151</v>
      </c>
      <c r="C139" s="680"/>
      <c r="D139" s="680"/>
      <c r="E139" s="681"/>
      <c r="F139" s="256"/>
      <c r="G139" s="256"/>
      <c r="H139" s="391"/>
      <c r="I139" s="256"/>
      <c r="J139" s="82"/>
      <c r="K139" s="256"/>
      <c r="L139" s="391"/>
      <c r="M139" s="256"/>
      <c r="N139" s="391"/>
      <c r="O139" s="256"/>
      <c r="P139" s="391"/>
      <c r="Q139" s="256"/>
      <c r="R139" s="391"/>
      <c r="S139" s="256"/>
      <c r="T139" s="391"/>
      <c r="U139" s="256"/>
      <c r="V139" s="391"/>
      <c r="W139" s="256"/>
      <c r="X139" s="693"/>
      <c r="Y139" s="667"/>
      <c r="Z139" s="667"/>
      <c r="AA139" s="669"/>
      <c r="AB139" s="350" t="s">
        <v>152</v>
      </c>
    </row>
    <row r="140" spans="1:32" ht="12.6" customHeight="1" x14ac:dyDescent="0.2">
      <c r="A140" s="17"/>
      <c r="B140" s="756" t="s">
        <v>153</v>
      </c>
      <c r="C140" s="757"/>
      <c r="D140" s="757"/>
      <c r="E140" s="758"/>
      <c r="F140" s="270"/>
      <c r="G140" s="255"/>
      <c r="H140" s="438"/>
      <c r="I140" s="255"/>
      <c r="J140" s="68"/>
      <c r="K140" s="255"/>
      <c r="L140" s="438"/>
      <c r="M140" s="255"/>
      <c r="N140" s="438"/>
      <c r="O140" s="255"/>
      <c r="P140" s="438"/>
      <c r="Q140" s="255"/>
      <c r="R140" s="438"/>
      <c r="S140" s="255"/>
      <c r="T140" s="438"/>
      <c r="U140" s="255"/>
      <c r="V140" s="438"/>
      <c r="W140" s="255"/>
      <c r="X140" s="750"/>
      <c r="Y140" s="796"/>
      <c r="Z140" s="796"/>
      <c r="AA140" s="752"/>
      <c r="AB140" s="383" t="s">
        <v>154</v>
      </c>
    </row>
    <row r="141" spans="1:32" ht="12.6" customHeight="1" x14ac:dyDescent="0.2">
      <c r="A141" s="17"/>
      <c r="B141" s="642" t="s">
        <v>155</v>
      </c>
      <c r="C141" s="680"/>
      <c r="D141" s="680"/>
      <c r="E141" s="681"/>
      <c r="F141" s="256"/>
      <c r="G141" s="256"/>
      <c r="H141" s="391"/>
      <c r="I141" s="256"/>
      <c r="J141" s="82"/>
      <c r="K141" s="256"/>
      <c r="L141" s="391"/>
      <c r="M141" s="256"/>
      <c r="N141" s="391"/>
      <c r="O141" s="256"/>
      <c r="P141" s="391"/>
      <c r="Q141" s="256"/>
      <c r="R141" s="391"/>
      <c r="S141" s="256"/>
      <c r="T141" s="391"/>
      <c r="U141" s="256"/>
      <c r="V141" s="391"/>
      <c r="W141" s="256"/>
      <c r="X141" s="796"/>
      <c r="Y141" s="796"/>
      <c r="Z141" s="796"/>
      <c r="AA141" s="796"/>
      <c r="AB141" s="178" t="s">
        <v>156</v>
      </c>
    </row>
    <row r="142" spans="1:32" ht="12.6" customHeight="1" x14ac:dyDescent="0.2">
      <c r="A142" s="17"/>
      <c r="B142" s="683" t="s">
        <v>157</v>
      </c>
      <c r="C142" s="703"/>
      <c r="D142" s="703"/>
      <c r="E142" s="704"/>
      <c r="F142" s="255"/>
      <c r="G142" s="255"/>
      <c r="H142" s="438"/>
      <c r="I142" s="255"/>
      <c r="J142" s="68"/>
      <c r="K142" s="255"/>
      <c r="L142" s="438"/>
      <c r="M142" s="255"/>
      <c r="N142" s="438"/>
      <c r="O142" s="255"/>
      <c r="P142" s="438"/>
      <c r="Q142" s="255"/>
      <c r="R142" s="438"/>
      <c r="S142" s="255"/>
      <c r="T142" s="438"/>
      <c r="U142" s="255"/>
      <c r="V142" s="438"/>
      <c r="W142" s="255"/>
      <c r="X142" s="796"/>
      <c r="Y142" s="796"/>
      <c r="Z142" s="796"/>
      <c r="AA142" s="796"/>
      <c r="AB142" s="178" t="s">
        <v>158</v>
      </c>
    </row>
    <row r="143" spans="1:32" ht="12.6" customHeight="1" x14ac:dyDescent="0.2">
      <c r="A143" s="88"/>
      <c r="B143" s="642" t="s">
        <v>326</v>
      </c>
      <c r="C143" s="766"/>
      <c r="D143" s="766"/>
      <c r="E143" s="767"/>
      <c r="F143" s="256"/>
      <c r="G143" s="256"/>
      <c r="H143" s="82"/>
      <c r="I143" s="391"/>
      <c r="J143" s="391"/>
      <c r="K143" s="391"/>
      <c r="L143" s="391"/>
      <c r="M143" s="256"/>
      <c r="N143" s="391"/>
      <c r="O143" s="256"/>
      <c r="P143" s="391"/>
      <c r="Q143" s="256"/>
      <c r="R143" s="391"/>
      <c r="S143" s="256"/>
      <c r="T143" s="391"/>
      <c r="U143" s="256"/>
      <c r="V143" s="391"/>
      <c r="W143" s="256"/>
      <c r="X143" s="820"/>
      <c r="Y143" s="829"/>
      <c r="Z143" s="829"/>
      <c r="AA143" s="830"/>
      <c r="AB143" s="178"/>
    </row>
    <row r="144" spans="1:32" ht="12.6" customHeight="1" x14ac:dyDescent="0.2">
      <c r="A144" s="88"/>
      <c r="B144" s="678" t="s">
        <v>159</v>
      </c>
      <c r="C144" s="679"/>
      <c r="D144" s="679"/>
      <c r="E144" s="679"/>
      <c r="F144" s="255"/>
      <c r="G144" s="255"/>
      <c r="H144" s="68"/>
      <c r="I144" s="438"/>
      <c r="J144" s="438"/>
      <c r="K144" s="438"/>
      <c r="L144" s="438"/>
      <c r="M144" s="255"/>
      <c r="N144" s="438"/>
      <c r="O144" s="255"/>
      <c r="P144" s="438"/>
      <c r="Q144" s="255"/>
      <c r="R144" s="438"/>
      <c r="S144" s="255"/>
      <c r="T144" s="438"/>
      <c r="U144" s="255"/>
      <c r="V144" s="438"/>
      <c r="W144" s="255"/>
      <c r="X144" s="820"/>
      <c r="Y144" s="821"/>
      <c r="Z144" s="821"/>
      <c r="AA144" s="822"/>
      <c r="AB144" s="178">
        <v>316</v>
      </c>
      <c r="AC144" s="57"/>
      <c r="AD144" s="57"/>
      <c r="AE144" s="57"/>
      <c r="AF144" s="57"/>
    </row>
    <row r="145" spans="1:34" ht="12.6" customHeight="1" x14ac:dyDescent="0.2">
      <c r="A145" s="88"/>
      <c r="B145" s="657" t="s">
        <v>160</v>
      </c>
      <c r="C145" s="633"/>
      <c r="D145" s="633"/>
      <c r="E145" s="633"/>
      <c r="F145" s="256"/>
      <c r="G145" s="442"/>
      <c r="H145" s="82"/>
      <c r="I145" s="443"/>
      <c r="J145" s="391"/>
      <c r="K145" s="443"/>
      <c r="L145" s="391"/>
      <c r="M145" s="444"/>
      <c r="N145" s="391"/>
      <c r="O145" s="444"/>
      <c r="P145" s="391"/>
      <c r="Q145" s="444"/>
      <c r="R145" s="391"/>
      <c r="S145" s="444"/>
      <c r="T145" s="391"/>
      <c r="U145" s="256"/>
      <c r="V145" s="391"/>
      <c r="W145" s="256"/>
      <c r="X145" s="820"/>
      <c r="Y145" s="821"/>
      <c r="Z145" s="821"/>
      <c r="AA145" s="822"/>
      <c r="AB145" s="178">
        <v>318</v>
      </c>
      <c r="AC145" s="57"/>
      <c r="AD145" s="57"/>
      <c r="AE145" s="57"/>
      <c r="AF145" s="57"/>
    </row>
    <row r="146" spans="1:34" ht="12.6" customHeight="1" x14ac:dyDescent="0.2">
      <c r="A146" s="17"/>
      <c r="B146" s="823" t="s">
        <v>298</v>
      </c>
      <c r="C146" s="824"/>
      <c r="D146" s="824"/>
      <c r="E146" s="824"/>
      <c r="F146" s="255">
        <v>1162</v>
      </c>
      <c r="G146" s="276">
        <f>+F146*$X$1</f>
        <v>1162</v>
      </c>
      <c r="H146" s="179" t="s">
        <v>161</v>
      </c>
      <c r="I146" s="181"/>
      <c r="J146" s="78"/>
      <c r="K146" s="78"/>
      <c r="L146" s="153"/>
      <c r="M146" s="78"/>
      <c r="N146" s="78"/>
      <c r="O146" s="78"/>
      <c r="P146" s="76">
        <v>90</v>
      </c>
      <c r="Q146" s="180">
        <f>+P146*$X$1</f>
        <v>90</v>
      </c>
      <c r="R146" s="439"/>
      <c r="S146" s="440"/>
      <c r="T146" s="68"/>
      <c r="U146" s="255"/>
      <c r="V146" s="438"/>
      <c r="W146" s="255"/>
      <c r="X146" s="820"/>
      <c r="Y146" s="821"/>
      <c r="Z146" s="821"/>
      <c r="AA146" s="822"/>
      <c r="AB146" s="353"/>
      <c r="AC146" s="811"/>
      <c r="AD146" s="812"/>
      <c r="AE146" s="812"/>
      <c r="AF146" s="812"/>
      <c r="AG146" s="4"/>
    </row>
    <row r="147" spans="1:34" ht="12.6" customHeight="1" x14ac:dyDescent="0.2">
      <c r="A147" s="17"/>
      <c r="B147" s="971" t="s">
        <v>299</v>
      </c>
      <c r="C147" s="972"/>
      <c r="D147" s="972"/>
      <c r="E147" s="972"/>
      <c r="F147" s="256">
        <v>1362</v>
      </c>
      <c r="G147" s="308">
        <f>+F147*$X$1</f>
        <v>1362</v>
      </c>
      <c r="H147" s="240" t="s">
        <v>161</v>
      </c>
      <c r="I147" s="241"/>
      <c r="J147" s="242"/>
      <c r="K147" s="242"/>
      <c r="L147" s="243"/>
      <c r="M147" s="242"/>
      <c r="N147" s="242"/>
      <c r="O147" s="242"/>
      <c r="P147" s="244">
        <v>90</v>
      </c>
      <c r="Q147" s="245">
        <f>+P147*$X$1</f>
        <v>90</v>
      </c>
      <c r="R147" s="447"/>
      <c r="S147" s="445"/>
      <c r="T147" s="446"/>
      <c r="U147" s="258"/>
      <c r="V147" s="86"/>
      <c r="W147" s="258"/>
      <c r="X147" s="820"/>
      <c r="Y147" s="821"/>
      <c r="Z147" s="821"/>
      <c r="AA147" s="822"/>
      <c r="AB147" s="353"/>
    </row>
    <row r="148" spans="1:34" ht="12.6" customHeight="1" x14ac:dyDescent="0.2">
      <c r="A148" s="17"/>
      <c r="B148" s="823" t="s">
        <v>748</v>
      </c>
      <c r="C148" s="824"/>
      <c r="D148" s="824"/>
      <c r="E148" s="824"/>
      <c r="F148" s="255"/>
      <c r="G148" s="255"/>
      <c r="H148" s="247"/>
      <c r="I148" s="255"/>
      <c r="J148" s="527">
        <f>F147+400</f>
        <v>1762</v>
      </c>
      <c r="K148" s="255">
        <f t="shared" ref="K148:K149" si="328">+J148*$X$1</f>
        <v>1762</v>
      </c>
      <c r="L148" s="527">
        <f>F147+350</f>
        <v>1712</v>
      </c>
      <c r="M148" s="255">
        <f>+L148*$X$1</f>
        <v>1712</v>
      </c>
      <c r="N148" s="527">
        <f>F147+295</f>
        <v>1657</v>
      </c>
      <c r="O148" s="255">
        <f>+N148*$X$1</f>
        <v>1657</v>
      </c>
      <c r="P148" s="527">
        <f>F147+280</f>
        <v>1642</v>
      </c>
      <c r="Q148" s="255">
        <f t="shared" ref="Q148:Q149" si="329">+P148*$X$1</f>
        <v>1642</v>
      </c>
      <c r="R148" s="527">
        <f>F147+260</f>
        <v>1622</v>
      </c>
      <c r="S148" s="255">
        <f>+R148*$X$1</f>
        <v>1622</v>
      </c>
      <c r="T148" s="527">
        <f>F147+220</f>
        <v>1582</v>
      </c>
      <c r="U148" s="255">
        <f t="shared" ref="U148:U149" si="330">+T148*$X$1</f>
        <v>1582</v>
      </c>
      <c r="V148" s="527">
        <f>F147+200</f>
        <v>1562</v>
      </c>
      <c r="W148" s="255">
        <f>+V148*$X$1</f>
        <v>1562</v>
      </c>
      <c r="X148" s="820"/>
      <c r="Y148" s="821"/>
      <c r="Z148" s="821"/>
      <c r="AA148" s="822"/>
      <c r="AB148" s="350">
        <v>321</v>
      </c>
    </row>
    <row r="149" spans="1:34" ht="12.6" customHeight="1" x14ac:dyDescent="0.2">
      <c r="A149" s="17"/>
      <c r="B149" s="971" t="s">
        <v>490</v>
      </c>
      <c r="C149" s="972"/>
      <c r="D149" s="972"/>
      <c r="E149" s="972"/>
      <c r="F149" s="256"/>
      <c r="G149" s="256"/>
      <c r="H149" s="264"/>
      <c r="I149" s="256"/>
      <c r="J149" s="536">
        <f>F147+460</f>
        <v>1822</v>
      </c>
      <c r="K149" s="256">
        <f t="shared" si="328"/>
        <v>1822</v>
      </c>
      <c r="L149" s="536">
        <f>F147+415</f>
        <v>1777</v>
      </c>
      <c r="M149" s="256">
        <f>+L149*$X$1</f>
        <v>1777</v>
      </c>
      <c r="N149" s="536">
        <f>F147+350</f>
        <v>1712</v>
      </c>
      <c r="O149" s="256">
        <f>+N149*$X$1</f>
        <v>1712</v>
      </c>
      <c r="P149" s="536">
        <f>F147+320</f>
        <v>1682</v>
      </c>
      <c r="Q149" s="256">
        <f t="shared" si="329"/>
        <v>1682</v>
      </c>
      <c r="R149" s="536">
        <f>F147+300</f>
        <v>1662</v>
      </c>
      <c r="S149" s="256">
        <f>+R149*$X$1</f>
        <v>1662</v>
      </c>
      <c r="T149" s="536">
        <f>F147+280</f>
        <v>1642</v>
      </c>
      <c r="U149" s="256">
        <f t="shared" si="330"/>
        <v>1642</v>
      </c>
      <c r="V149" s="536">
        <f>F147+260</f>
        <v>1622</v>
      </c>
      <c r="W149" s="256">
        <f>+V149*$X$1</f>
        <v>1622</v>
      </c>
      <c r="X149" s="820"/>
      <c r="Y149" s="821"/>
      <c r="Z149" s="821"/>
      <c r="AA149" s="822"/>
      <c r="AB149" s="350">
        <v>322</v>
      </c>
    </row>
    <row r="150" spans="1:34" ht="12.6" customHeight="1" x14ac:dyDescent="0.2">
      <c r="A150" s="17"/>
      <c r="B150" s="823" t="s">
        <v>300</v>
      </c>
      <c r="C150" s="824"/>
      <c r="D150" s="824"/>
      <c r="E150" s="824"/>
      <c r="F150" s="255">
        <v>1456</v>
      </c>
      <c r="G150" s="276">
        <f>+F150*$X$1</f>
        <v>1456</v>
      </c>
      <c r="H150" s="390" t="s">
        <v>161</v>
      </c>
      <c r="I150" s="513"/>
      <c r="J150" s="514"/>
      <c r="K150" s="514"/>
      <c r="L150" s="514"/>
      <c r="M150" s="514"/>
      <c r="N150" s="514"/>
      <c r="O150" s="514"/>
      <c r="P150" s="77">
        <v>130</v>
      </c>
      <c r="Q150" s="246">
        <f>+P150*$X$1</f>
        <v>130</v>
      </c>
      <c r="R150" s="279"/>
      <c r="S150" s="302"/>
      <c r="T150" s="515"/>
      <c r="U150" s="516"/>
      <c r="V150" s="79"/>
      <c r="W150" s="441"/>
      <c r="X150" s="820"/>
      <c r="Y150" s="821"/>
      <c r="Z150" s="821"/>
      <c r="AA150" s="822"/>
      <c r="AB150" s="353"/>
    </row>
    <row r="151" spans="1:34" ht="12.6" customHeight="1" x14ac:dyDescent="0.2">
      <c r="A151" s="17"/>
      <c r="B151" s="657" t="s">
        <v>162</v>
      </c>
      <c r="C151" s="633"/>
      <c r="D151" s="633"/>
      <c r="E151" s="633"/>
      <c r="F151" s="258">
        <v>1676</v>
      </c>
      <c r="G151" s="308">
        <f>+F151*$X$1</f>
        <v>1676</v>
      </c>
      <c r="H151" s="240" t="s">
        <v>161</v>
      </c>
      <c r="I151" s="517"/>
      <c r="J151" s="514"/>
      <c r="K151" s="514"/>
      <c r="L151" s="514"/>
      <c r="M151" s="514"/>
      <c r="N151" s="514"/>
      <c r="O151" s="514"/>
      <c r="P151" s="77">
        <v>130</v>
      </c>
      <c r="Q151" s="180">
        <f>+P151*$X$1</f>
        <v>130</v>
      </c>
      <c r="R151" s="254"/>
      <c r="S151" s="303"/>
      <c r="T151" s="518"/>
      <c r="U151" s="519"/>
      <c r="V151" s="82"/>
      <c r="W151" s="280"/>
      <c r="X151" s="820"/>
      <c r="Y151" s="821"/>
      <c r="Z151" s="821"/>
      <c r="AA151" s="822"/>
      <c r="AB151" s="353"/>
    </row>
    <row r="152" spans="1:34" ht="12.6" customHeight="1" x14ac:dyDescent="0.2">
      <c r="A152" s="17"/>
      <c r="B152" s="678" t="s">
        <v>747</v>
      </c>
      <c r="C152" s="679"/>
      <c r="D152" s="679"/>
      <c r="E152" s="679"/>
      <c r="F152" s="305"/>
      <c r="G152" s="305"/>
      <c r="H152" s="251"/>
      <c r="I152" s="302"/>
      <c r="J152" s="527">
        <f>F151+400</f>
        <v>2076</v>
      </c>
      <c r="K152" s="255">
        <f t="shared" ref="K152:K153" si="331">+J152*$X$1</f>
        <v>2076</v>
      </c>
      <c r="L152" s="527">
        <f>F151+350</f>
        <v>2026</v>
      </c>
      <c r="M152" s="255">
        <f>+L152*$X$1</f>
        <v>2026</v>
      </c>
      <c r="N152" s="527">
        <f>F151+295</f>
        <v>1971</v>
      </c>
      <c r="O152" s="255">
        <f>+N152*$X$1</f>
        <v>1971</v>
      </c>
      <c r="P152" s="527">
        <f>F151+280</f>
        <v>1956</v>
      </c>
      <c r="Q152" s="255">
        <f t="shared" ref="Q152:Q153" si="332">+P152*$X$1</f>
        <v>1956</v>
      </c>
      <c r="R152" s="527">
        <f>F151+260</f>
        <v>1936</v>
      </c>
      <c r="S152" s="255">
        <f>+R152*$X$1</f>
        <v>1936</v>
      </c>
      <c r="T152" s="527">
        <f>F151+220</f>
        <v>1896</v>
      </c>
      <c r="U152" s="255">
        <f t="shared" ref="U152:U153" si="333">+T152*$X$1</f>
        <v>1896</v>
      </c>
      <c r="V152" s="527">
        <f>F151+200</f>
        <v>1876</v>
      </c>
      <c r="W152" s="255">
        <f>+V152*$X$1</f>
        <v>1876</v>
      </c>
      <c r="X152" s="820"/>
      <c r="Y152" s="821"/>
      <c r="Z152" s="821"/>
      <c r="AA152" s="822"/>
      <c r="AB152" s="350">
        <v>325</v>
      </c>
    </row>
    <row r="153" spans="1:34" ht="12.6" customHeight="1" x14ac:dyDescent="0.2">
      <c r="A153" s="17"/>
      <c r="B153" s="657" t="s">
        <v>489</v>
      </c>
      <c r="C153" s="633"/>
      <c r="D153" s="633"/>
      <c r="E153" s="633"/>
      <c r="F153" s="304"/>
      <c r="G153" s="304"/>
      <c r="H153" s="250"/>
      <c r="I153" s="303"/>
      <c r="J153" s="536">
        <f>F151+460</f>
        <v>2136</v>
      </c>
      <c r="K153" s="256">
        <f t="shared" si="331"/>
        <v>2136</v>
      </c>
      <c r="L153" s="536">
        <f>F151+415</f>
        <v>2091</v>
      </c>
      <c r="M153" s="256">
        <f>+L153*$X$1</f>
        <v>2091</v>
      </c>
      <c r="N153" s="536">
        <f>F151+350</f>
        <v>2026</v>
      </c>
      <c r="O153" s="256">
        <f>+N153*$X$1</f>
        <v>2026</v>
      </c>
      <c r="P153" s="536">
        <f>F151+320</f>
        <v>1996</v>
      </c>
      <c r="Q153" s="256">
        <f t="shared" si="332"/>
        <v>1996</v>
      </c>
      <c r="R153" s="536">
        <f>F151+300</f>
        <v>1976</v>
      </c>
      <c r="S153" s="256">
        <f>+R153*$X$1</f>
        <v>1976</v>
      </c>
      <c r="T153" s="536">
        <f>F151+280</f>
        <v>1956</v>
      </c>
      <c r="U153" s="256">
        <f t="shared" si="333"/>
        <v>1956</v>
      </c>
      <c r="V153" s="536">
        <f>F151+260</f>
        <v>1936</v>
      </c>
      <c r="W153" s="256">
        <f>+V153*$X$1</f>
        <v>1936</v>
      </c>
      <c r="X153" s="820"/>
      <c r="Y153" s="821"/>
      <c r="Z153" s="821"/>
      <c r="AA153" s="822"/>
      <c r="AB153" s="350">
        <v>326</v>
      </c>
    </row>
    <row r="154" spans="1:34" ht="12.6" customHeight="1" x14ac:dyDescent="0.2">
      <c r="A154" s="17"/>
      <c r="B154" s="678" t="s">
        <v>316</v>
      </c>
      <c r="C154" s="679"/>
      <c r="D154" s="679"/>
      <c r="E154" s="679"/>
      <c r="F154" s="323">
        <f>8.34*X2</f>
        <v>12843.6</v>
      </c>
      <c r="G154" s="255">
        <f>+F154*$X$1</f>
        <v>12843.6</v>
      </c>
      <c r="H154" s="527">
        <f>F154+700</f>
        <v>13543.6</v>
      </c>
      <c r="I154" s="255">
        <f>+H154*$X$1</f>
        <v>13543.6</v>
      </c>
      <c r="J154" s="527">
        <f>F154+300</f>
        <v>13143.6</v>
      </c>
      <c r="K154" s="255">
        <f>+J154*$X$1</f>
        <v>13143.6</v>
      </c>
      <c r="L154" s="527">
        <f>F154+200</f>
        <v>13043.6</v>
      </c>
      <c r="M154" s="255">
        <f>+L154*$X$1</f>
        <v>13043.6</v>
      </c>
      <c r="N154" s="527">
        <f>F154+160</f>
        <v>13003.6</v>
      </c>
      <c r="O154" s="255">
        <f>+N154*$X$1</f>
        <v>13003.6</v>
      </c>
      <c r="P154" s="527">
        <f>F154+130</f>
        <v>12973.6</v>
      </c>
      <c r="Q154" s="255">
        <f>+P154*$X$1</f>
        <v>12973.6</v>
      </c>
      <c r="R154" s="527">
        <f>F154+110</f>
        <v>12953.6</v>
      </c>
      <c r="S154" s="255">
        <f>+R154*$X$1</f>
        <v>12953.6</v>
      </c>
      <c r="T154" s="527">
        <f>F154+90</f>
        <v>12933.6</v>
      </c>
      <c r="U154" s="255">
        <f>+T154*$X$1</f>
        <v>12933.6</v>
      </c>
      <c r="V154" s="527">
        <f>F154+70</f>
        <v>12913.6</v>
      </c>
      <c r="W154" s="255">
        <f>+V154*$X$1</f>
        <v>12913.6</v>
      </c>
      <c r="X154" s="714"/>
      <c r="Y154" s="718"/>
      <c r="Z154" s="718"/>
      <c r="AA154" s="716"/>
      <c r="AB154" s="178">
        <v>332</v>
      </c>
    </row>
    <row r="155" spans="1:34" ht="12.75" customHeight="1" x14ac:dyDescent="0.2">
      <c r="A155" s="17"/>
      <c r="B155" s="3"/>
      <c r="C155" s="3"/>
      <c r="D155" s="3"/>
      <c r="E155" s="3"/>
      <c r="F155" s="116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7"/>
      <c r="B156" s="3"/>
      <c r="C156" s="3"/>
      <c r="D156" s="3"/>
      <c r="E156" s="62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3"/>
      <c r="F157" s="8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7"/>
      <c r="B158" s="789" t="s">
        <v>11</v>
      </c>
      <c r="C158" s="775" t="s">
        <v>12</v>
      </c>
      <c r="D158" s="776"/>
      <c r="E158" s="776"/>
      <c r="F158" s="650" t="s">
        <v>13</v>
      </c>
      <c r="G158" s="650" t="s">
        <v>13</v>
      </c>
      <c r="H158" s="695" t="s">
        <v>723</v>
      </c>
      <c r="I158" s="695"/>
      <c r="J158" s="696"/>
      <c r="K158" s="696"/>
      <c r="L158" s="696"/>
      <c r="M158" s="696"/>
      <c r="N158" s="696"/>
      <c r="O158" s="696"/>
      <c r="P158" s="696"/>
      <c r="Q158" s="696"/>
      <c r="R158" s="696"/>
      <c r="S158" s="696"/>
      <c r="T158" s="696"/>
      <c r="U158" s="696"/>
      <c r="V158" s="696"/>
      <c r="W158" s="696"/>
      <c r="X158" s="739" t="s">
        <v>14</v>
      </c>
      <c r="Y158" s="740"/>
      <c r="Z158" s="740"/>
      <c r="AA158" s="741"/>
      <c r="AB158" s="638" t="s">
        <v>15</v>
      </c>
      <c r="AF158" s="640" t="s">
        <v>3</v>
      </c>
      <c r="AG158" s="641"/>
      <c r="AH158" s="641"/>
    </row>
    <row r="159" spans="1:34" ht="12.6" customHeight="1" x14ac:dyDescent="0.2">
      <c r="A159" s="17"/>
      <c r="B159" s="789"/>
      <c r="C159" s="776"/>
      <c r="D159" s="776"/>
      <c r="E159" s="776"/>
      <c r="F159" s="651"/>
      <c r="G159" s="651"/>
      <c r="H159" s="400"/>
      <c r="I159" s="398" t="s">
        <v>261</v>
      </c>
      <c r="J159" s="400"/>
      <c r="K159" s="398" t="s">
        <v>17</v>
      </c>
      <c r="L159" s="401"/>
      <c r="M159" s="401" t="s">
        <v>18</v>
      </c>
      <c r="N159" s="401"/>
      <c r="O159" s="398" t="s">
        <v>19</v>
      </c>
      <c r="P159" s="401"/>
      <c r="Q159" s="401" t="s">
        <v>262</v>
      </c>
      <c r="R159" s="401"/>
      <c r="S159" s="401" t="s">
        <v>20</v>
      </c>
      <c r="T159" s="401"/>
      <c r="U159" s="401" t="s">
        <v>21</v>
      </c>
      <c r="V159" s="401"/>
      <c r="W159" s="401" t="s">
        <v>22</v>
      </c>
      <c r="X159" s="742"/>
      <c r="Y159" s="743"/>
      <c r="Z159" s="743"/>
      <c r="AA159" s="744"/>
      <c r="AB159" s="639"/>
      <c r="AG159" s="31"/>
    </row>
    <row r="160" spans="1:34" ht="12.6" customHeight="1" x14ac:dyDescent="0.2">
      <c r="A160" s="19"/>
      <c r="B160" s="976" t="s">
        <v>163</v>
      </c>
      <c r="C160" s="977"/>
      <c r="D160" s="977"/>
      <c r="E160" s="977"/>
      <c r="F160" s="255">
        <v>530</v>
      </c>
      <c r="G160" s="255">
        <f t="shared" ref="G160" si="334">+F160*$X$1</f>
        <v>530</v>
      </c>
      <c r="H160" s="614"/>
      <c r="I160" s="614"/>
      <c r="J160" s="527">
        <f>F160+400</f>
        <v>930</v>
      </c>
      <c r="K160" s="255">
        <f t="shared" ref="K160" si="335">+J160*$X$1</f>
        <v>930</v>
      </c>
      <c r="L160" s="527">
        <f>F160+360</f>
        <v>890</v>
      </c>
      <c r="M160" s="255">
        <f>+L160*$X$1</f>
        <v>890</v>
      </c>
      <c r="N160" s="527">
        <f>F160+340</f>
        <v>870</v>
      </c>
      <c r="O160" s="255">
        <f>+N160*$X$1</f>
        <v>870</v>
      </c>
      <c r="P160" s="527">
        <f>F160+300</f>
        <v>830</v>
      </c>
      <c r="Q160" s="255">
        <f t="shared" ref="Q160" si="336">+P160*$X$1</f>
        <v>830</v>
      </c>
      <c r="R160" s="527">
        <f>F160+260</f>
        <v>790</v>
      </c>
      <c r="S160" s="255">
        <f>+R160*$X$1</f>
        <v>790</v>
      </c>
      <c r="T160" s="527"/>
      <c r="U160" s="255"/>
      <c r="V160" s="527"/>
      <c r="W160" s="255"/>
      <c r="X160" s="135"/>
      <c r="Y160" s="135"/>
      <c r="Z160" s="135"/>
      <c r="AA160" s="135"/>
      <c r="AB160" s="178">
        <v>347</v>
      </c>
    </row>
    <row r="161" spans="1:38" ht="12.6" customHeight="1" x14ac:dyDescent="0.25">
      <c r="A161" s="19"/>
      <c r="B161" s="657" t="s">
        <v>570</v>
      </c>
      <c r="C161" s="633"/>
      <c r="D161" s="633"/>
      <c r="E161" s="633"/>
      <c r="F161" s="262"/>
      <c r="G161" s="611"/>
      <c r="H161" s="536">
        <v>6200</v>
      </c>
      <c r="I161" s="256">
        <f t="shared" ref="I161:W165" si="337">+H161*$X$1</f>
        <v>6200</v>
      </c>
      <c r="J161" s="536">
        <v>5870</v>
      </c>
      <c r="K161" s="256">
        <f t="shared" si="337"/>
        <v>5870</v>
      </c>
      <c r="L161" s="260">
        <v>5811</v>
      </c>
      <c r="M161" s="256">
        <f t="shared" si="337"/>
        <v>5811</v>
      </c>
      <c r="N161" s="578">
        <v>5780</v>
      </c>
      <c r="O161" s="256">
        <f t="shared" si="337"/>
        <v>5780</v>
      </c>
      <c r="P161" s="260">
        <v>5684</v>
      </c>
      <c r="Q161" s="256">
        <f t="shared" si="337"/>
        <v>5684</v>
      </c>
      <c r="R161" s="536">
        <v>5460</v>
      </c>
      <c r="S161" s="256">
        <f t="shared" si="337"/>
        <v>5460</v>
      </c>
      <c r="T161" s="536">
        <v>5238</v>
      </c>
      <c r="U161" s="256">
        <f t="shared" si="337"/>
        <v>5238</v>
      </c>
      <c r="V161" s="536">
        <v>4825</v>
      </c>
      <c r="W161" s="256">
        <f t="shared" si="337"/>
        <v>4825</v>
      </c>
      <c r="X161" s="135"/>
      <c r="Y161" s="135"/>
      <c r="Z161" s="135"/>
      <c r="AA161" s="135"/>
      <c r="AB161" s="178">
        <v>348</v>
      </c>
    </row>
    <row r="162" spans="1:38" ht="12.6" customHeight="1" x14ac:dyDescent="0.25">
      <c r="A162" s="19"/>
      <c r="B162" s="678" t="s">
        <v>164</v>
      </c>
      <c r="C162" s="679"/>
      <c r="D162" s="679"/>
      <c r="E162" s="679"/>
      <c r="F162" s="263"/>
      <c r="G162" s="576"/>
      <c r="H162" s="527">
        <v>6200</v>
      </c>
      <c r="I162" s="255">
        <f t="shared" ref="I162" si="338">+H162*$X$1</f>
        <v>6200</v>
      </c>
      <c r="J162" s="527">
        <v>5870</v>
      </c>
      <c r="K162" s="255">
        <f t="shared" ref="K162" si="339">+J162*$X$1</f>
        <v>5870</v>
      </c>
      <c r="L162" s="261">
        <v>5811</v>
      </c>
      <c r="M162" s="255">
        <f t="shared" ref="M162" si="340">+L162*$X$1</f>
        <v>5811</v>
      </c>
      <c r="N162" s="577">
        <v>5780</v>
      </c>
      <c r="O162" s="255">
        <f t="shared" ref="O162" si="341">+N162*$X$1</f>
        <v>5780</v>
      </c>
      <c r="P162" s="261">
        <v>5684</v>
      </c>
      <c r="Q162" s="255">
        <f t="shared" ref="Q162" si="342">+P162*$X$1</f>
        <v>5684</v>
      </c>
      <c r="R162" s="527">
        <v>5460</v>
      </c>
      <c r="S162" s="255">
        <f t="shared" ref="S162" si="343">+R162*$X$1</f>
        <v>5460</v>
      </c>
      <c r="T162" s="527">
        <v>5238</v>
      </c>
      <c r="U162" s="255">
        <f t="shared" ref="U162" si="344">+T162*$X$1</f>
        <v>5238</v>
      </c>
      <c r="V162" s="527">
        <v>4825</v>
      </c>
      <c r="W162" s="255">
        <f t="shared" ref="W162" si="345">+V162*$X$1</f>
        <v>4825</v>
      </c>
      <c r="X162" s="135"/>
      <c r="Y162" s="135"/>
      <c r="Z162" s="135"/>
      <c r="AA162" s="135"/>
      <c r="AB162" s="178">
        <v>349</v>
      </c>
    </row>
    <row r="163" spans="1:38" ht="12.6" customHeight="1" x14ac:dyDescent="0.25">
      <c r="A163" s="19"/>
      <c r="B163" s="657" t="s">
        <v>165</v>
      </c>
      <c r="C163" s="633"/>
      <c r="D163" s="633"/>
      <c r="E163" s="633"/>
      <c r="F163" s="262"/>
      <c r="G163" s="611"/>
      <c r="H163" s="536">
        <v>5600</v>
      </c>
      <c r="I163" s="256">
        <f t="shared" si="337"/>
        <v>5600</v>
      </c>
      <c r="J163" s="536">
        <v>5250</v>
      </c>
      <c r="K163" s="256">
        <f t="shared" si="337"/>
        <v>5250</v>
      </c>
      <c r="L163" s="260">
        <v>5220</v>
      </c>
      <c r="M163" s="256">
        <f t="shared" si="337"/>
        <v>5220</v>
      </c>
      <c r="N163" s="578">
        <v>5140</v>
      </c>
      <c r="O163" s="256">
        <f t="shared" si="337"/>
        <v>5140</v>
      </c>
      <c r="P163" s="260">
        <v>4900</v>
      </c>
      <c r="Q163" s="256">
        <f t="shared" si="337"/>
        <v>4900</v>
      </c>
      <c r="R163" s="536">
        <v>4680</v>
      </c>
      <c r="S163" s="256">
        <f t="shared" si="337"/>
        <v>4680</v>
      </c>
      <c r="T163" s="536">
        <v>4560</v>
      </c>
      <c r="U163" s="256">
        <f t="shared" si="337"/>
        <v>4560</v>
      </c>
      <c r="V163" s="536">
        <v>4439</v>
      </c>
      <c r="W163" s="256">
        <f t="shared" si="337"/>
        <v>4439</v>
      </c>
      <c r="X163" s="135"/>
      <c r="Y163" s="135"/>
      <c r="Z163" s="135"/>
      <c r="AA163" s="135"/>
      <c r="AB163" s="178">
        <v>350</v>
      </c>
    </row>
    <row r="164" spans="1:38" ht="12.6" customHeight="1" x14ac:dyDescent="0.25">
      <c r="A164" s="19"/>
      <c r="B164" s="678" t="s">
        <v>166</v>
      </c>
      <c r="C164" s="679"/>
      <c r="D164" s="679"/>
      <c r="E164" s="679"/>
      <c r="F164" s="263"/>
      <c r="G164" s="576"/>
      <c r="H164" s="527">
        <v>6200</v>
      </c>
      <c r="I164" s="255">
        <f t="shared" ref="I164" si="346">+H164*$X$1</f>
        <v>6200</v>
      </c>
      <c r="J164" s="527">
        <v>5870</v>
      </c>
      <c r="K164" s="255">
        <f t="shared" ref="K164" si="347">+J164*$X$1</f>
        <v>5870</v>
      </c>
      <c r="L164" s="261">
        <v>5811</v>
      </c>
      <c r="M164" s="255">
        <f t="shared" ref="M164" si="348">+L164*$X$1</f>
        <v>5811</v>
      </c>
      <c r="N164" s="577">
        <v>5780</v>
      </c>
      <c r="O164" s="255">
        <f t="shared" ref="O164" si="349">+N164*$X$1</f>
        <v>5780</v>
      </c>
      <c r="P164" s="261">
        <v>5684</v>
      </c>
      <c r="Q164" s="255">
        <f t="shared" ref="Q164" si="350">+P164*$X$1</f>
        <v>5684</v>
      </c>
      <c r="R164" s="527">
        <v>5460</v>
      </c>
      <c r="S164" s="255">
        <f t="shared" ref="S164" si="351">+R164*$X$1</f>
        <v>5460</v>
      </c>
      <c r="T164" s="527">
        <v>5238</v>
      </c>
      <c r="U164" s="255">
        <f t="shared" ref="U164" si="352">+T164*$X$1</f>
        <v>5238</v>
      </c>
      <c r="V164" s="527">
        <v>4825</v>
      </c>
      <c r="W164" s="255">
        <f t="shared" ref="W164" si="353">+V164*$X$1</f>
        <v>4825</v>
      </c>
      <c r="X164" s="135"/>
      <c r="Y164" s="135"/>
      <c r="Z164" s="135"/>
      <c r="AA164" s="135"/>
      <c r="AB164" s="178">
        <v>351</v>
      </c>
    </row>
    <row r="165" spans="1:38" ht="12.6" customHeight="1" x14ac:dyDescent="0.25">
      <c r="A165" s="19"/>
      <c r="B165" s="657" t="s">
        <v>167</v>
      </c>
      <c r="C165" s="633"/>
      <c r="D165" s="633"/>
      <c r="E165" s="633"/>
      <c r="F165" s="262"/>
      <c r="G165" s="611"/>
      <c r="H165" s="536">
        <v>10200</v>
      </c>
      <c r="I165" s="256">
        <f t="shared" ref="I165" si="354">+H165*$X$1</f>
        <v>10200</v>
      </c>
      <c r="J165" s="536">
        <v>9600</v>
      </c>
      <c r="K165" s="256">
        <f t="shared" ref="K165" si="355">+J165*$X$1</f>
        <v>9600</v>
      </c>
      <c r="L165" s="95">
        <v>9500</v>
      </c>
      <c r="M165" s="256">
        <f t="shared" ref="M165" si="356">+L165*$X$1</f>
        <v>9500</v>
      </c>
      <c r="N165" s="92">
        <v>9300</v>
      </c>
      <c r="O165" s="256">
        <f t="shared" si="337"/>
        <v>9300</v>
      </c>
      <c r="P165" s="260">
        <v>8970</v>
      </c>
      <c r="Q165" s="256">
        <f t="shared" ref="Q165" si="357">+P165*$X$1</f>
        <v>8970</v>
      </c>
      <c r="R165" s="536">
        <v>8670</v>
      </c>
      <c r="S165" s="256">
        <f t="shared" ref="S165" si="358">+R165*$X$1</f>
        <v>8670</v>
      </c>
      <c r="T165" s="92">
        <v>8350</v>
      </c>
      <c r="U165" s="256">
        <f t="shared" ref="U165" si="359">+T165*$X$1</f>
        <v>8350</v>
      </c>
      <c r="V165" s="92">
        <v>7954</v>
      </c>
      <c r="W165" s="256">
        <f t="shared" ref="W165" si="360">+V165*$X$1</f>
        <v>7954</v>
      </c>
      <c r="X165" s="135"/>
      <c r="Y165" s="135"/>
      <c r="Z165" s="135"/>
      <c r="AA165" s="135"/>
      <c r="AB165" s="178">
        <v>352</v>
      </c>
    </row>
    <row r="166" spans="1:38" ht="12.6" customHeight="1" x14ac:dyDescent="0.25">
      <c r="A166" s="19"/>
      <c r="B166" s="652" t="s">
        <v>1011</v>
      </c>
      <c r="C166" s="698"/>
      <c r="D166" s="698"/>
      <c r="E166" s="698"/>
      <c r="F166" s="263"/>
      <c r="G166" s="576"/>
      <c r="H166" s="527">
        <v>14900</v>
      </c>
      <c r="I166" s="255">
        <f t="shared" ref="I166" si="361">+H166*$X$1</f>
        <v>14900</v>
      </c>
      <c r="J166" s="527">
        <v>14130</v>
      </c>
      <c r="K166" s="255">
        <f t="shared" ref="K166" si="362">+J166*$X$1</f>
        <v>14130</v>
      </c>
      <c r="L166" s="261">
        <v>13987</v>
      </c>
      <c r="M166" s="255">
        <f t="shared" ref="M166:M167" si="363">+L166*$X$1</f>
        <v>13987</v>
      </c>
      <c r="N166" s="93">
        <v>13916</v>
      </c>
      <c r="O166" s="255">
        <f t="shared" ref="O166:O167" si="364">+N166*$X$1</f>
        <v>13916</v>
      </c>
      <c r="P166" s="261">
        <v>13720</v>
      </c>
      <c r="Q166" s="255">
        <f t="shared" ref="Q166:Q167" si="365">+P166*$X$1</f>
        <v>13720</v>
      </c>
      <c r="R166" s="527">
        <v>13650</v>
      </c>
      <c r="S166" s="255">
        <f t="shared" ref="S166:S167" si="366">+R166*$X$1</f>
        <v>13650</v>
      </c>
      <c r="T166" s="93">
        <v>13580</v>
      </c>
      <c r="U166" s="255">
        <f t="shared" ref="U166:U167" si="367">+T166*$X$1</f>
        <v>13580</v>
      </c>
      <c r="V166" s="93">
        <v>13124</v>
      </c>
      <c r="W166" s="255">
        <f t="shared" ref="W166:W167" si="368">+V166*$X$1</f>
        <v>13124</v>
      </c>
      <c r="X166" s="135"/>
      <c r="Y166" s="135"/>
      <c r="Z166" s="135"/>
      <c r="AA166" s="135"/>
      <c r="AB166" s="178">
        <v>352</v>
      </c>
    </row>
    <row r="167" spans="1:38" ht="12.6" customHeight="1" x14ac:dyDescent="0.2">
      <c r="A167" s="19"/>
      <c r="B167" s="642" t="s">
        <v>333</v>
      </c>
      <c r="C167" s="680"/>
      <c r="D167" s="680"/>
      <c r="E167" s="681"/>
      <c r="F167" s="325">
        <f>0.41*X2</f>
        <v>631.4</v>
      </c>
      <c r="G167" s="269">
        <f t="shared" ref="G167" si="369">+F167*$X$1</f>
        <v>631.4</v>
      </c>
      <c r="H167" s="536"/>
      <c r="I167" s="256"/>
      <c r="J167" s="82"/>
      <c r="K167" s="256"/>
      <c r="L167" s="536">
        <f>F167+210</f>
        <v>841.4</v>
      </c>
      <c r="M167" s="256">
        <f t="shared" si="363"/>
        <v>841.4</v>
      </c>
      <c r="N167" s="536">
        <f>F167+160</f>
        <v>791.4</v>
      </c>
      <c r="O167" s="256">
        <f t="shared" si="364"/>
        <v>791.4</v>
      </c>
      <c r="P167" s="536">
        <f>F167+130</f>
        <v>761.4</v>
      </c>
      <c r="Q167" s="256">
        <f t="shared" si="365"/>
        <v>761.4</v>
      </c>
      <c r="R167" s="536">
        <f>F167+110</f>
        <v>741.4</v>
      </c>
      <c r="S167" s="256">
        <f t="shared" si="366"/>
        <v>741.4</v>
      </c>
      <c r="T167" s="536">
        <f>F167+90</f>
        <v>721.4</v>
      </c>
      <c r="U167" s="256">
        <f t="shared" si="367"/>
        <v>721.4</v>
      </c>
      <c r="V167" s="536">
        <f>F167+70</f>
        <v>701.4</v>
      </c>
      <c r="W167" s="256">
        <f t="shared" si="368"/>
        <v>701.4</v>
      </c>
      <c r="X167" s="750"/>
      <c r="Y167" s="799"/>
      <c r="Z167" s="799"/>
      <c r="AA167" s="800"/>
      <c r="AB167" s="178">
        <v>370</v>
      </c>
    </row>
    <row r="168" spans="1:38" ht="12.6" customHeight="1" x14ac:dyDescent="0.2">
      <c r="A168" s="19"/>
      <c r="B168" s="756" t="s">
        <v>493</v>
      </c>
      <c r="C168" s="757"/>
      <c r="D168" s="757"/>
      <c r="E168" s="758"/>
      <c r="F168" s="435">
        <v>890</v>
      </c>
      <c r="G168" s="234">
        <f t="shared" ref="G168" si="370">+F168*$X$1</f>
        <v>890</v>
      </c>
      <c r="H168" s="527"/>
      <c r="I168" s="255"/>
      <c r="J168" s="68">
        <f>F168+280</f>
        <v>1170</v>
      </c>
      <c r="K168" s="255">
        <f t="shared" ref="K168" si="371">+J168*$X$1</f>
        <v>1170</v>
      </c>
      <c r="L168" s="527">
        <f>F168+210</f>
        <v>1100</v>
      </c>
      <c r="M168" s="255">
        <f t="shared" ref="M168" si="372">+L168*$X$1</f>
        <v>1100</v>
      </c>
      <c r="N168" s="527">
        <f>F168+160</f>
        <v>1050</v>
      </c>
      <c r="O168" s="255">
        <f t="shared" ref="O168" si="373">+N168*$X$1</f>
        <v>1050</v>
      </c>
      <c r="P168" s="527">
        <f>F168+130</f>
        <v>1020</v>
      </c>
      <c r="Q168" s="255">
        <f t="shared" ref="Q168" si="374">+P168*$X$1</f>
        <v>1020</v>
      </c>
      <c r="R168" s="527">
        <f>F168+110</f>
        <v>1000</v>
      </c>
      <c r="S168" s="255">
        <f t="shared" ref="S168" si="375">+R168*$X$1</f>
        <v>1000</v>
      </c>
      <c r="T168" s="527">
        <f>F168+90</f>
        <v>980</v>
      </c>
      <c r="U168" s="255">
        <f t="shared" ref="U168" si="376">+T168*$X$1</f>
        <v>980</v>
      </c>
      <c r="V168" s="527">
        <f>F168+70</f>
        <v>960</v>
      </c>
      <c r="W168" s="255">
        <f t="shared" ref="W168" si="377">+V168*$X$1</f>
        <v>960</v>
      </c>
      <c r="X168" s="750"/>
      <c r="Y168" s="799"/>
      <c r="Z168" s="799"/>
      <c r="AA168" s="800"/>
      <c r="AB168" s="339">
        <v>373</v>
      </c>
    </row>
    <row r="169" spans="1:38" ht="12.6" customHeight="1" x14ac:dyDescent="0.2">
      <c r="A169" s="19"/>
      <c r="B169" s="642" t="s">
        <v>168</v>
      </c>
      <c r="C169" s="680"/>
      <c r="D169" s="680"/>
      <c r="E169" s="681"/>
      <c r="F169" s="324">
        <f>1.36*X2</f>
        <v>2094.4</v>
      </c>
      <c r="G169" s="269">
        <f>+F169*$X$1</f>
        <v>2094.4</v>
      </c>
      <c r="H169" s="536"/>
      <c r="I169" s="256"/>
      <c r="J169" s="82">
        <f>F169+280</f>
        <v>2374.4</v>
      </c>
      <c r="K169" s="256">
        <f t="shared" ref="K169" si="378">+J169*$X$1</f>
        <v>2374.4</v>
      </c>
      <c r="L169" s="536">
        <f>F169+210</f>
        <v>2304.4</v>
      </c>
      <c r="M169" s="256">
        <f t="shared" ref="M169" si="379">+L169*$X$1</f>
        <v>2304.4</v>
      </c>
      <c r="N169" s="536">
        <f>F169+160</f>
        <v>2254.4</v>
      </c>
      <c r="O169" s="256">
        <f t="shared" ref="O169" si="380">+N169*$X$1</f>
        <v>2254.4</v>
      </c>
      <c r="P169" s="536">
        <f>F169+130</f>
        <v>2224.4</v>
      </c>
      <c r="Q169" s="256">
        <f t="shared" ref="Q169" si="381">+P169*$X$1</f>
        <v>2224.4</v>
      </c>
      <c r="R169" s="536">
        <f>F169+110</f>
        <v>2204.4</v>
      </c>
      <c r="S169" s="256">
        <f t="shared" ref="S169" si="382">+R169*$X$1</f>
        <v>2204.4</v>
      </c>
      <c r="T169" s="536">
        <f>F169+90</f>
        <v>2184.4</v>
      </c>
      <c r="U169" s="256">
        <f t="shared" ref="U169" si="383">+T169*$X$1</f>
        <v>2184.4</v>
      </c>
      <c r="V169" s="536">
        <f>F169+70</f>
        <v>2164.4</v>
      </c>
      <c r="W169" s="256">
        <f t="shared" ref="W169" si="384">+V169*$X$1</f>
        <v>2164.4</v>
      </c>
      <c r="X169" s="750"/>
      <c r="Y169" s="799"/>
      <c r="Z169" s="799"/>
      <c r="AA169" s="800"/>
      <c r="AB169" s="178">
        <v>375</v>
      </c>
    </row>
    <row r="170" spans="1:38" ht="12.6" customHeight="1" x14ac:dyDescent="0.2">
      <c r="A170" s="19"/>
      <c r="B170" s="683" t="s">
        <v>169</v>
      </c>
      <c r="C170" s="703"/>
      <c r="D170" s="703"/>
      <c r="E170" s="704"/>
      <c r="F170" s="323">
        <f>4.67*X2</f>
        <v>7191.8</v>
      </c>
      <c r="G170" s="234">
        <f>+F170*$X$1</f>
        <v>7191.8</v>
      </c>
      <c r="H170" s="527">
        <f>F170+600</f>
        <v>7791.8</v>
      </c>
      <c r="I170" s="255">
        <f t="shared" ref="I170:I179" si="385">+H170*$X$1</f>
        <v>7791.8</v>
      </c>
      <c r="J170" s="527">
        <f>F170+200</f>
        <v>7391.8</v>
      </c>
      <c r="K170" s="255">
        <f t="shared" ref="K170:K179" si="386">+J170*$X$1</f>
        <v>7391.8</v>
      </c>
      <c r="L170" s="527">
        <f>F170+150</f>
        <v>7341.8</v>
      </c>
      <c r="M170" s="255">
        <f t="shared" ref="M170:M179" si="387">+L170*$X$1</f>
        <v>7341.8</v>
      </c>
      <c r="N170" s="527">
        <f>F170+100</f>
        <v>7291.8</v>
      </c>
      <c r="O170" s="255">
        <f>+N170*$X$1</f>
        <v>7291.8</v>
      </c>
      <c r="P170" s="527">
        <f>F170+90</f>
        <v>7281.8</v>
      </c>
      <c r="Q170" s="255">
        <f t="shared" ref="Q170:Q179" si="388">+P170*$X$1</f>
        <v>7281.8</v>
      </c>
      <c r="R170" s="527">
        <f>F170+70</f>
        <v>7261.8</v>
      </c>
      <c r="S170" s="255">
        <f>+R170*$X$1</f>
        <v>7261.8</v>
      </c>
      <c r="T170" s="527">
        <f>F170+56</f>
        <v>7247.8</v>
      </c>
      <c r="U170" s="255">
        <f t="shared" ref="U170:U179" si="389">+T170*$X$1</f>
        <v>7247.8</v>
      </c>
      <c r="V170" s="527">
        <f>F170+49</f>
        <v>7240.8</v>
      </c>
      <c r="W170" s="255">
        <f t="shared" ref="W170:W179" si="390">+V170*$X$1</f>
        <v>7240.8</v>
      </c>
      <c r="X170" s="714"/>
      <c r="Y170" s="718"/>
      <c r="Z170" s="718"/>
      <c r="AA170" s="716"/>
      <c r="AB170" s="178">
        <v>376</v>
      </c>
    </row>
    <row r="171" spans="1:38" ht="12.6" customHeight="1" x14ac:dyDescent="0.2">
      <c r="A171" s="94"/>
      <c r="B171" s="662" t="s">
        <v>1017</v>
      </c>
      <c r="C171" s="665"/>
      <c r="D171" s="665"/>
      <c r="E171" s="666"/>
      <c r="F171" s="324">
        <f>7.49*X2</f>
        <v>11534.6</v>
      </c>
      <c r="G171" s="269">
        <f t="shared" ref="G171" si="391">+F171*$X$1</f>
        <v>11534.6</v>
      </c>
      <c r="H171" s="536">
        <f t="shared" ref="H171" si="392">F171+700</f>
        <v>12234.6</v>
      </c>
      <c r="I171" s="256">
        <f t="shared" ref="I171" si="393">+H171*$X$1</f>
        <v>12234.6</v>
      </c>
      <c r="J171" s="82">
        <f t="shared" ref="J171" si="394">F171+280</f>
        <v>11814.6</v>
      </c>
      <c r="K171" s="256">
        <f t="shared" ref="K171" si="395">+J171*$X$1</f>
        <v>11814.6</v>
      </c>
      <c r="L171" s="536">
        <f t="shared" ref="L171" si="396">F171+210</f>
        <v>11744.6</v>
      </c>
      <c r="M171" s="256">
        <f t="shared" ref="M171" si="397">+L171*$X$1</f>
        <v>11744.6</v>
      </c>
      <c r="N171" s="536">
        <f t="shared" ref="N171" si="398">F171+160</f>
        <v>11694.6</v>
      </c>
      <c r="O171" s="256">
        <f t="shared" ref="O171" si="399">+N171*$X$1</f>
        <v>11694.6</v>
      </c>
      <c r="P171" s="536">
        <f t="shared" ref="P171" si="400">F171+130</f>
        <v>11664.6</v>
      </c>
      <c r="Q171" s="256">
        <f t="shared" ref="Q171" si="401">+P171*$X$1</f>
        <v>11664.6</v>
      </c>
      <c r="R171" s="536">
        <f t="shared" ref="R171" si="402">F171+110</f>
        <v>11644.6</v>
      </c>
      <c r="S171" s="256">
        <f t="shared" ref="S171" si="403">+R171*$X$1</f>
        <v>11644.6</v>
      </c>
      <c r="T171" s="536">
        <f t="shared" ref="T171" si="404">F171+90</f>
        <v>11624.6</v>
      </c>
      <c r="U171" s="256">
        <f t="shared" ref="U171" si="405">+T171*$X$1</f>
        <v>11624.6</v>
      </c>
      <c r="V171" s="536">
        <f t="shared" ref="V171" si="406">F171+70</f>
        <v>11604.6</v>
      </c>
      <c r="W171" s="256">
        <f t="shared" ref="W171" si="407">+V171*$X$1</f>
        <v>11604.6</v>
      </c>
      <c r="X171" s="750"/>
      <c r="Y171" s="799"/>
      <c r="Z171" s="799"/>
      <c r="AA171" s="800"/>
      <c r="AB171" s="178">
        <v>382</v>
      </c>
    </row>
    <row r="172" spans="1:38" s="1" customFormat="1" ht="12.6" customHeight="1" x14ac:dyDescent="0.2">
      <c r="A172" s="18"/>
      <c r="B172" s="683" t="s">
        <v>959</v>
      </c>
      <c r="C172" s="703"/>
      <c r="D172" s="703"/>
      <c r="E172" s="704"/>
      <c r="F172" s="448">
        <f>3.8*X2</f>
        <v>5852</v>
      </c>
      <c r="G172" s="255">
        <f t="shared" ref="G172" si="408">+F172*$X$1</f>
        <v>5852</v>
      </c>
      <c r="H172" s="68">
        <f>F172+500</f>
        <v>6352</v>
      </c>
      <c r="I172" s="255">
        <f t="shared" si="385"/>
        <v>6352</v>
      </c>
      <c r="J172" s="527">
        <f>F172+210</f>
        <v>6062</v>
      </c>
      <c r="K172" s="255">
        <f t="shared" si="386"/>
        <v>6062</v>
      </c>
      <c r="L172" s="527">
        <f>F172+150</f>
        <v>6002</v>
      </c>
      <c r="M172" s="255">
        <f t="shared" si="387"/>
        <v>6002</v>
      </c>
      <c r="N172" s="527">
        <f>F172+120</f>
        <v>5972</v>
      </c>
      <c r="O172" s="255">
        <f t="shared" ref="O172:O179" si="409">+N172*$X$1</f>
        <v>5972</v>
      </c>
      <c r="P172" s="527">
        <f>F172+95</f>
        <v>5947</v>
      </c>
      <c r="Q172" s="255">
        <f t="shared" si="388"/>
        <v>5947</v>
      </c>
      <c r="R172" s="527">
        <f>F172+85</f>
        <v>5937</v>
      </c>
      <c r="S172" s="255">
        <f t="shared" ref="S172:S179" si="410">+R172*$X$1</f>
        <v>5937</v>
      </c>
      <c r="T172" s="527">
        <f>F172+77</f>
        <v>5929</v>
      </c>
      <c r="U172" s="255">
        <f t="shared" si="389"/>
        <v>5929</v>
      </c>
      <c r="V172" s="527">
        <f>F172+68</f>
        <v>5920</v>
      </c>
      <c r="W172" s="255">
        <f t="shared" si="390"/>
        <v>5920</v>
      </c>
      <c r="X172" s="547"/>
      <c r="Y172" s="548"/>
      <c r="Z172" s="548"/>
      <c r="AA172" s="549"/>
      <c r="AB172" s="178">
        <v>380</v>
      </c>
      <c r="AC172" s="4"/>
      <c r="AD172" s="4"/>
      <c r="AE172" s="4"/>
      <c r="AF172" s="4"/>
      <c r="AG172" s="4"/>
      <c r="AH172" s="416"/>
      <c r="AI172" s="4"/>
      <c r="AJ172" s="4"/>
      <c r="AK172" s="4"/>
      <c r="AL172" s="4"/>
    </row>
    <row r="173" spans="1:38" ht="12.6" customHeight="1" x14ac:dyDescent="0.2">
      <c r="A173" s="94"/>
      <c r="B173" s="642" t="s">
        <v>832</v>
      </c>
      <c r="C173" s="680"/>
      <c r="D173" s="680"/>
      <c r="E173" s="681"/>
      <c r="F173" s="324">
        <f>2.58*X2</f>
        <v>3973.2000000000003</v>
      </c>
      <c r="G173" s="256">
        <f t="shared" ref="G173" si="411">+F173*$X$1</f>
        <v>3973.2000000000003</v>
      </c>
      <c r="H173" s="536">
        <f t="shared" ref="H173:H180" si="412">F173+700</f>
        <v>4673.2000000000007</v>
      </c>
      <c r="I173" s="256">
        <f t="shared" si="385"/>
        <v>4673.2000000000007</v>
      </c>
      <c r="J173" s="82">
        <f t="shared" ref="J173:J180" si="413">F173+280</f>
        <v>4253.2000000000007</v>
      </c>
      <c r="K173" s="256">
        <f t="shared" si="386"/>
        <v>4253.2000000000007</v>
      </c>
      <c r="L173" s="536">
        <f t="shared" ref="L173:L180" si="414">F173+210</f>
        <v>4183.2000000000007</v>
      </c>
      <c r="M173" s="256">
        <f t="shared" si="387"/>
        <v>4183.2000000000007</v>
      </c>
      <c r="N173" s="536">
        <f t="shared" ref="N173:N180" si="415">F173+160</f>
        <v>4133.2000000000007</v>
      </c>
      <c r="O173" s="256">
        <f t="shared" si="409"/>
        <v>4133.2000000000007</v>
      </c>
      <c r="P173" s="536">
        <f t="shared" ref="P173:P180" si="416">F173+130</f>
        <v>4103.2000000000007</v>
      </c>
      <c r="Q173" s="256">
        <f t="shared" si="388"/>
        <v>4103.2000000000007</v>
      </c>
      <c r="R173" s="536">
        <f t="shared" ref="R173:R180" si="417">F173+110</f>
        <v>4083.2000000000003</v>
      </c>
      <c r="S173" s="256">
        <f t="shared" si="410"/>
        <v>4083.2000000000003</v>
      </c>
      <c r="T173" s="536">
        <f t="shared" ref="T173:T180" si="418">F173+90</f>
        <v>4063.2000000000003</v>
      </c>
      <c r="U173" s="256">
        <f t="shared" si="389"/>
        <v>4063.2000000000003</v>
      </c>
      <c r="V173" s="536">
        <f t="shared" ref="V173:V180" si="419">F173+70</f>
        <v>4043.2000000000003</v>
      </c>
      <c r="W173" s="256">
        <f t="shared" si="390"/>
        <v>4043.2000000000003</v>
      </c>
      <c r="X173" s="750"/>
      <c r="Y173" s="799"/>
      <c r="Z173" s="799"/>
      <c r="AA173" s="800"/>
      <c r="AB173" s="178">
        <v>381</v>
      </c>
    </row>
    <row r="174" spans="1:38" ht="12.6" customHeight="1" x14ac:dyDescent="0.2">
      <c r="A174" s="94"/>
      <c r="B174" s="683" t="s">
        <v>351</v>
      </c>
      <c r="C174" s="703"/>
      <c r="D174" s="703"/>
      <c r="E174" s="704"/>
      <c r="F174" s="323">
        <f>1.71*X2</f>
        <v>2633.4</v>
      </c>
      <c r="G174" s="234">
        <f t="shared" ref="G174:G175" si="420">+F174*$X$1</f>
        <v>2633.4</v>
      </c>
      <c r="H174" s="527">
        <f t="shared" si="412"/>
        <v>3333.4</v>
      </c>
      <c r="I174" s="255">
        <f t="shared" si="385"/>
        <v>3333.4</v>
      </c>
      <c r="J174" s="68">
        <f t="shared" si="413"/>
        <v>2913.4</v>
      </c>
      <c r="K174" s="255">
        <f t="shared" si="386"/>
        <v>2913.4</v>
      </c>
      <c r="L174" s="527">
        <f t="shared" si="414"/>
        <v>2843.4</v>
      </c>
      <c r="M174" s="255">
        <f t="shared" si="387"/>
        <v>2843.4</v>
      </c>
      <c r="N174" s="527">
        <f t="shared" si="415"/>
        <v>2793.4</v>
      </c>
      <c r="O174" s="255">
        <f t="shared" si="409"/>
        <v>2793.4</v>
      </c>
      <c r="P174" s="527">
        <f t="shared" si="416"/>
        <v>2763.4</v>
      </c>
      <c r="Q174" s="255">
        <f t="shared" si="388"/>
        <v>2763.4</v>
      </c>
      <c r="R174" s="527">
        <f t="shared" si="417"/>
        <v>2743.4</v>
      </c>
      <c r="S174" s="255">
        <f t="shared" si="410"/>
        <v>2743.4</v>
      </c>
      <c r="T174" s="527">
        <f t="shared" si="418"/>
        <v>2723.4</v>
      </c>
      <c r="U174" s="255">
        <f t="shared" si="389"/>
        <v>2723.4</v>
      </c>
      <c r="V174" s="527">
        <f t="shared" si="419"/>
        <v>2703.4</v>
      </c>
      <c r="W174" s="255">
        <f t="shared" si="390"/>
        <v>2703.4</v>
      </c>
      <c r="X174" s="750"/>
      <c r="Y174" s="799"/>
      <c r="Z174" s="799"/>
      <c r="AA174" s="800"/>
      <c r="AB174" s="178">
        <v>382</v>
      </c>
    </row>
    <row r="175" spans="1:38" ht="12.6" customHeight="1" x14ac:dyDescent="0.2">
      <c r="A175" s="94"/>
      <c r="B175" s="642" t="s">
        <v>840</v>
      </c>
      <c r="C175" s="680"/>
      <c r="D175" s="680"/>
      <c r="E175" s="681"/>
      <c r="F175" s="324">
        <f>23.6*X2</f>
        <v>36344</v>
      </c>
      <c r="G175" s="256">
        <f t="shared" si="420"/>
        <v>36344</v>
      </c>
      <c r="H175" s="536">
        <f t="shared" si="412"/>
        <v>37044</v>
      </c>
      <c r="I175" s="256">
        <f t="shared" si="385"/>
        <v>37044</v>
      </c>
      <c r="J175" s="82">
        <f t="shared" si="413"/>
        <v>36624</v>
      </c>
      <c r="K175" s="256">
        <f t="shared" si="386"/>
        <v>36624</v>
      </c>
      <c r="L175" s="536">
        <f t="shared" si="414"/>
        <v>36554</v>
      </c>
      <c r="M175" s="256">
        <f t="shared" si="387"/>
        <v>36554</v>
      </c>
      <c r="N175" s="536">
        <f t="shared" si="415"/>
        <v>36504</v>
      </c>
      <c r="O175" s="256">
        <f t="shared" si="409"/>
        <v>36504</v>
      </c>
      <c r="P175" s="536">
        <f t="shared" si="416"/>
        <v>36474</v>
      </c>
      <c r="Q175" s="256">
        <f t="shared" si="388"/>
        <v>36474</v>
      </c>
      <c r="R175" s="536">
        <f t="shared" si="417"/>
        <v>36454</v>
      </c>
      <c r="S175" s="256">
        <f t="shared" si="410"/>
        <v>36454</v>
      </c>
      <c r="T175" s="536">
        <f t="shared" si="418"/>
        <v>36434</v>
      </c>
      <c r="U175" s="256">
        <f t="shared" si="389"/>
        <v>36434</v>
      </c>
      <c r="V175" s="536">
        <f t="shared" si="419"/>
        <v>36414</v>
      </c>
      <c r="W175" s="256">
        <f t="shared" si="390"/>
        <v>36414</v>
      </c>
      <c r="X175" s="750"/>
      <c r="Y175" s="799"/>
      <c r="Z175" s="799"/>
      <c r="AA175" s="800"/>
      <c r="AB175" s="178">
        <v>384</v>
      </c>
    </row>
    <row r="176" spans="1:38" ht="12.6" customHeight="1" x14ac:dyDescent="0.2">
      <c r="A176" s="94"/>
      <c r="B176" s="683" t="s">
        <v>993</v>
      </c>
      <c r="C176" s="703"/>
      <c r="D176" s="703"/>
      <c r="E176" s="704"/>
      <c r="F176" s="291">
        <v>31840</v>
      </c>
      <c r="G176" s="255">
        <f t="shared" ref="G176:G177" si="421">+F176*$X$1</f>
        <v>31840</v>
      </c>
      <c r="H176" s="527">
        <f t="shared" si="412"/>
        <v>32540</v>
      </c>
      <c r="I176" s="255">
        <f t="shared" si="385"/>
        <v>32540</v>
      </c>
      <c r="J176" s="68">
        <f t="shared" si="413"/>
        <v>32120</v>
      </c>
      <c r="K176" s="255">
        <f t="shared" si="386"/>
        <v>32120</v>
      </c>
      <c r="L176" s="527">
        <f t="shared" si="414"/>
        <v>32050</v>
      </c>
      <c r="M176" s="255">
        <f t="shared" si="387"/>
        <v>32050</v>
      </c>
      <c r="N176" s="527">
        <f t="shared" si="415"/>
        <v>32000</v>
      </c>
      <c r="O176" s="255">
        <f t="shared" si="409"/>
        <v>32000</v>
      </c>
      <c r="P176" s="527">
        <f t="shared" si="416"/>
        <v>31970</v>
      </c>
      <c r="Q176" s="255">
        <f t="shared" si="388"/>
        <v>31970</v>
      </c>
      <c r="R176" s="527">
        <f t="shared" si="417"/>
        <v>31950</v>
      </c>
      <c r="S176" s="255">
        <f t="shared" si="410"/>
        <v>31950</v>
      </c>
      <c r="T176" s="527">
        <f t="shared" si="418"/>
        <v>31930</v>
      </c>
      <c r="U176" s="255">
        <f t="shared" si="389"/>
        <v>31930</v>
      </c>
      <c r="V176" s="527">
        <f t="shared" si="419"/>
        <v>31910</v>
      </c>
      <c r="W176" s="255">
        <f t="shared" si="390"/>
        <v>31910</v>
      </c>
      <c r="X176" s="750"/>
      <c r="Y176" s="799"/>
      <c r="Z176" s="799"/>
      <c r="AA176" s="800"/>
      <c r="AB176" s="178">
        <v>387</v>
      </c>
    </row>
    <row r="177" spans="1:38" ht="12.6" customHeight="1" x14ac:dyDescent="0.2">
      <c r="A177" s="19"/>
      <c r="B177" s="662" t="s">
        <v>1019</v>
      </c>
      <c r="C177" s="665"/>
      <c r="D177" s="665"/>
      <c r="E177" s="666"/>
      <c r="F177" s="324">
        <f>23.05*X2</f>
        <v>35497</v>
      </c>
      <c r="G177" s="269">
        <f t="shared" si="421"/>
        <v>35497</v>
      </c>
      <c r="H177" s="536">
        <f t="shared" ref="H177" si="422">F177+600</f>
        <v>36097</v>
      </c>
      <c r="I177" s="256">
        <f t="shared" si="385"/>
        <v>36097</v>
      </c>
      <c r="J177" s="536">
        <f t="shared" ref="J177" si="423">F177+200</f>
        <v>35697</v>
      </c>
      <c r="K177" s="256">
        <f t="shared" si="386"/>
        <v>35697</v>
      </c>
      <c r="L177" s="536">
        <f>F177+150</f>
        <v>35647</v>
      </c>
      <c r="M177" s="256">
        <f t="shared" si="387"/>
        <v>35647</v>
      </c>
      <c r="N177" s="536">
        <f>F177+100</f>
        <v>35597</v>
      </c>
      <c r="O177" s="256">
        <f>+N177*$X$1</f>
        <v>35597</v>
      </c>
      <c r="P177" s="536">
        <f>F177+90</f>
        <v>35587</v>
      </c>
      <c r="Q177" s="256">
        <f t="shared" si="388"/>
        <v>35587</v>
      </c>
      <c r="R177" s="536">
        <f>F177+70</f>
        <v>35567</v>
      </c>
      <c r="S177" s="256">
        <f>+R177*$X$1</f>
        <v>35567</v>
      </c>
      <c r="T177" s="536">
        <f>F177+56</f>
        <v>35553</v>
      </c>
      <c r="U177" s="256">
        <f t="shared" si="389"/>
        <v>35553</v>
      </c>
      <c r="V177" s="536">
        <f>F177+49</f>
        <v>35546</v>
      </c>
      <c r="W177" s="256">
        <f t="shared" si="390"/>
        <v>35546</v>
      </c>
      <c r="X177" s="750"/>
      <c r="Y177" s="799"/>
      <c r="Z177" s="799"/>
      <c r="AA177" s="800"/>
      <c r="AB177" s="178">
        <v>393</v>
      </c>
    </row>
    <row r="178" spans="1:38" ht="12.6" customHeight="1" x14ac:dyDescent="0.2">
      <c r="A178" s="19"/>
      <c r="B178" s="683" t="s">
        <v>851</v>
      </c>
      <c r="C178" s="703"/>
      <c r="D178" s="703"/>
      <c r="E178" s="704"/>
      <c r="F178" s="323">
        <f>37.8*X2</f>
        <v>58211.999999999993</v>
      </c>
      <c r="G178" s="234">
        <f t="shared" ref="G178" si="424">+F178*$X$1</f>
        <v>58211.999999999993</v>
      </c>
      <c r="H178" s="527">
        <f t="shared" si="412"/>
        <v>58911.999999999993</v>
      </c>
      <c r="I178" s="255">
        <f t="shared" si="385"/>
        <v>58911.999999999993</v>
      </c>
      <c r="J178" s="68">
        <f t="shared" si="413"/>
        <v>58491.999999999993</v>
      </c>
      <c r="K178" s="255">
        <f t="shared" si="386"/>
        <v>58491.999999999993</v>
      </c>
      <c r="L178" s="527">
        <f t="shared" si="414"/>
        <v>58421.999999999993</v>
      </c>
      <c r="M178" s="255">
        <f t="shared" si="387"/>
        <v>58421.999999999993</v>
      </c>
      <c r="N178" s="527">
        <f t="shared" si="415"/>
        <v>58371.999999999993</v>
      </c>
      <c r="O178" s="255">
        <f t="shared" si="409"/>
        <v>58371.999999999993</v>
      </c>
      <c r="P178" s="527">
        <f t="shared" si="416"/>
        <v>58341.999999999993</v>
      </c>
      <c r="Q178" s="255">
        <f t="shared" si="388"/>
        <v>58341.999999999993</v>
      </c>
      <c r="R178" s="527">
        <f t="shared" si="417"/>
        <v>58321.999999999993</v>
      </c>
      <c r="S178" s="255">
        <f t="shared" si="410"/>
        <v>58321.999999999993</v>
      </c>
      <c r="T178" s="527">
        <f t="shared" si="418"/>
        <v>58301.999999999993</v>
      </c>
      <c r="U178" s="255">
        <f t="shared" si="389"/>
        <v>58301.999999999993</v>
      </c>
      <c r="V178" s="527">
        <f t="shared" si="419"/>
        <v>58281.999999999993</v>
      </c>
      <c r="W178" s="255">
        <f t="shared" si="390"/>
        <v>58281.999999999993</v>
      </c>
      <c r="X178" s="750"/>
      <c r="Y178" s="799"/>
      <c r="Z178" s="799"/>
      <c r="AA178" s="800"/>
      <c r="AB178" s="178">
        <v>394</v>
      </c>
    </row>
    <row r="179" spans="1:38" ht="12.6" customHeight="1" x14ac:dyDescent="0.2">
      <c r="A179" s="19"/>
      <c r="B179" s="642" t="s">
        <v>830</v>
      </c>
      <c r="C179" s="680"/>
      <c r="D179" s="680"/>
      <c r="E179" s="681"/>
      <c r="F179" s="324">
        <f>17.2*X2</f>
        <v>26488</v>
      </c>
      <c r="G179" s="269">
        <f t="shared" ref="G179:G181" si="425">+F179*$X$1</f>
        <v>26488</v>
      </c>
      <c r="H179" s="536">
        <f t="shared" si="412"/>
        <v>27188</v>
      </c>
      <c r="I179" s="256">
        <f t="shared" si="385"/>
        <v>27188</v>
      </c>
      <c r="J179" s="82">
        <f t="shared" si="413"/>
        <v>26768</v>
      </c>
      <c r="K179" s="256">
        <f t="shared" si="386"/>
        <v>26768</v>
      </c>
      <c r="L179" s="536">
        <f t="shared" si="414"/>
        <v>26698</v>
      </c>
      <c r="M179" s="256">
        <f t="shared" si="387"/>
        <v>26698</v>
      </c>
      <c r="N179" s="536">
        <f t="shared" si="415"/>
        <v>26648</v>
      </c>
      <c r="O179" s="256">
        <f t="shared" si="409"/>
        <v>26648</v>
      </c>
      <c r="P179" s="536">
        <f t="shared" si="416"/>
        <v>26618</v>
      </c>
      <c r="Q179" s="256">
        <f t="shared" si="388"/>
        <v>26618</v>
      </c>
      <c r="R179" s="536">
        <f t="shared" si="417"/>
        <v>26598</v>
      </c>
      <c r="S179" s="256">
        <f t="shared" si="410"/>
        <v>26598</v>
      </c>
      <c r="T179" s="536">
        <f t="shared" si="418"/>
        <v>26578</v>
      </c>
      <c r="U179" s="256">
        <f t="shared" si="389"/>
        <v>26578</v>
      </c>
      <c r="V179" s="536">
        <f t="shared" si="419"/>
        <v>26558</v>
      </c>
      <c r="W179" s="256">
        <f t="shared" si="390"/>
        <v>26558</v>
      </c>
      <c r="X179" s="750"/>
      <c r="Y179" s="799"/>
      <c r="Z179" s="799"/>
      <c r="AA179" s="800"/>
      <c r="AB179" s="178">
        <v>395</v>
      </c>
    </row>
    <row r="180" spans="1:38" ht="12.6" customHeight="1" x14ac:dyDescent="0.2">
      <c r="A180" s="19"/>
      <c r="B180" s="683" t="s">
        <v>862</v>
      </c>
      <c r="C180" s="703"/>
      <c r="D180" s="703"/>
      <c r="E180" s="704"/>
      <c r="F180" s="323">
        <f>14.5*X2</f>
        <v>22330</v>
      </c>
      <c r="G180" s="234">
        <f t="shared" ref="G180" si="426">+F180*$X$1</f>
        <v>22330</v>
      </c>
      <c r="H180" s="527">
        <f t="shared" si="412"/>
        <v>23030</v>
      </c>
      <c r="I180" s="255">
        <f t="shared" ref="I180" si="427">+H180*$X$1</f>
        <v>23030</v>
      </c>
      <c r="J180" s="68">
        <f t="shared" si="413"/>
        <v>22610</v>
      </c>
      <c r="K180" s="255">
        <f t="shared" ref="K180" si="428">+J180*$X$1</f>
        <v>22610</v>
      </c>
      <c r="L180" s="527">
        <f t="shared" si="414"/>
        <v>22540</v>
      </c>
      <c r="M180" s="255">
        <f t="shared" ref="M180" si="429">+L180*$X$1</f>
        <v>22540</v>
      </c>
      <c r="N180" s="527">
        <f t="shared" si="415"/>
        <v>22490</v>
      </c>
      <c r="O180" s="255">
        <f t="shared" ref="O180" si="430">+N180*$X$1</f>
        <v>22490</v>
      </c>
      <c r="P180" s="527">
        <f t="shared" si="416"/>
        <v>22460</v>
      </c>
      <c r="Q180" s="255">
        <f t="shared" ref="Q180" si="431">+P180*$X$1</f>
        <v>22460</v>
      </c>
      <c r="R180" s="527">
        <f t="shared" si="417"/>
        <v>22440</v>
      </c>
      <c r="S180" s="255">
        <f t="shared" ref="S180" si="432">+R180*$X$1</f>
        <v>22440</v>
      </c>
      <c r="T180" s="527">
        <f t="shared" si="418"/>
        <v>22420</v>
      </c>
      <c r="U180" s="255">
        <f t="shared" ref="U180" si="433">+T180*$X$1</f>
        <v>22420</v>
      </c>
      <c r="V180" s="527">
        <f t="shared" si="419"/>
        <v>22400</v>
      </c>
      <c r="W180" s="255">
        <f t="shared" ref="W180" si="434">+V180*$X$1</f>
        <v>22400</v>
      </c>
      <c r="X180" s="750"/>
      <c r="Y180" s="799"/>
      <c r="Z180" s="799"/>
      <c r="AA180" s="800"/>
      <c r="AB180" s="178">
        <v>396</v>
      </c>
    </row>
    <row r="181" spans="1:38" ht="12.6" customHeight="1" x14ac:dyDescent="0.2">
      <c r="A181" s="19"/>
      <c r="B181" s="642" t="s">
        <v>828</v>
      </c>
      <c r="C181" s="680"/>
      <c r="D181" s="680"/>
      <c r="E181" s="681"/>
      <c r="F181" s="324">
        <f>19.3*X2</f>
        <v>29722</v>
      </c>
      <c r="G181" s="269">
        <f t="shared" si="425"/>
        <v>29722</v>
      </c>
      <c r="H181" s="536">
        <f t="shared" ref="H181:H186" si="435">F181+600</f>
        <v>30322</v>
      </c>
      <c r="I181" s="256">
        <f t="shared" ref="I181:I184" si="436">+H181*$X$1</f>
        <v>30322</v>
      </c>
      <c r="J181" s="536">
        <f t="shared" ref="J181:J182" si="437">F181+200</f>
        <v>29922</v>
      </c>
      <c r="K181" s="256">
        <f t="shared" ref="K181:K184" si="438">+J181*$X$1</f>
        <v>29922</v>
      </c>
      <c r="L181" s="536">
        <f>F181+150</f>
        <v>29872</v>
      </c>
      <c r="M181" s="256">
        <f t="shared" ref="M181:M184" si="439">+L181*$X$1</f>
        <v>29872</v>
      </c>
      <c r="N181" s="536">
        <f>F181+100</f>
        <v>29822</v>
      </c>
      <c r="O181" s="256">
        <f>+N181*$X$1</f>
        <v>29822</v>
      </c>
      <c r="P181" s="536">
        <f>F181+90</f>
        <v>29812</v>
      </c>
      <c r="Q181" s="256">
        <f t="shared" ref="Q181:Q184" si="440">+P181*$X$1</f>
        <v>29812</v>
      </c>
      <c r="R181" s="536">
        <f>F181+70</f>
        <v>29792</v>
      </c>
      <c r="S181" s="256">
        <f>+R181*$X$1</f>
        <v>29792</v>
      </c>
      <c r="T181" s="536">
        <f>F181+56</f>
        <v>29778</v>
      </c>
      <c r="U181" s="256">
        <f t="shared" ref="U181:U184" si="441">+T181*$X$1</f>
        <v>29778</v>
      </c>
      <c r="V181" s="536">
        <f>F181+49</f>
        <v>29771</v>
      </c>
      <c r="W181" s="256">
        <f t="shared" ref="W181:W183" si="442">+V181*$X$1</f>
        <v>29771</v>
      </c>
      <c r="X181" s="750"/>
      <c r="Y181" s="799"/>
      <c r="Z181" s="799"/>
      <c r="AA181" s="800"/>
      <c r="AB181" s="178">
        <v>397</v>
      </c>
    </row>
    <row r="182" spans="1:38" ht="12.6" customHeight="1" x14ac:dyDescent="0.2">
      <c r="A182" s="19"/>
      <c r="B182" s="683" t="s">
        <v>829</v>
      </c>
      <c r="C182" s="703"/>
      <c r="D182" s="703"/>
      <c r="E182" s="704"/>
      <c r="F182" s="323">
        <f>15.4*X2</f>
        <v>23716</v>
      </c>
      <c r="G182" s="234">
        <f t="shared" ref="G182:G184" si="443">+F182*$X$1</f>
        <v>23716</v>
      </c>
      <c r="H182" s="527">
        <f t="shared" si="435"/>
        <v>24316</v>
      </c>
      <c r="I182" s="255">
        <f t="shared" si="436"/>
        <v>24316</v>
      </c>
      <c r="J182" s="527">
        <f t="shared" si="437"/>
        <v>23916</v>
      </c>
      <c r="K182" s="255">
        <f t="shared" si="438"/>
        <v>23916</v>
      </c>
      <c r="L182" s="527">
        <f>F182+150</f>
        <v>23866</v>
      </c>
      <c r="M182" s="255">
        <f t="shared" si="439"/>
        <v>23866</v>
      </c>
      <c r="N182" s="527">
        <f>F182+100</f>
        <v>23816</v>
      </c>
      <c r="O182" s="255">
        <f>+N182*$X$1</f>
        <v>23816</v>
      </c>
      <c r="P182" s="527">
        <f>F182+90</f>
        <v>23806</v>
      </c>
      <c r="Q182" s="255">
        <f t="shared" si="440"/>
        <v>23806</v>
      </c>
      <c r="R182" s="527">
        <f>F182+70</f>
        <v>23786</v>
      </c>
      <c r="S182" s="255">
        <f>+R182*$X$1</f>
        <v>23786</v>
      </c>
      <c r="T182" s="527">
        <f>F182+56</f>
        <v>23772</v>
      </c>
      <c r="U182" s="255">
        <f t="shared" si="441"/>
        <v>23772</v>
      </c>
      <c r="V182" s="527">
        <f>F182+49</f>
        <v>23765</v>
      </c>
      <c r="W182" s="255">
        <f t="shared" si="442"/>
        <v>23765</v>
      </c>
      <c r="X182" s="750"/>
      <c r="Y182" s="799"/>
      <c r="Z182" s="799"/>
      <c r="AA182" s="800"/>
      <c r="AB182" s="178">
        <v>398</v>
      </c>
    </row>
    <row r="183" spans="1:38" s="1" customFormat="1" ht="12.6" customHeight="1" x14ac:dyDescent="0.2">
      <c r="A183" s="18"/>
      <c r="B183" s="642" t="s">
        <v>853</v>
      </c>
      <c r="C183" s="680"/>
      <c r="D183" s="680"/>
      <c r="E183" s="681"/>
      <c r="F183" s="482">
        <f>25.63*X2</f>
        <v>39470.199999999997</v>
      </c>
      <c r="G183" s="256">
        <f t="shared" si="443"/>
        <v>39470.199999999997</v>
      </c>
      <c r="H183" s="82">
        <f t="shared" si="435"/>
        <v>40070.199999999997</v>
      </c>
      <c r="I183" s="256">
        <f t="shared" si="436"/>
        <v>40070.199999999997</v>
      </c>
      <c r="J183" s="536">
        <f>F183+220</f>
        <v>39690.199999999997</v>
      </c>
      <c r="K183" s="256">
        <f t="shared" si="438"/>
        <v>39690.199999999997</v>
      </c>
      <c r="L183" s="536">
        <f>F183+170</f>
        <v>39640.199999999997</v>
      </c>
      <c r="M183" s="256">
        <f t="shared" si="439"/>
        <v>39640.199999999997</v>
      </c>
      <c r="N183" s="536">
        <f>F183+120</f>
        <v>39590.199999999997</v>
      </c>
      <c r="O183" s="256">
        <f t="shared" ref="O183:O184" si="444">+N183*$X$1</f>
        <v>39590.199999999997</v>
      </c>
      <c r="P183" s="536">
        <f>F183+110</f>
        <v>39580.199999999997</v>
      </c>
      <c r="Q183" s="256">
        <f t="shared" si="440"/>
        <v>39580.199999999997</v>
      </c>
      <c r="R183" s="536">
        <f>F183+95</f>
        <v>39565.199999999997</v>
      </c>
      <c r="S183" s="256">
        <f t="shared" ref="S183:S184" si="445">+R183*$X$1</f>
        <v>39565.199999999997</v>
      </c>
      <c r="T183" s="536">
        <f>F183+85</f>
        <v>39555.199999999997</v>
      </c>
      <c r="U183" s="256">
        <f t="shared" si="441"/>
        <v>39555.199999999997</v>
      </c>
      <c r="V183" s="536">
        <f>F183+76</f>
        <v>39546.199999999997</v>
      </c>
      <c r="W183" s="256">
        <f t="shared" si="442"/>
        <v>39546.199999999997</v>
      </c>
      <c r="X183" s="500"/>
      <c r="Y183" s="501"/>
      <c r="Z183" s="501"/>
      <c r="AA183" s="502"/>
      <c r="AB183" s="178">
        <v>399</v>
      </c>
      <c r="AC183" s="4"/>
      <c r="AD183" s="4"/>
      <c r="AE183" s="4"/>
      <c r="AF183" s="4"/>
      <c r="AG183" s="4"/>
      <c r="AH183" s="116"/>
      <c r="AI183" s="4"/>
      <c r="AJ183" s="4"/>
      <c r="AK183" s="4"/>
      <c r="AL183" s="4"/>
    </row>
    <row r="184" spans="1:38" ht="12.6" customHeight="1" x14ac:dyDescent="0.2">
      <c r="A184" s="19"/>
      <c r="B184" s="683" t="s">
        <v>852</v>
      </c>
      <c r="C184" s="703"/>
      <c r="D184" s="703"/>
      <c r="E184" s="704"/>
      <c r="F184" s="323">
        <f>28.77*X2</f>
        <v>44305.8</v>
      </c>
      <c r="G184" s="234">
        <f t="shared" si="443"/>
        <v>44305.8</v>
      </c>
      <c r="H184" s="527">
        <f>F184+700</f>
        <v>45005.8</v>
      </c>
      <c r="I184" s="255">
        <f t="shared" si="436"/>
        <v>45005.8</v>
      </c>
      <c r="J184" s="68">
        <f>F184+280</f>
        <v>44585.8</v>
      </c>
      <c r="K184" s="255">
        <f t="shared" si="438"/>
        <v>44585.8</v>
      </c>
      <c r="L184" s="527">
        <f>F184+210</f>
        <v>44515.8</v>
      </c>
      <c r="M184" s="255">
        <f t="shared" si="439"/>
        <v>44515.8</v>
      </c>
      <c r="N184" s="527">
        <f>F184+160</f>
        <v>44465.8</v>
      </c>
      <c r="O184" s="255">
        <f t="shared" si="444"/>
        <v>44465.8</v>
      </c>
      <c r="P184" s="527">
        <f>F184+130</f>
        <v>44435.8</v>
      </c>
      <c r="Q184" s="255">
        <f t="shared" si="440"/>
        <v>44435.8</v>
      </c>
      <c r="R184" s="527">
        <f>F184+110</f>
        <v>44415.8</v>
      </c>
      <c r="S184" s="255">
        <f t="shared" si="445"/>
        <v>44415.8</v>
      </c>
      <c r="T184" s="527">
        <f>F184+90</f>
        <v>44395.8</v>
      </c>
      <c r="U184" s="255">
        <f t="shared" si="441"/>
        <v>44395.8</v>
      </c>
      <c r="V184" s="527">
        <f>F184+70</f>
        <v>44375.8</v>
      </c>
      <c r="W184" s="255">
        <f t="shared" ref="W184" si="446">+V184*$X$1</f>
        <v>44375.8</v>
      </c>
      <c r="X184" s="750"/>
      <c r="Y184" s="799"/>
      <c r="Z184" s="799"/>
      <c r="AA184" s="800"/>
      <c r="AB184" s="178">
        <v>402</v>
      </c>
    </row>
    <row r="185" spans="1:38" ht="12.6" customHeight="1" x14ac:dyDescent="0.2">
      <c r="A185" s="19"/>
      <c r="B185" s="636" t="s">
        <v>547</v>
      </c>
      <c r="C185" s="637"/>
      <c r="D185" s="637"/>
      <c r="E185" s="637"/>
      <c r="F185" s="324">
        <f>13.317*X2</f>
        <v>20508.18</v>
      </c>
      <c r="G185" s="269">
        <f t="shared" ref="G185" si="447">+F185*$X$1</f>
        <v>20508.18</v>
      </c>
      <c r="H185" s="536">
        <f t="shared" si="435"/>
        <v>21108.18</v>
      </c>
      <c r="I185" s="256">
        <f t="shared" ref="I185" si="448">+H185*$X$1</f>
        <v>21108.18</v>
      </c>
      <c r="J185" s="536">
        <f t="shared" ref="J185:J189" si="449">F185+200</f>
        <v>20708.18</v>
      </c>
      <c r="K185" s="256">
        <f t="shared" ref="K185:K187" si="450">+J185*$X$1</f>
        <v>20708.18</v>
      </c>
      <c r="L185" s="536">
        <f>F185+150</f>
        <v>20658.18</v>
      </c>
      <c r="M185" s="256">
        <f t="shared" ref="M185" si="451">+L185*$X$1</f>
        <v>20658.18</v>
      </c>
      <c r="N185" s="536">
        <f>F185+100</f>
        <v>20608.18</v>
      </c>
      <c r="O185" s="256">
        <f>+N185*$X$1</f>
        <v>20608.18</v>
      </c>
      <c r="P185" s="536">
        <f>F185+90</f>
        <v>20598.18</v>
      </c>
      <c r="Q185" s="256">
        <f t="shared" ref="Q185" si="452">+P185*$X$1</f>
        <v>20598.18</v>
      </c>
      <c r="R185" s="536">
        <f>F185+70</f>
        <v>20578.18</v>
      </c>
      <c r="S185" s="256">
        <f>+R185*$X$1</f>
        <v>20578.18</v>
      </c>
      <c r="T185" s="536">
        <f>F185+56</f>
        <v>20564.18</v>
      </c>
      <c r="U185" s="256">
        <f t="shared" ref="U185" si="453">+T185*$X$1</f>
        <v>20564.18</v>
      </c>
      <c r="V185" s="536"/>
      <c r="W185" s="256"/>
      <c r="X185" s="715"/>
      <c r="Y185" s="718"/>
      <c r="Z185" s="718"/>
      <c r="AA185" s="716"/>
      <c r="AB185" s="178" t="s">
        <v>548</v>
      </c>
    </row>
    <row r="186" spans="1:38" ht="12.6" customHeight="1" x14ac:dyDescent="0.2">
      <c r="A186" s="19"/>
      <c r="B186" s="634" t="s">
        <v>556</v>
      </c>
      <c r="C186" s="635"/>
      <c r="D186" s="635"/>
      <c r="E186" s="635"/>
      <c r="F186" s="323">
        <f>17.78*X2</f>
        <v>27381.200000000001</v>
      </c>
      <c r="G186" s="234">
        <f t="shared" ref="G186" si="454">+F186*$X$1</f>
        <v>27381.200000000001</v>
      </c>
      <c r="H186" s="527">
        <f t="shared" si="435"/>
        <v>27981.200000000001</v>
      </c>
      <c r="I186" s="255">
        <f t="shared" ref="I186:I187" si="455">+H186*$X$1</f>
        <v>27981.200000000001</v>
      </c>
      <c r="J186" s="527">
        <f t="shared" si="449"/>
        <v>27581.200000000001</v>
      </c>
      <c r="K186" s="255">
        <f t="shared" si="450"/>
        <v>27581.200000000001</v>
      </c>
      <c r="L186" s="527">
        <f>F186+150</f>
        <v>27531.200000000001</v>
      </c>
      <c r="M186" s="255">
        <f t="shared" ref="M186:M187" si="456">+L186*$X$1</f>
        <v>27531.200000000001</v>
      </c>
      <c r="N186" s="527">
        <f>F186+100</f>
        <v>27481.200000000001</v>
      </c>
      <c r="O186" s="255">
        <f>+N186*$X$1</f>
        <v>27481.200000000001</v>
      </c>
      <c r="P186" s="527">
        <f>F186+90</f>
        <v>27471.200000000001</v>
      </c>
      <c r="Q186" s="255">
        <f t="shared" ref="Q186:Q187" si="457">+P186*$X$1</f>
        <v>27471.200000000001</v>
      </c>
      <c r="R186" s="527">
        <f>F186+70</f>
        <v>27451.200000000001</v>
      </c>
      <c r="S186" s="255">
        <f>+R186*$X$1</f>
        <v>27451.200000000001</v>
      </c>
      <c r="T186" s="527">
        <f>F186+56</f>
        <v>27437.200000000001</v>
      </c>
      <c r="U186" s="255">
        <f t="shared" ref="U186:U187" si="458">+T186*$X$1</f>
        <v>27437.200000000001</v>
      </c>
      <c r="V186" s="527"/>
      <c r="W186" s="255"/>
      <c r="X186" s="166"/>
      <c r="Y186" s="168"/>
      <c r="Z186" s="168"/>
      <c r="AA186" s="166"/>
      <c r="AB186" s="178" t="s">
        <v>555</v>
      </c>
    </row>
    <row r="187" spans="1:38" ht="12.6" customHeight="1" x14ac:dyDescent="0.2">
      <c r="A187" s="19"/>
      <c r="B187" s="636" t="s">
        <v>550</v>
      </c>
      <c r="C187" s="637"/>
      <c r="D187" s="637"/>
      <c r="E187" s="637"/>
      <c r="F187" s="324">
        <f>12.84*X2</f>
        <v>19773.599999999999</v>
      </c>
      <c r="G187" s="269">
        <f t="shared" ref="G187" si="459">+F187*$X$1</f>
        <v>19773.599999999999</v>
      </c>
      <c r="H187" s="536">
        <f>F187+700</f>
        <v>20473.599999999999</v>
      </c>
      <c r="I187" s="256">
        <f t="shared" si="455"/>
        <v>20473.599999999999</v>
      </c>
      <c r="J187" s="82">
        <f>F187+280</f>
        <v>20053.599999999999</v>
      </c>
      <c r="K187" s="256">
        <f t="shared" si="450"/>
        <v>20053.599999999999</v>
      </c>
      <c r="L187" s="536">
        <f>F187+210</f>
        <v>19983.599999999999</v>
      </c>
      <c r="M187" s="256">
        <f t="shared" si="456"/>
        <v>19983.599999999999</v>
      </c>
      <c r="N187" s="536">
        <f>F187+160</f>
        <v>19933.599999999999</v>
      </c>
      <c r="O187" s="256">
        <f t="shared" ref="O187" si="460">+N187*$X$1</f>
        <v>19933.599999999999</v>
      </c>
      <c r="P187" s="536">
        <f>F187+130</f>
        <v>19903.599999999999</v>
      </c>
      <c r="Q187" s="256">
        <f t="shared" si="457"/>
        <v>19903.599999999999</v>
      </c>
      <c r="R187" s="536">
        <f>F187+110</f>
        <v>19883.599999999999</v>
      </c>
      <c r="S187" s="256">
        <f t="shared" ref="S187" si="461">+R187*$X$1</f>
        <v>19883.599999999999</v>
      </c>
      <c r="T187" s="536">
        <f>F187+90</f>
        <v>19863.599999999999</v>
      </c>
      <c r="U187" s="256">
        <f t="shared" si="458"/>
        <v>19863.599999999999</v>
      </c>
      <c r="V187" s="536"/>
      <c r="W187" s="256"/>
      <c r="X187" s="750"/>
      <c r="Y187" s="799"/>
      <c r="Z187" s="799"/>
      <c r="AA187" s="800"/>
      <c r="AB187" s="178" t="s">
        <v>549</v>
      </c>
    </row>
    <row r="188" spans="1:38" ht="12.6" customHeight="1" x14ac:dyDescent="0.2">
      <c r="A188" s="19"/>
      <c r="B188" s="634" t="s">
        <v>312</v>
      </c>
      <c r="C188" s="635"/>
      <c r="D188" s="635"/>
      <c r="E188" s="635"/>
      <c r="F188" s="323">
        <f>15.93*X2</f>
        <v>24532.2</v>
      </c>
      <c r="G188" s="234">
        <f t="shared" ref="G188:G189" si="462">+F188*$X$1</f>
        <v>24532.2</v>
      </c>
      <c r="H188" s="507"/>
      <c r="I188" s="255"/>
      <c r="J188" s="68">
        <f t="shared" si="449"/>
        <v>24732.2</v>
      </c>
      <c r="K188" s="255">
        <f t="shared" ref="K188" si="463">+J188*$X$1</f>
        <v>24732.2</v>
      </c>
      <c r="L188" s="507">
        <f t="shared" ref="L188" si="464">F188+150</f>
        <v>24682.2</v>
      </c>
      <c r="M188" s="255">
        <f t="shared" ref="M188" si="465">+L188*$X$1</f>
        <v>24682.2</v>
      </c>
      <c r="N188" s="507">
        <f t="shared" ref="N188" si="466">F188+110</f>
        <v>24642.2</v>
      </c>
      <c r="O188" s="255">
        <f t="shared" ref="O188" si="467">+N188*$X$1</f>
        <v>24642.2</v>
      </c>
      <c r="P188" s="507">
        <f t="shared" ref="P188" si="468">F188+100</f>
        <v>24632.2</v>
      </c>
      <c r="Q188" s="255">
        <f t="shared" ref="Q188" si="469">+P188*$X$1</f>
        <v>24632.2</v>
      </c>
      <c r="R188" s="507">
        <f t="shared" ref="R188" si="470">F188+80</f>
        <v>24612.2</v>
      </c>
      <c r="S188" s="255">
        <f t="shared" ref="S188" si="471">+R188*$X$1</f>
        <v>24612.2</v>
      </c>
      <c r="T188" s="507">
        <f t="shared" ref="T188" si="472">F188+65</f>
        <v>24597.200000000001</v>
      </c>
      <c r="U188" s="255">
        <f t="shared" ref="U188" si="473">+T188*$X$1</f>
        <v>24597.200000000001</v>
      </c>
      <c r="V188" s="68"/>
      <c r="W188" s="68"/>
      <c r="X188" s="750"/>
      <c r="Y188" s="799"/>
      <c r="Z188" s="799"/>
      <c r="AA188" s="800"/>
      <c r="AB188" s="178">
        <v>405</v>
      </c>
    </row>
    <row r="189" spans="1:38" ht="12.6" customHeight="1" x14ac:dyDescent="0.2">
      <c r="A189" s="19"/>
      <c r="B189" s="636" t="s">
        <v>554</v>
      </c>
      <c r="C189" s="637"/>
      <c r="D189" s="637"/>
      <c r="E189" s="637"/>
      <c r="F189" s="324">
        <f>15.6*X2</f>
        <v>24024</v>
      </c>
      <c r="G189" s="269">
        <f t="shared" si="462"/>
        <v>24024</v>
      </c>
      <c r="H189" s="391">
        <f>F189+600</f>
        <v>24624</v>
      </c>
      <c r="I189" s="256">
        <f t="shared" ref="I189:I190" si="474">+H189*$X$1</f>
        <v>24624</v>
      </c>
      <c r="J189" s="391">
        <f t="shared" si="449"/>
        <v>24224</v>
      </c>
      <c r="K189" s="256">
        <f t="shared" ref="K189:K190" si="475">+J189*$X$1</f>
        <v>24224</v>
      </c>
      <c r="L189" s="391">
        <f>F189+150</f>
        <v>24174</v>
      </c>
      <c r="M189" s="256">
        <f t="shared" ref="M189:M190" si="476">+L189*$X$1</f>
        <v>24174</v>
      </c>
      <c r="N189" s="391">
        <f>F189+100</f>
        <v>24124</v>
      </c>
      <c r="O189" s="256">
        <f>+N189*$X$1</f>
        <v>24124</v>
      </c>
      <c r="P189" s="391">
        <f>F189+90</f>
        <v>24114</v>
      </c>
      <c r="Q189" s="256">
        <f t="shared" ref="Q189:Q190" si="477">+P189*$X$1</f>
        <v>24114</v>
      </c>
      <c r="R189" s="391">
        <f>F189+70</f>
        <v>24094</v>
      </c>
      <c r="S189" s="256">
        <f>+R189*$X$1</f>
        <v>24094</v>
      </c>
      <c r="T189" s="391">
        <f>F189+56</f>
        <v>24080</v>
      </c>
      <c r="U189" s="256">
        <f t="shared" ref="U189:U190" si="478">+T189*$X$1</f>
        <v>24080</v>
      </c>
      <c r="V189" s="391"/>
      <c r="W189" s="256"/>
      <c r="X189" s="715"/>
      <c r="Y189" s="718"/>
      <c r="Z189" s="718"/>
      <c r="AA189" s="716"/>
      <c r="AB189" s="178" t="s">
        <v>553</v>
      </c>
    </row>
    <row r="190" spans="1:38" ht="12.6" customHeight="1" x14ac:dyDescent="0.2">
      <c r="A190" s="19"/>
      <c r="B190" s="678" t="s">
        <v>552</v>
      </c>
      <c r="C190" s="679"/>
      <c r="D190" s="679"/>
      <c r="E190" s="679"/>
      <c r="F190" s="323">
        <f>16.54*X2</f>
        <v>25471.599999999999</v>
      </c>
      <c r="G190" s="234">
        <f t="shared" ref="G190" si="479">+F190*$X$1</f>
        <v>25471.599999999999</v>
      </c>
      <c r="H190" s="68">
        <f>F190+600</f>
        <v>26071.599999999999</v>
      </c>
      <c r="I190" s="255">
        <f t="shared" si="474"/>
        <v>26071.599999999999</v>
      </c>
      <c r="J190" s="507">
        <f>F190+220</f>
        <v>25691.599999999999</v>
      </c>
      <c r="K190" s="255">
        <f t="shared" si="475"/>
        <v>25691.599999999999</v>
      </c>
      <c r="L190" s="507">
        <f>F190+170</f>
        <v>25641.599999999999</v>
      </c>
      <c r="M190" s="255">
        <f t="shared" si="476"/>
        <v>25641.599999999999</v>
      </c>
      <c r="N190" s="507">
        <f>F190+120</f>
        <v>25591.599999999999</v>
      </c>
      <c r="O190" s="255">
        <f t="shared" ref="O190" si="480">+N190*$X$1</f>
        <v>25591.599999999999</v>
      </c>
      <c r="P190" s="507">
        <f>F190+110</f>
        <v>25581.599999999999</v>
      </c>
      <c r="Q190" s="255">
        <f t="shared" si="477"/>
        <v>25581.599999999999</v>
      </c>
      <c r="R190" s="507">
        <f>F190+95</f>
        <v>25566.6</v>
      </c>
      <c r="S190" s="255">
        <f t="shared" ref="S190" si="481">+R190*$X$1</f>
        <v>25566.6</v>
      </c>
      <c r="T190" s="507">
        <f>F190+85</f>
        <v>25556.6</v>
      </c>
      <c r="U190" s="255">
        <f t="shared" si="478"/>
        <v>25556.6</v>
      </c>
      <c r="V190" s="507"/>
      <c r="W190" s="255"/>
      <c r="X190" s="750"/>
      <c r="Y190" s="799"/>
      <c r="Z190" s="799"/>
      <c r="AA190" s="800"/>
      <c r="AB190" s="178" t="s">
        <v>551</v>
      </c>
    </row>
    <row r="191" spans="1:38" ht="12.6" customHeight="1" x14ac:dyDescent="0.2">
      <c r="A191" s="23"/>
      <c r="B191" s="670" t="s">
        <v>571</v>
      </c>
      <c r="C191" s="726"/>
      <c r="D191" s="726"/>
      <c r="E191" s="726"/>
      <c r="F191" s="280">
        <v>200</v>
      </c>
      <c r="G191" s="426"/>
      <c r="H191" s="316"/>
      <c r="I191" s="992" t="s">
        <v>525</v>
      </c>
      <c r="J191" s="993"/>
      <c r="K191" s="993"/>
      <c r="L191" s="993"/>
      <c r="M191" s="994"/>
      <c r="N191" s="391">
        <f>F191+220</f>
        <v>420</v>
      </c>
      <c r="O191" s="256">
        <f t="shared" ref="O191" si="482">+N191*$X$1</f>
        <v>420</v>
      </c>
      <c r="P191" s="391">
        <f>F191+200</f>
        <v>400</v>
      </c>
      <c r="Q191" s="256">
        <f t="shared" ref="Q191" si="483">+P191*$X$1</f>
        <v>400</v>
      </c>
      <c r="R191" s="391">
        <f>F191+170</f>
        <v>370</v>
      </c>
      <c r="S191" s="256">
        <f t="shared" ref="S191" si="484">+R191*$X$1</f>
        <v>370</v>
      </c>
      <c r="T191" s="391">
        <f>F191+155</f>
        <v>355</v>
      </c>
      <c r="U191" s="256">
        <f t="shared" ref="U191" si="485">+T191*$X$1</f>
        <v>355</v>
      </c>
      <c r="V191" s="391">
        <f>F191+140</f>
        <v>340</v>
      </c>
      <c r="W191" s="256">
        <f t="shared" ref="W191" si="486">+V191*$X$1</f>
        <v>340</v>
      </c>
      <c r="X191" s="145"/>
      <c r="Y191" s="135"/>
      <c r="Z191" s="135"/>
      <c r="AA191" s="135"/>
      <c r="AB191" s="178">
        <v>415</v>
      </c>
    </row>
    <row r="192" spans="1:38" ht="12.6" customHeight="1" x14ac:dyDescent="0.2">
      <c r="A192" s="23"/>
      <c r="B192" s="678" t="s">
        <v>473</v>
      </c>
      <c r="C192" s="679"/>
      <c r="D192" s="679"/>
      <c r="E192" s="679"/>
      <c r="F192" s="270">
        <v>220</v>
      </c>
      <c r="G192" s="234"/>
      <c r="H192" s="317"/>
      <c r="I192" s="995"/>
      <c r="J192" s="995"/>
      <c r="K192" s="995"/>
      <c r="L192" s="995"/>
      <c r="M192" s="996"/>
      <c r="N192" s="507">
        <f>F192+220</f>
        <v>440</v>
      </c>
      <c r="O192" s="255">
        <f t="shared" ref="O192:O195" si="487">+N192*$X$1</f>
        <v>440</v>
      </c>
      <c r="P192" s="507">
        <f>F192+200</f>
        <v>420</v>
      </c>
      <c r="Q192" s="255">
        <f t="shared" ref="Q192:Q195" si="488">+P192*$X$1</f>
        <v>420</v>
      </c>
      <c r="R192" s="507">
        <f>F192+170</f>
        <v>390</v>
      </c>
      <c r="S192" s="255">
        <f t="shared" ref="S192:S195" si="489">+R192*$X$1</f>
        <v>390</v>
      </c>
      <c r="T192" s="507">
        <f>F192+155</f>
        <v>375</v>
      </c>
      <c r="U192" s="255">
        <f t="shared" ref="U192:U195" si="490">+T192*$X$1</f>
        <v>375</v>
      </c>
      <c r="V192" s="507">
        <f>F192+140</f>
        <v>360</v>
      </c>
      <c r="W192" s="255">
        <f t="shared" ref="W192:W195" si="491">+V192*$X$1</f>
        <v>360</v>
      </c>
      <c r="X192" s="145"/>
      <c r="Y192" s="135"/>
      <c r="Z192" s="135"/>
      <c r="AA192" s="135"/>
      <c r="AB192" s="178">
        <v>416</v>
      </c>
    </row>
    <row r="193" spans="1:38" ht="12.6" customHeight="1" x14ac:dyDescent="0.2">
      <c r="A193" s="23"/>
      <c r="B193" s="657" t="s">
        <v>474</v>
      </c>
      <c r="C193" s="633"/>
      <c r="D193" s="633"/>
      <c r="E193" s="633"/>
      <c r="F193" s="280">
        <v>213</v>
      </c>
      <c r="G193" s="269"/>
      <c r="H193" s="317"/>
      <c r="I193" s="995"/>
      <c r="J193" s="995"/>
      <c r="K193" s="995"/>
      <c r="L193" s="995"/>
      <c r="M193" s="996"/>
      <c r="N193" s="391">
        <f>F193+220</f>
        <v>433</v>
      </c>
      <c r="O193" s="256">
        <f t="shared" si="487"/>
        <v>433</v>
      </c>
      <c r="P193" s="391">
        <f>F193+200</f>
        <v>413</v>
      </c>
      <c r="Q193" s="256">
        <f t="shared" si="488"/>
        <v>413</v>
      </c>
      <c r="R193" s="391">
        <f>F193+170</f>
        <v>383</v>
      </c>
      <c r="S193" s="256">
        <f t="shared" si="489"/>
        <v>383</v>
      </c>
      <c r="T193" s="391">
        <f>F193+155</f>
        <v>368</v>
      </c>
      <c r="U193" s="256">
        <f t="shared" si="490"/>
        <v>368</v>
      </c>
      <c r="V193" s="391">
        <f>F193+140</f>
        <v>353</v>
      </c>
      <c r="W193" s="256">
        <f t="shared" si="491"/>
        <v>353</v>
      </c>
      <c r="X193" s="145"/>
      <c r="Y193" s="135"/>
      <c r="Z193" s="135"/>
      <c r="AA193" s="135"/>
      <c r="AB193" s="178">
        <v>417</v>
      </c>
    </row>
    <row r="194" spans="1:38" ht="12.6" customHeight="1" x14ac:dyDescent="0.2">
      <c r="A194" s="23"/>
      <c r="B194" s="678" t="s">
        <v>475</v>
      </c>
      <c r="C194" s="679"/>
      <c r="D194" s="679"/>
      <c r="E194" s="679"/>
      <c r="F194" s="270">
        <v>213</v>
      </c>
      <c r="G194" s="234"/>
      <c r="H194" s="318"/>
      <c r="I194" s="997"/>
      <c r="J194" s="997"/>
      <c r="K194" s="997"/>
      <c r="L194" s="997"/>
      <c r="M194" s="998"/>
      <c r="N194" s="507">
        <f>F194+220</f>
        <v>433</v>
      </c>
      <c r="O194" s="255">
        <f t="shared" si="487"/>
        <v>433</v>
      </c>
      <c r="P194" s="507">
        <f>F194+200</f>
        <v>413</v>
      </c>
      <c r="Q194" s="255">
        <f t="shared" si="488"/>
        <v>413</v>
      </c>
      <c r="R194" s="507">
        <f>F194+170</f>
        <v>383</v>
      </c>
      <c r="S194" s="255">
        <f t="shared" si="489"/>
        <v>383</v>
      </c>
      <c r="T194" s="507">
        <f>F194+155</f>
        <v>368</v>
      </c>
      <c r="U194" s="255">
        <f t="shared" si="490"/>
        <v>368</v>
      </c>
      <c r="V194" s="507">
        <f>F194+140</f>
        <v>353</v>
      </c>
      <c r="W194" s="255">
        <f t="shared" si="491"/>
        <v>353</v>
      </c>
      <c r="X194" s="145"/>
      <c r="Y194" s="135"/>
      <c r="Z194" s="135"/>
      <c r="AA194" s="135"/>
      <c r="AB194" s="178">
        <v>418</v>
      </c>
    </row>
    <row r="195" spans="1:38" ht="12.6" customHeight="1" x14ac:dyDescent="0.2">
      <c r="A195" s="23"/>
      <c r="B195" s="657" t="s">
        <v>170</v>
      </c>
      <c r="C195" s="633"/>
      <c r="D195" s="633"/>
      <c r="E195" s="633"/>
      <c r="F195" s="325">
        <v>896</v>
      </c>
      <c r="G195" s="280">
        <f t="shared" ref="G195:G208" si="492">+F195*$X$1</f>
        <v>896</v>
      </c>
      <c r="H195" s="254"/>
      <c r="I195" s="306"/>
      <c r="J195" s="108"/>
      <c r="K195" s="425"/>
      <c r="L195" s="391">
        <f>F195+170</f>
        <v>1066</v>
      </c>
      <c r="M195" s="256">
        <f t="shared" ref="M195" si="493">+L195*$X$1</f>
        <v>1066</v>
      </c>
      <c r="N195" s="536">
        <f>F195+120</f>
        <v>1016</v>
      </c>
      <c r="O195" s="256">
        <f t="shared" si="487"/>
        <v>1016</v>
      </c>
      <c r="P195" s="536">
        <f>F195+110</f>
        <v>1006</v>
      </c>
      <c r="Q195" s="256">
        <f t="shared" si="488"/>
        <v>1006</v>
      </c>
      <c r="R195" s="536">
        <f>F195+95</f>
        <v>991</v>
      </c>
      <c r="S195" s="256">
        <f t="shared" si="489"/>
        <v>991</v>
      </c>
      <c r="T195" s="536">
        <f>F195+85</f>
        <v>981</v>
      </c>
      <c r="U195" s="256">
        <f t="shared" si="490"/>
        <v>981</v>
      </c>
      <c r="V195" s="536">
        <f>F195+76</f>
        <v>972</v>
      </c>
      <c r="W195" s="256">
        <f t="shared" si="491"/>
        <v>972</v>
      </c>
      <c r="X195" s="801"/>
      <c r="Y195" s="802"/>
      <c r="Z195" s="802"/>
      <c r="AA195" s="803"/>
      <c r="AB195" s="350">
        <v>421</v>
      </c>
    </row>
    <row r="196" spans="1:38" ht="12.6" customHeight="1" x14ac:dyDescent="0.2">
      <c r="A196" s="23"/>
      <c r="B196" s="678" t="s">
        <v>530</v>
      </c>
      <c r="C196" s="679"/>
      <c r="D196" s="679"/>
      <c r="E196" s="679"/>
      <c r="F196" s="326">
        <v>813</v>
      </c>
      <c r="G196" s="270">
        <f t="shared" si="492"/>
        <v>813</v>
      </c>
      <c r="H196" s="980" t="s">
        <v>559</v>
      </c>
      <c r="I196" s="981"/>
      <c r="J196" s="981"/>
      <c r="K196" s="982"/>
      <c r="L196" s="507">
        <f>F196+250</f>
        <v>1063</v>
      </c>
      <c r="M196" s="255">
        <f t="shared" ref="M196" si="494">+L196*$X$1</f>
        <v>1063</v>
      </c>
      <c r="N196" s="527">
        <f>F196+190</f>
        <v>1003</v>
      </c>
      <c r="O196" s="255">
        <f t="shared" ref="O196" si="495">+N196*$X$1</f>
        <v>1003</v>
      </c>
      <c r="P196" s="527">
        <f>F196+170</f>
        <v>983</v>
      </c>
      <c r="Q196" s="255">
        <f t="shared" ref="Q196" si="496">+P196*$X$1</f>
        <v>983</v>
      </c>
      <c r="R196" s="527">
        <f>F196+150</f>
        <v>963</v>
      </c>
      <c r="S196" s="255">
        <f t="shared" ref="S196" si="497">+R196*$X$1</f>
        <v>963</v>
      </c>
      <c r="T196" s="93">
        <f>F196+130</f>
        <v>943</v>
      </c>
      <c r="U196" s="234">
        <f t="shared" ref="U196" si="498">+T196*$X$1</f>
        <v>943</v>
      </c>
      <c r="V196" s="527">
        <f>F196+115</f>
        <v>928</v>
      </c>
      <c r="W196" s="255">
        <f t="shared" ref="W196" si="499">+V196*$X$1</f>
        <v>928</v>
      </c>
      <c r="X196" s="801"/>
      <c r="Y196" s="802"/>
      <c r="Z196" s="802"/>
      <c r="AA196" s="803"/>
      <c r="AB196" s="350" t="s">
        <v>647</v>
      </c>
    </row>
    <row r="197" spans="1:38" ht="12.6" customHeight="1" x14ac:dyDescent="0.2">
      <c r="A197" s="23"/>
      <c r="B197" s="657" t="s">
        <v>527</v>
      </c>
      <c r="C197" s="633"/>
      <c r="D197" s="633"/>
      <c r="E197" s="633"/>
      <c r="F197" s="325">
        <v>813</v>
      </c>
      <c r="G197" s="280">
        <f t="shared" si="492"/>
        <v>813</v>
      </c>
      <c r="H197" s="983"/>
      <c r="I197" s="984"/>
      <c r="J197" s="984"/>
      <c r="K197" s="985"/>
      <c r="L197" s="536">
        <f>F197+250</f>
        <v>1063</v>
      </c>
      <c r="M197" s="256">
        <f t="shared" ref="M197:M201" si="500">+L197*$X$1</f>
        <v>1063</v>
      </c>
      <c r="N197" s="536">
        <f>F197+190</f>
        <v>1003</v>
      </c>
      <c r="O197" s="256">
        <f t="shared" ref="O197:O201" si="501">+N197*$X$1</f>
        <v>1003</v>
      </c>
      <c r="P197" s="536">
        <f>F197+170</f>
        <v>983</v>
      </c>
      <c r="Q197" s="256">
        <f t="shared" ref="Q197:Q201" si="502">+P197*$X$1</f>
        <v>983</v>
      </c>
      <c r="R197" s="536">
        <f>F197+150</f>
        <v>963</v>
      </c>
      <c r="S197" s="256">
        <f t="shared" ref="S197:S201" si="503">+R197*$X$1</f>
        <v>963</v>
      </c>
      <c r="T197" s="92">
        <f>F197+130</f>
        <v>943</v>
      </c>
      <c r="U197" s="269">
        <f t="shared" ref="U197:U201" si="504">+T197*$X$1</f>
        <v>943</v>
      </c>
      <c r="V197" s="536">
        <f>F197+115</f>
        <v>928</v>
      </c>
      <c r="W197" s="256">
        <f t="shared" ref="W197:W201" si="505">+V197*$X$1</f>
        <v>928</v>
      </c>
      <c r="X197" s="801"/>
      <c r="Y197" s="802"/>
      <c r="Z197" s="802"/>
      <c r="AA197" s="803"/>
      <c r="AB197" s="350" t="s">
        <v>642</v>
      </c>
    </row>
    <row r="198" spans="1:38" ht="12.6" customHeight="1" x14ac:dyDescent="0.2">
      <c r="A198" s="23"/>
      <c r="B198" s="678" t="s">
        <v>526</v>
      </c>
      <c r="C198" s="679"/>
      <c r="D198" s="679"/>
      <c r="E198" s="679"/>
      <c r="F198" s="326">
        <v>813</v>
      </c>
      <c r="G198" s="270">
        <f t="shared" si="492"/>
        <v>813</v>
      </c>
      <c r="H198" s="983"/>
      <c r="I198" s="984"/>
      <c r="J198" s="984"/>
      <c r="K198" s="985"/>
      <c r="L198" s="527">
        <f>F198+250</f>
        <v>1063</v>
      </c>
      <c r="M198" s="255">
        <f t="shared" si="500"/>
        <v>1063</v>
      </c>
      <c r="N198" s="527">
        <f>F198+190</f>
        <v>1003</v>
      </c>
      <c r="O198" s="255">
        <f t="shared" si="501"/>
        <v>1003</v>
      </c>
      <c r="P198" s="527">
        <f>F198+170</f>
        <v>983</v>
      </c>
      <c r="Q198" s="255">
        <f t="shared" si="502"/>
        <v>983</v>
      </c>
      <c r="R198" s="527">
        <f>F198+150</f>
        <v>963</v>
      </c>
      <c r="S198" s="255">
        <f t="shared" si="503"/>
        <v>963</v>
      </c>
      <c r="T198" s="93">
        <f>F198+130</f>
        <v>943</v>
      </c>
      <c r="U198" s="234">
        <f t="shared" si="504"/>
        <v>943</v>
      </c>
      <c r="V198" s="527">
        <f>F198+115</f>
        <v>928</v>
      </c>
      <c r="W198" s="255">
        <f t="shared" si="505"/>
        <v>928</v>
      </c>
      <c r="X198" s="801"/>
      <c r="Y198" s="802"/>
      <c r="Z198" s="802"/>
      <c r="AA198" s="803"/>
      <c r="AB198" s="350" t="s">
        <v>644</v>
      </c>
    </row>
    <row r="199" spans="1:38" ht="12.6" customHeight="1" x14ac:dyDescent="0.2">
      <c r="A199" s="23"/>
      <c r="B199" s="657" t="s">
        <v>529</v>
      </c>
      <c r="C199" s="633"/>
      <c r="D199" s="633"/>
      <c r="E199" s="633"/>
      <c r="F199" s="325">
        <v>813</v>
      </c>
      <c r="G199" s="280">
        <f t="shared" si="492"/>
        <v>813</v>
      </c>
      <c r="H199" s="983"/>
      <c r="I199" s="984"/>
      <c r="J199" s="984"/>
      <c r="K199" s="985"/>
      <c r="L199" s="536">
        <f>F199+250</f>
        <v>1063</v>
      </c>
      <c r="M199" s="256">
        <f t="shared" si="500"/>
        <v>1063</v>
      </c>
      <c r="N199" s="536">
        <f>F199+190</f>
        <v>1003</v>
      </c>
      <c r="O199" s="256">
        <f t="shared" si="501"/>
        <v>1003</v>
      </c>
      <c r="P199" s="536">
        <f>F199+170</f>
        <v>983</v>
      </c>
      <c r="Q199" s="256">
        <f t="shared" si="502"/>
        <v>983</v>
      </c>
      <c r="R199" s="536">
        <f>F199+150</f>
        <v>963</v>
      </c>
      <c r="S199" s="256">
        <f t="shared" si="503"/>
        <v>963</v>
      </c>
      <c r="T199" s="92">
        <f>F199+130</f>
        <v>943</v>
      </c>
      <c r="U199" s="269">
        <f t="shared" si="504"/>
        <v>943</v>
      </c>
      <c r="V199" s="536">
        <f>F199+115</f>
        <v>928</v>
      </c>
      <c r="W199" s="256">
        <f t="shared" si="505"/>
        <v>928</v>
      </c>
      <c r="X199" s="973"/>
      <c r="Y199" s="974"/>
      <c r="Z199" s="974"/>
      <c r="AA199" s="975"/>
      <c r="AB199" s="350" t="s">
        <v>643</v>
      </c>
    </row>
    <row r="200" spans="1:38" ht="12.6" customHeight="1" x14ac:dyDescent="0.2">
      <c r="A200" s="23"/>
      <c r="B200" s="678" t="s">
        <v>646</v>
      </c>
      <c r="C200" s="679"/>
      <c r="D200" s="679"/>
      <c r="E200" s="679"/>
      <c r="F200" s="326">
        <v>890</v>
      </c>
      <c r="G200" s="270">
        <f t="shared" ref="G200" si="506">+F200*$X$1</f>
        <v>890</v>
      </c>
      <c r="H200" s="983"/>
      <c r="I200" s="984"/>
      <c r="J200" s="984"/>
      <c r="K200" s="985"/>
      <c r="L200" s="527">
        <f>F200+250</f>
        <v>1140</v>
      </c>
      <c r="M200" s="255">
        <f t="shared" si="500"/>
        <v>1140</v>
      </c>
      <c r="N200" s="527">
        <f>F200+190</f>
        <v>1080</v>
      </c>
      <c r="O200" s="255">
        <f t="shared" si="501"/>
        <v>1080</v>
      </c>
      <c r="P200" s="527">
        <f>F200+170</f>
        <v>1060</v>
      </c>
      <c r="Q200" s="255">
        <f t="shared" si="502"/>
        <v>1060</v>
      </c>
      <c r="R200" s="527">
        <f>F200+150</f>
        <v>1040</v>
      </c>
      <c r="S200" s="255">
        <f t="shared" si="503"/>
        <v>1040</v>
      </c>
      <c r="T200" s="93">
        <f>F200+130</f>
        <v>1020</v>
      </c>
      <c r="U200" s="234">
        <f t="shared" si="504"/>
        <v>1020</v>
      </c>
      <c r="V200" s="527">
        <f>F200+115</f>
        <v>1005</v>
      </c>
      <c r="W200" s="255">
        <f t="shared" si="505"/>
        <v>1005</v>
      </c>
      <c r="X200" s="801"/>
      <c r="Y200" s="802"/>
      <c r="Z200" s="802"/>
      <c r="AA200" s="803"/>
      <c r="AB200" s="350" t="s">
        <v>645</v>
      </c>
    </row>
    <row r="201" spans="1:38" ht="12.6" customHeight="1" x14ac:dyDescent="0.2">
      <c r="A201" s="23"/>
      <c r="B201" s="657" t="s">
        <v>528</v>
      </c>
      <c r="C201" s="633"/>
      <c r="D201" s="633"/>
      <c r="E201" s="633"/>
      <c r="F201" s="325">
        <v>906</v>
      </c>
      <c r="G201" s="280">
        <f t="shared" si="492"/>
        <v>906</v>
      </c>
      <c r="H201" s="986"/>
      <c r="I201" s="987"/>
      <c r="J201" s="987"/>
      <c r="K201" s="988"/>
      <c r="L201" s="536">
        <f>F201+280</f>
        <v>1186</v>
      </c>
      <c r="M201" s="256">
        <f t="shared" si="500"/>
        <v>1186</v>
      </c>
      <c r="N201" s="536">
        <f>F201+220</f>
        <v>1126</v>
      </c>
      <c r="O201" s="256">
        <f t="shared" si="501"/>
        <v>1126</v>
      </c>
      <c r="P201" s="536">
        <f>F201+200</f>
        <v>1106</v>
      </c>
      <c r="Q201" s="256">
        <f t="shared" si="502"/>
        <v>1106</v>
      </c>
      <c r="R201" s="536">
        <f>F201+180</f>
        <v>1086</v>
      </c>
      <c r="S201" s="256">
        <f t="shared" si="503"/>
        <v>1086</v>
      </c>
      <c r="T201" s="92">
        <f>F201+160</f>
        <v>1066</v>
      </c>
      <c r="U201" s="269">
        <f t="shared" si="504"/>
        <v>1066</v>
      </c>
      <c r="V201" s="536">
        <f>F201+140</f>
        <v>1046</v>
      </c>
      <c r="W201" s="256">
        <f t="shared" si="505"/>
        <v>1046</v>
      </c>
      <c r="X201" s="801"/>
      <c r="Y201" s="802"/>
      <c r="Z201" s="802"/>
      <c r="AA201" s="803"/>
      <c r="AB201" s="350" t="s">
        <v>641</v>
      </c>
    </row>
    <row r="202" spans="1:38" ht="12.6" customHeight="1" x14ac:dyDescent="0.2">
      <c r="A202" s="94"/>
      <c r="B202" s="856" t="s">
        <v>843</v>
      </c>
      <c r="C202" s="857"/>
      <c r="D202" s="857"/>
      <c r="E202" s="857"/>
      <c r="F202" s="424">
        <f>0.89*X2</f>
        <v>1370.6</v>
      </c>
      <c r="G202" s="531">
        <f t="shared" si="492"/>
        <v>1370.6</v>
      </c>
      <c r="H202" s="527"/>
      <c r="I202" s="255"/>
      <c r="J202" s="68"/>
      <c r="K202" s="255"/>
      <c r="L202" s="527">
        <f>F202+210</f>
        <v>1580.6</v>
      </c>
      <c r="M202" s="255">
        <f t="shared" ref="M202:M205" si="507">+L202*$X$1</f>
        <v>1580.6</v>
      </c>
      <c r="N202" s="527">
        <f>F202+160</f>
        <v>1530.6</v>
      </c>
      <c r="O202" s="255">
        <f t="shared" ref="O202:O205" si="508">+N202*$X$1</f>
        <v>1530.6</v>
      </c>
      <c r="P202" s="527">
        <f>F202+130</f>
        <v>1500.6</v>
      </c>
      <c r="Q202" s="255">
        <f t="shared" ref="Q202:Q205" si="509">+P202*$X$1</f>
        <v>1500.6</v>
      </c>
      <c r="R202" s="527">
        <f>F202+110</f>
        <v>1480.6</v>
      </c>
      <c r="S202" s="255">
        <f t="shared" ref="S202:S205" si="510">+R202*$X$1</f>
        <v>1480.6</v>
      </c>
      <c r="T202" s="527">
        <f>F202+90</f>
        <v>1460.6</v>
      </c>
      <c r="U202" s="255">
        <f t="shared" ref="U202:U205" si="511">+T202*$X$1</f>
        <v>1460.6</v>
      </c>
      <c r="V202" s="527">
        <f>F202+70</f>
        <v>1440.6</v>
      </c>
      <c r="W202" s="255">
        <f t="shared" ref="W202:W205" si="512">+V202*$X$1</f>
        <v>1440.6</v>
      </c>
      <c r="X202" s="135"/>
      <c r="Y202" s="144"/>
      <c r="Z202" s="135"/>
      <c r="AA202" s="135"/>
      <c r="AB202" s="178">
        <v>425</v>
      </c>
    </row>
    <row r="203" spans="1:38" ht="12.6" customHeight="1" x14ac:dyDescent="0.2">
      <c r="A203" s="94"/>
      <c r="B203" s="657" t="s">
        <v>754</v>
      </c>
      <c r="C203" s="694"/>
      <c r="D203" s="694"/>
      <c r="E203" s="694"/>
      <c r="F203" s="324">
        <f>0.64*X2</f>
        <v>985.6</v>
      </c>
      <c r="G203" s="256">
        <f t="shared" ref="G203" si="513">+F203*$X$1</f>
        <v>985.6</v>
      </c>
      <c r="H203" s="536"/>
      <c r="I203" s="256"/>
      <c r="J203" s="82"/>
      <c r="K203" s="256"/>
      <c r="L203" s="536">
        <f>F203+210</f>
        <v>1195.5999999999999</v>
      </c>
      <c r="M203" s="256">
        <f t="shared" si="507"/>
        <v>1195.5999999999999</v>
      </c>
      <c r="N203" s="536">
        <f>F203+160</f>
        <v>1145.5999999999999</v>
      </c>
      <c r="O203" s="256">
        <f t="shared" si="508"/>
        <v>1145.5999999999999</v>
      </c>
      <c r="P203" s="536">
        <f>F203+130</f>
        <v>1115.5999999999999</v>
      </c>
      <c r="Q203" s="256">
        <f t="shared" si="509"/>
        <v>1115.5999999999999</v>
      </c>
      <c r="R203" s="536">
        <f>F203+110</f>
        <v>1095.5999999999999</v>
      </c>
      <c r="S203" s="256">
        <f t="shared" si="510"/>
        <v>1095.5999999999999</v>
      </c>
      <c r="T203" s="536">
        <f>F203+90</f>
        <v>1075.5999999999999</v>
      </c>
      <c r="U203" s="256">
        <f t="shared" si="511"/>
        <v>1075.5999999999999</v>
      </c>
      <c r="V203" s="536">
        <f>F203+70</f>
        <v>1055.5999999999999</v>
      </c>
      <c r="W203" s="256">
        <f t="shared" si="512"/>
        <v>1055.5999999999999</v>
      </c>
      <c r="X203" s="135"/>
      <c r="Y203" s="144"/>
      <c r="Z203" s="135"/>
      <c r="AA203" s="135"/>
      <c r="AB203" s="178">
        <v>426</v>
      </c>
    </row>
    <row r="204" spans="1:38" ht="12.6" customHeight="1" x14ac:dyDescent="0.2">
      <c r="A204" s="94"/>
      <c r="B204" s="678" t="s">
        <v>443</v>
      </c>
      <c r="C204" s="679"/>
      <c r="D204" s="679"/>
      <c r="E204" s="679"/>
      <c r="F204" s="323">
        <f>0.63*X2</f>
        <v>970.2</v>
      </c>
      <c r="G204" s="255">
        <f t="shared" si="492"/>
        <v>970.2</v>
      </c>
      <c r="H204" s="527"/>
      <c r="I204" s="255"/>
      <c r="J204" s="68"/>
      <c r="K204" s="255"/>
      <c r="L204" s="527">
        <f>F204+210</f>
        <v>1180.2</v>
      </c>
      <c r="M204" s="255">
        <f t="shared" si="507"/>
        <v>1180.2</v>
      </c>
      <c r="N204" s="527">
        <f>F204+160</f>
        <v>1130.2</v>
      </c>
      <c r="O204" s="255">
        <f t="shared" si="508"/>
        <v>1130.2</v>
      </c>
      <c r="P204" s="527">
        <f>F204+130</f>
        <v>1100.2</v>
      </c>
      <c r="Q204" s="255">
        <f t="shared" si="509"/>
        <v>1100.2</v>
      </c>
      <c r="R204" s="527">
        <f>F204+110</f>
        <v>1080.2</v>
      </c>
      <c r="S204" s="255">
        <f t="shared" si="510"/>
        <v>1080.2</v>
      </c>
      <c r="T204" s="527">
        <f>F204+90</f>
        <v>1060.2</v>
      </c>
      <c r="U204" s="255">
        <f t="shared" si="511"/>
        <v>1060.2</v>
      </c>
      <c r="V204" s="527">
        <f>F204+70</f>
        <v>1040.2</v>
      </c>
      <c r="W204" s="255">
        <f t="shared" si="512"/>
        <v>1040.2</v>
      </c>
      <c r="X204" s="135"/>
      <c r="Y204" s="144"/>
      <c r="Z204" s="135"/>
      <c r="AA204" s="135"/>
      <c r="AB204" s="178" t="s">
        <v>492</v>
      </c>
    </row>
    <row r="205" spans="1:38" ht="12.6" customHeight="1" x14ac:dyDescent="0.2">
      <c r="A205" s="94"/>
      <c r="B205" s="657" t="s">
        <v>433</v>
      </c>
      <c r="C205" s="633"/>
      <c r="D205" s="633"/>
      <c r="E205" s="633"/>
      <c r="F205" s="324">
        <f>0.51*X2</f>
        <v>785.4</v>
      </c>
      <c r="G205" s="256">
        <f t="shared" ref="G205:G206" si="514">+F205*$X$1</f>
        <v>785.4</v>
      </c>
      <c r="H205" s="536"/>
      <c r="I205" s="256"/>
      <c r="J205" s="82"/>
      <c r="K205" s="256"/>
      <c r="L205" s="536">
        <f>F205+210</f>
        <v>995.4</v>
      </c>
      <c r="M205" s="256">
        <f t="shared" si="507"/>
        <v>995.4</v>
      </c>
      <c r="N205" s="536">
        <f>F205+160</f>
        <v>945.4</v>
      </c>
      <c r="O205" s="256">
        <f t="shared" si="508"/>
        <v>945.4</v>
      </c>
      <c r="P205" s="536">
        <f>F205+130</f>
        <v>915.4</v>
      </c>
      <c r="Q205" s="256">
        <f t="shared" si="509"/>
        <v>915.4</v>
      </c>
      <c r="R205" s="536">
        <f>F205+110</f>
        <v>895.4</v>
      </c>
      <c r="S205" s="256">
        <f t="shared" si="510"/>
        <v>895.4</v>
      </c>
      <c r="T205" s="536">
        <f>F205+90</f>
        <v>875.4</v>
      </c>
      <c r="U205" s="256">
        <f t="shared" si="511"/>
        <v>875.4</v>
      </c>
      <c r="V205" s="536">
        <f>F205+70</f>
        <v>855.4</v>
      </c>
      <c r="W205" s="256">
        <f t="shared" si="512"/>
        <v>855.4</v>
      </c>
      <c r="X205" s="135"/>
      <c r="Y205" s="144"/>
      <c r="Z205" s="135"/>
      <c r="AA205" s="135"/>
      <c r="AB205" s="178">
        <v>428</v>
      </c>
    </row>
    <row r="206" spans="1:38" s="1" customFormat="1" ht="12.6" customHeight="1" x14ac:dyDescent="0.2">
      <c r="A206" s="18"/>
      <c r="B206" s="683" t="s">
        <v>841</v>
      </c>
      <c r="C206" s="703"/>
      <c r="D206" s="703"/>
      <c r="E206" s="704"/>
      <c r="F206" s="448">
        <f>11.67*X2</f>
        <v>17971.8</v>
      </c>
      <c r="G206" s="255">
        <f t="shared" si="514"/>
        <v>17971.8</v>
      </c>
      <c r="H206" s="68">
        <f>F206+600</f>
        <v>18571.8</v>
      </c>
      <c r="I206" s="255">
        <f t="shared" ref="I206:I207" si="515">+H206*$X$1</f>
        <v>18571.8</v>
      </c>
      <c r="J206" s="527">
        <f>F206+220</f>
        <v>18191.8</v>
      </c>
      <c r="K206" s="255">
        <f t="shared" ref="K206:K208" si="516">+J206*$X$1</f>
        <v>18191.8</v>
      </c>
      <c r="L206" s="527">
        <f>F206+170</f>
        <v>18141.8</v>
      </c>
      <c r="M206" s="255">
        <f t="shared" ref="M206:M208" si="517">+L206*$X$1</f>
        <v>18141.8</v>
      </c>
      <c r="N206" s="527">
        <f>F206+120</f>
        <v>18091.8</v>
      </c>
      <c r="O206" s="255">
        <f t="shared" ref="O206" si="518">+N206*$X$1</f>
        <v>18091.8</v>
      </c>
      <c r="P206" s="527">
        <f>F206+110</f>
        <v>18081.8</v>
      </c>
      <c r="Q206" s="255">
        <f t="shared" ref="Q206:Q208" si="519">+P206*$X$1</f>
        <v>18081.8</v>
      </c>
      <c r="R206" s="527">
        <f>F206+95</f>
        <v>18066.8</v>
      </c>
      <c r="S206" s="255">
        <f t="shared" ref="S206" si="520">+R206*$X$1</f>
        <v>18066.8</v>
      </c>
      <c r="T206" s="527">
        <f>F206+85</f>
        <v>18056.8</v>
      </c>
      <c r="U206" s="255">
        <f t="shared" ref="U206:U208" si="521">+T206*$X$1</f>
        <v>18056.8</v>
      </c>
      <c r="V206" s="527">
        <f>F206+76</f>
        <v>18047.8</v>
      </c>
      <c r="W206" s="255">
        <f t="shared" ref="W206:W208" si="522">+V206*$X$1</f>
        <v>18047.8</v>
      </c>
      <c r="X206" s="491"/>
      <c r="Y206" s="492"/>
      <c r="Z206" s="492"/>
      <c r="AA206" s="493"/>
      <c r="AB206" s="178">
        <v>430</v>
      </c>
      <c r="AC206" s="4"/>
      <c r="AD206" s="4"/>
      <c r="AE206" s="4"/>
      <c r="AF206" s="4"/>
      <c r="AG206" s="4"/>
      <c r="AH206" s="116"/>
      <c r="AI206" s="4"/>
      <c r="AJ206" s="4"/>
      <c r="AK206" s="4"/>
      <c r="AL206" s="4"/>
    </row>
    <row r="207" spans="1:38" s="1" customFormat="1" ht="12.6" customHeight="1" x14ac:dyDescent="0.2">
      <c r="A207" s="18"/>
      <c r="B207" s="642" t="s">
        <v>842</v>
      </c>
      <c r="C207" s="680"/>
      <c r="D207" s="680"/>
      <c r="E207" s="681"/>
      <c r="F207" s="482">
        <f>12.7*X2</f>
        <v>19558</v>
      </c>
      <c r="G207" s="256">
        <f t="shared" ref="G207" si="523">+F207*$X$1</f>
        <v>19558</v>
      </c>
      <c r="H207" s="536">
        <f>F207+600</f>
        <v>20158</v>
      </c>
      <c r="I207" s="256">
        <f t="shared" si="515"/>
        <v>20158</v>
      </c>
      <c r="J207" s="536">
        <f>F207+200</f>
        <v>19758</v>
      </c>
      <c r="K207" s="256">
        <f t="shared" si="516"/>
        <v>19758</v>
      </c>
      <c r="L207" s="536">
        <f>F207+150</f>
        <v>19708</v>
      </c>
      <c r="M207" s="256">
        <f t="shared" si="517"/>
        <v>19708</v>
      </c>
      <c r="N207" s="536">
        <f>F207+100</f>
        <v>19658</v>
      </c>
      <c r="O207" s="256">
        <f>+N207*$X$1</f>
        <v>19658</v>
      </c>
      <c r="P207" s="536">
        <f>F207+90</f>
        <v>19648</v>
      </c>
      <c r="Q207" s="256">
        <f t="shared" si="519"/>
        <v>19648</v>
      </c>
      <c r="R207" s="536">
        <f>F207+70</f>
        <v>19628</v>
      </c>
      <c r="S207" s="256">
        <f>+R207*$X$1</f>
        <v>19628</v>
      </c>
      <c r="T207" s="536">
        <f>F207+56</f>
        <v>19614</v>
      </c>
      <c r="U207" s="256">
        <f t="shared" si="521"/>
        <v>19614</v>
      </c>
      <c r="V207" s="536">
        <f>F207+49</f>
        <v>19607</v>
      </c>
      <c r="W207" s="256">
        <f t="shared" si="522"/>
        <v>19607</v>
      </c>
      <c r="X207" s="497"/>
      <c r="Y207" s="499"/>
      <c r="Z207" s="499"/>
      <c r="AA207" s="498"/>
      <c r="AB207" s="178">
        <v>431</v>
      </c>
      <c r="AC207" s="4"/>
      <c r="AD207" s="4"/>
      <c r="AE207" s="4"/>
      <c r="AF207" s="4"/>
      <c r="AG207" s="4"/>
      <c r="AH207" s="116"/>
      <c r="AI207" s="4"/>
      <c r="AJ207" s="4"/>
      <c r="AK207" s="4"/>
      <c r="AL207" s="4"/>
    </row>
    <row r="208" spans="1:38" ht="12.6" customHeight="1" x14ac:dyDescent="0.2">
      <c r="A208" s="17"/>
      <c r="B208" s="678" t="s">
        <v>171</v>
      </c>
      <c r="C208" s="679"/>
      <c r="D208" s="679"/>
      <c r="E208" s="679"/>
      <c r="F208" s="323">
        <f>1.53*X2</f>
        <v>2356.1999999999998</v>
      </c>
      <c r="G208" s="255">
        <f t="shared" si="492"/>
        <v>2356.1999999999998</v>
      </c>
      <c r="H208" s="527">
        <f>F208+700</f>
        <v>3056.2</v>
      </c>
      <c r="I208" s="255">
        <f t="shared" ref="I208" si="524">+H208*$X$1</f>
        <v>3056.2</v>
      </c>
      <c r="J208" s="68">
        <f>F208+280</f>
        <v>2636.2</v>
      </c>
      <c r="K208" s="255">
        <f t="shared" si="516"/>
        <v>2636.2</v>
      </c>
      <c r="L208" s="527">
        <f>F208+210</f>
        <v>2566.1999999999998</v>
      </c>
      <c r="M208" s="255">
        <f t="shared" si="517"/>
        <v>2566.1999999999998</v>
      </c>
      <c r="N208" s="527">
        <f>F208+160</f>
        <v>2516.1999999999998</v>
      </c>
      <c r="O208" s="255">
        <f t="shared" ref="O208" si="525">+N208*$X$1</f>
        <v>2516.1999999999998</v>
      </c>
      <c r="P208" s="527">
        <f>F208+130</f>
        <v>2486.1999999999998</v>
      </c>
      <c r="Q208" s="255">
        <f t="shared" si="519"/>
        <v>2486.1999999999998</v>
      </c>
      <c r="R208" s="527">
        <f>F208+110</f>
        <v>2466.1999999999998</v>
      </c>
      <c r="S208" s="255">
        <f t="shared" ref="S208" si="526">+R208*$X$1</f>
        <v>2466.1999999999998</v>
      </c>
      <c r="T208" s="527">
        <f>F208+90</f>
        <v>2446.1999999999998</v>
      </c>
      <c r="U208" s="255">
        <f t="shared" si="521"/>
        <v>2446.1999999999998</v>
      </c>
      <c r="V208" s="527">
        <f>F208+70</f>
        <v>2426.1999999999998</v>
      </c>
      <c r="W208" s="255">
        <f t="shared" si="522"/>
        <v>2426.1999999999998</v>
      </c>
      <c r="X208" s="135"/>
      <c r="Y208" s="144"/>
      <c r="Z208" s="135"/>
      <c r="AA208" s="135"/>
      <c r="AB208" s="178">
        <v>442</v>
      </c>
    </row>
    <row r="209" spans="1:28" ht="12.6" customHeight="1" x14ac:dyDescent="0.2">
      <c r="A209" s="17"/>
      <c r="B209" s="657" t="s">
        <v>327</v>
      </c>
      <c r="C209" s="658"/>
      <c r="D209" s="658"/>
      <c r="E209" s="658"/>
      <c r="F209" s="324">
        <f>1.98*X2</f>
        <v>3049.2</v>
      </c>
      <c r="G209" s="427">
        <f t="shared" ref="G209:G214" si="527">+F209*$X$1</f>
        <v>3049.2</v>
      </c>
      <c r="H209" s="536"/>
      <c r="I209" s="256"/>
      <c r="J209" s="82">
        <f>F209+280</f>
        <v>3329.2</v>
      </c>
      <c r="K209" s="256">
        <f t="shared" ref="K209" si="528">+J209*$X$1</f>
        <v>3329.2</v>
      </c>
      <c r="L209" s="536">
        <f>F209+210</f>
        <v>3259.2</v>
      </c>
      <c r="M209" s="256">
        <f t="shared" ref="M209" si="529">+L209*$X$1</f>
        <v>3259.2</v>
      </c>
      <c r="N209" s="536">
        <f>F209+160</f>
        <v>3209.2</v>
      </c>
      <c r="O209" s="256">
        <f t="shared" ref="O209" si="530">+N209*$X$1</f>
        <v>3209.2</v>
      </c>
      <c r="P209" s="536"/>
      <c r="Q209" s="256"/>
      <c r="R209" s="536"/>
      <c r="S209" s="256"/>
      <c r="T209" s="536"/>
      <c r="U209" s="256"/>
      <c r="V209" s="536"/>
      <c r="W209" s="256"/>
      <c r="X209" s="135"/>
      <c r="Y209" s="144"/>
      <c r="Z209" s="135"/>
      <c r="AA209" s="135"/>
      <c r="AB209" s="178">
        <v>465</v>
      </c>
    </row>
    <row r="210" spans="1:28" ht="12.6" customHeight="1" x14ac:dyDescent="0.2">
      <c r="A210" s="17"/>
      <c r="B210" s="678" t="s">
        <v>722</v>
      </c>
      <c r="C210" s="682"/>
      <c r="D210" s="682"/>
      <c r="E210" s="682"/>
      <c r="F210" s="323">
        <f>0.91*X2</f>
        <v>1401.4</v>
      </c>
      <c r="G210" s="299">
        <f t="shared" ref="G210" si="531">+F210*$X$1</f>
        <v>1401.4</v>
      </c>
      <c r="H210" s="527"/>
      <c r="I210" s="255"/>
      <c r="J210" s="68">
        <f>F210+280</f>
        <v>1681.4</v>
      </c>
      <c r="K210" s="255">
        <f t="shared" ref="K210" si="532">+J210*$X$1</f>
        <v>1681.4</v>
      </c>
      <c r="L210" s="527">
        <f>F210+210</f>
        <v>1611.4</v>
      </c>
      <c r="M210" s="255">
        <f t="shared" ref="M210" si="533">+L210*$X$1</f>
        <v>1611.4</v>
      </c>
      <c r="N210" s="527">
        <f>F210+160</f>
        <v>1561.4</v>
      </c>
      <c r="O210" s="255">
        <f t="shared" ref="O210" si="534">+N210*$X$1</f>
        <v>1561.4</v>
      </c>
      <c r="P210" s="527">
        <f>F210+130</f>
        <v>1531.4</v>
      </c>
      <c r="Q210" s="255">
        <f t="shared" ref="Q210" si="535">+P210*$X$1</f>
        <v>1531.4</v>
      </c>
      <c r="R210" s="527">
        <f>F210+110</f>
        <v>1511.4</v>
      </c>
      <c r="S210" s="255">
        <f t="shared" ref="S210" si="536">+R210*$X$1</f>
        <v>1511.4</v>
      </c>
      <c r="T210" s="527">
        <f>F210+90</f>
        <v>1491.4</v>
      </c>
      <c r="U210" s="255">
        <f t="shared" ref="U210" si="537">+T210*$X$1</f>
        <v>1491.4</v>
      </c>
      <c r="V210" s="527">
        <f>F210+70</f>
        <v>1471.4</v>
      </c>
      <c r="W210" s="255">
        <f t="shared" ref="W210" si="538">+V210*$X$1</f>
        <v>1471.4</v>
      </c>
      <c r="X210" s="135"/>
      <c r="Y210" s="144"/>
      <c r="Z210" s="135"/>
      <c r="AA210" s="135"/>
      <c r="AB210" s="178">
        <v>466</v>
      </c>
    </row>
    <row r="211" spans="1:28" ht="12.6" customHeight="1" x14ac:dyDescent="0.2">
      <c r="A211" s="17"/>
      <c r="B211" s="705" t="s">
        <v>999</v>
      </c>
      <c r="C211" s="706"/>
      <c r="D211" s="706"/>
      <c r="E211" s="706"/>
      <c r="F211" s="325"/>
      <c r="G211" s="300"/>
      <c r="H211" s="536"/>
      <c r="I211" s="707" t="s">
        <v>360</v>
      </c>
      <c r="J211" s="708"/>
      <c r="K211" s="708"/>
      <c r="L211" s="708"/>
      <c r="M211" s="709"/>
      <c r="N211" s="536">
        <v>1860</v>
      </c>
      <c r="O211" s="256">
        <f t="shared" ref="O211:W216" si="539">+N211*$X$1</f>
        <v>1860</v>
      </c>
      <c r="P211" s="536">
        <v>1850</v>
      </c>
      <c r="Q211" s="256">
        <f t="shared" si="539"/>
        <v>1850</v>
      </c>
      <c r="R211" s="536">
        <v>1610</v>
      </c>
      <c r="S211" s="256">
        <f t="shared" si="539"/>
        <v>1610</v>
      </c>
      <c r="T211" s="536">
        <v>1480</v>
      </c>
      <c r="U211" s="256">
        <f t="shared" si="539"/>
        <v>1480</v>
      </c>
      <c r="V211" s="536">
        <v>1368</v>
      </c>
      <c r="W211" s="256">
        <f t="shared" si="539"/>
        <v>1368</v>
      </c>
      <c r="X211" s="135"/>
      <c r="Y211" s="135"/>
      <c r="Z211" s="135"/>
      <c r="AA211" s="135"/>
      <c r="AB211" s="178">
        <v>520</v>
      </c>
    </row>
    <row r="212" spans="1:28" ht="12.6" customHeight="1" x14ac:dyDescent="0.2">
      <c r="A212" s="17"/>
      <c r="B212" s="705" t="s">
        <v>998</v>
      </c>
      <c r="C212" s="706"/>
      <c r="D212" s="706"/>
      <c r="E212" s="706"/>
      <c r="F212" s="326"/>
      <c r="G212" s="271"/>
      <c r="H212" s="527"/>
      <c r="I212" s="707" t="s">
        <v>360</v>
      </c>
      <c r="J212" s="708"/>
      <c r="K212" s="708"/>
      <c r="L212" s="708"/>
      <c r="M212" s="709"/>
      <c r="N212" s="527">
        <v>2237</v>
      </c>
      <c r="O212" s="255">
        <f t="shared" si="539"/>
        <v>2237</v>
      </c>
      <c r="P212" s="527">
        <v>2227</v>
      </c>
      <c r="Q212" s="255">
        <f t="shared" si="539"/>
        <v>2227</v>
      </c>
      <c r="R212" s="527">
        <v>1937</v>
      </c>
      <c r="S212" s="255">
        <f t="shared" si="539"/>
        <v>1937</v>
      </c>
      <c r="T212" s="527">
        <v>1778</v>
      </c>
      <c r="U212" s="255">
        <f t="shared" si="539"/>
        <v>1778</v>
      </c>
      <c r="V212" s="527">
        <v>1642</v>
      </c>
      <c r="W212" s="255">
        <f t="shared" si="539"/>
        <v>1642</v>
      </c>
      <c r="X212" s="135"/>
      <c r="Y212" s="135"/>
      <c r="Z212" s="135"/>
      <c r="AA212" s="135"/>
      <c r="AB212" s="178">
        <v>521</v>
      </c>
    </row>
    <row r="213" spans="1:28" ht="12.6" customHeight="1" x14ac:dyDescent="0.2">
      <c r="A213" s="17"/>
      <c r="B213" s="705" t="s">
        <v>996</v>
      </c>
      <c r="C213" s="706"/>
      <c r="D213" s="706"/>
      <c r="E213" s="706"/>
      <c r="F213" s="325"/>
      <c r="G213" s="300"/>
      <c r="H213" s="536"/>
      <c r="I213" s="256"/>
      <c r="J213" s="82"/>
      <c r="K213" s="256"/>
      <c r="L213" s="536"/>
      <c r="M213" s="256"/>
      <c r="N213" s="536">
        <v>1295</v>
      </c>
      <c r="O213" s="256">
        <f t="shared" si="539"/>
        <v>1295</v>
      </c>
      <c r="P213" s="536">
        <v>1274</v>
      </c>
      <c r="Q213" s="256">
        <f t="shared" si="539"/>
        <v>1274</v>
      </c>
      <c r="R213" s="536">
        <v>1134</v>
      </c>
      <c r="S213" s="256">
        <f t="shared" si="539"/>
        <v>1134</v>
      </c>
      <c r="T213" s="536">
        <v>1057</v>
      </c>
      <c r="U213" s="256">
        <f t="shared" si="539"/>
        <v>1057</v>
      </c>
      <c r="V213" s="536">
        <v>991</v>
      </c>
      <c r="W213" s="256">
        <f t="shared" si="539"/>
        <v>991</v>
      </c>
      <c r="X213" s="135"/>
      <c r="Y213" s="135"/>
      <c r="Z213" s="135"/>
      <c r="AA213" s="135"/>
      <c r="AB213" s="178">
        <v>527</v>
      </c>
    </row>
    <row r="214" spans="1:28" ht="12.6" customHeight="1" x14ac:dyDescent="0.2">
      <c r="A214" s="17"/>
      <c r="B214" s="745" t="s">
        <v>563</v>
      </c>
      <c r="C214" s="782"/>
      <c r="D214" s="782"/>
      <c r="E214" s="782"/>
      <c r="F214" s="326">
        <f>0.7*X2</f>
        <v>1078</v>
      </c>
      <c r="G214" s="271">
        <f t="shared" si="527"/>
        <v>1078</v>
      </c>
      <c r="H214" s="527"/>
      <c r="I214" s="255"/>
      <c r="J214" s="68">
        <f>F214+280</f>
        <v>1358</v>
      </c>
      <c r="K214" s="255">
        <f t="shared" ref="K214:K216" si="540">+J214*$X$1</f>
        <v>1358</v>
      </c>
      <c r="L214" s="527">
        <f>F214+210</f>
        <v>1288</v>
      </c>
      <c r="M214" s="255">
        <f t="shared" ref="M214:M216" si="541">+L214*$X$1</f>
        <v>1288</v>
      </c>
      <c r="N214" s="527">
        <f t="shared" ref="N214:N219" si="542">F214+160</f>
        <v>1238</v>
      </c>
      <c r="O214" s="255">
        <f t="shared" si="539"/>
        <v>1238</v>
      </c>
      <c r="P214" s="527">
        <f t="shared" ref="P214:P219" si="543">F214+130</f>
        <v>1208</v>
      </c>
      <c r="Q214" s="255">
        <f t="shared" si="539"/>
        <v>1208</v>
      </c>
      <c r="R214" s="527">
        <f t="shared" ref="R214:R219" si="544">F214+110</f>
        <v>1188</v>
      </c>
      <c r="S214" s="255">
        <f t="shared" si="539"/>
        <v>1188</v>
      </c>
      <c r="T214" s="527">
        <f>F214+90</f>
        <v>1168</v>
      </c>
      <c r="U214" s="255">
        <f t="shared" si="539"/>
        <v>1168</v>
      </c>
      <c r="V214" s="527">
        <f>F214+70</f>
        <v>1148</v>
      </c>
      <c r="W214" s="255">
        <f t="shared" si="539"/>
        <v>1148</v>
      </c>
      <c r="X214" s="135"/>
      <c r="Y214" s="135"/>
      <c r="Z214" s="135"/>
      <c r="AA214" s="135"/>
      <c r="AB214" s="178">
        <v>528</v>
      </c>
    </row>
    <row r="215" spans="1:28" ht="12.6" customHeight="1" x14ac:dyDescent="0.2">
      <c r="A215" s="17"/>
      <c r="B215" s="642" t="s">
        <v>328</v>
      </c>
      <c r="C215" s="766"/>
      <c r="D215" s="766"/>
      <c r="E215" s="767"/>
      <c r="F215" s="280">
        <v>4940</v>
      </c>
      <c r="G215" s="275">
        <f t="shared" ref="G215:G220" si="545">+F215*$X$1</f>
        <v>4940</v>
      </c>
      <c r="H215" s="536"/>
      <c r="I215" s="256"/>
      <c r="J215" s="82">
        <f>F215+280</f>
        <v>5220</v>
      </c>
      <c r="K215" s="256">
        <f t="shared" si="540"/>
        <v>5220</v>
      </c>
      <c r="L215" s="536">
        <f>F215+210</f>
        <v>5150</v>
      </c>
      <c r="M215" s="256">
        <f t="shared" si="541"/>
        <v>5150</v>
      </c>
      <c r="N215" s="536">
        <f t="shared" si="542"/>
        <v>5100</v>
      </c>
      <c r="O215" s="256">
        <f t="shared" si="539"/>
        <v>5100</v>
      </c>
      <c r="P215" s="536">
        <f t="shared" si="543"/>
        <v>5070</v>
      </c>
      <c r="Q215" s="256">
        <f t="shared" si="539"/>
        <v>5070</v>
      </c>
      <c r="R215" s="536">
        <f t="shared" si="544"/>
        <v>5050</v>
      </c>
      <c r="S215" s="256">
        <f t="shared" si="539"/>
        <v>5050</v>
      </c>
      <c r="T215" s="536">
        <f>F215+90</f>
        <v>5030</v>
      </c>
      <c r="U215" s="256">
        <f t="shared" si="539"/>
        <v>5030</v>
      </c>
      <c r="V215" s="536">
        <f>F215+70</f>
        <v>5010</v>
      </c>
      <c r="W215" s="256">
        <f t="shared" si="539"/>
        <v>5010</v>
      </c>
      <c r="X215" s="135"/>
      <c r="Y215" s="135"/>
      <c r="Z215" s="135"/>
      <c r="AA215" s="135"/>
      <c r="AB215" s="178"/>
    </row>
    <row r="216" spans="1:28" ht="12.6" customHeight="1" x14ac:dyDescent="0.2">
      <c r="A216" s="17"/>
      <c r="B216" s="683" t="s">
        <v>984</v>
      </c>
      <c r="C216" s="703"/>
      <c r="D216" s="703"/>
      <c r="E216" s="704"/>
      <c r="F216" s="326">
        <f>1.09*X2</f>
        <v>1678.6000000000001</v>
      </c>
      <c r="G216" s="271">
        <f t="shared" si="545"/>
        <v>1678.6000000000001</v>
      </c>
      <c r="H216" s="527"/>
      <c r="I216" s="255"/>
      <c r="J216" s="68">
        <f>F216+280</f>
        <v>1958.6000000000001</v>
      </c>
      <c r="K216" s="255">
        <f t="shared" si="540"/>
        <v>1958.6000000000001</v>
      </c>
      <c r="L216" s="527">
        <f>F216+210</f>
        <v>1888.6000000000001</v>
      </c>
      <c r="M216" s="255">
        <f t="shared" si="541"/>
        <v>1888.6000000000001</v>
      </c>
      <c r="N216" s="527">
        <f t="shared" si="542"/>
        <v>1838.6000000000001</v>
      </c>
      <c r="O216" s="255">
        <f t="shared" si="539"/>
        <v>1838.6000000000001</v>
      </c>
      <c r="P216" s="527">
        <f t="shared" si="543"/>
        <v>1808.6000000000001</v>
      </c>
      <c r="Q216" s="255">
        <f t="shared" si="539"/>
        <v>1808.6000000000001</v>
      </c>
      <c r="R216" s="527">
        <f t="shared" si="544"/>
        <v>1788.6000000000001</v>
      </c>
      <c r="S216" s="255">
        <f t="shared" si="539"/>
        <v>1788.6000000000001</v>
      </c>
      <c r="T216" s="527">
        <f>F216+90</f>
        <v>1768.6000000000001</v>
      </c>
      <c r="U216" s="255">
        <f t="shared" si="539"/>
        <v>1768.6000000000001</v>
      </c>
      <c r="V216" s="527">
        <f>F216+70</f>
        <v>1748.6000000000001</v>
      </c>
      <c r="W216" s="255">
        <f t="shared" si="539"/>
        <v>1748.6000000000001</v>
      </c>
      <c r="X216" s="135"/>
      <c r="Y216" s="135"/>
      <c r="Z216" s="135"/>
      <c r="AA216" s="135"/>
      <c r="AB216" s="178">
        <v>534</v>
      </c>
    </row>
    <row r="217" spans="1:28" ht="12.6" customHeight="1" x14ac:dyDescent="0.2">
      <c r="A217" s="17"/>
      <c r="B217" s="662" t="s">
        <v>926</v>
      </c>
      <c r="C217" s="665"/>
      <c r="D217" s="665"/>
      <c r="E217" s="666"/>
      <c r="F217" s="280">
        <v>160</v>
      </c>
      <c r="G217" s="275">
        <f t="shared" ref="G217" si="546">+F217*$X$1</f>
        <v>160</v>
      </c>
      <c r="H217" s="536"/>
      <c r="I217" s="256"/>
      <c r="J217" s="82"/>
      <c r="K217" s="256"/>
      <c r="L217" s="536"/>
      <c r="M217" s="256"/>
      <c r="N217" s="536">
        <f t="shared" si="542"/>
        <v>320</v>
      </c>
      <c r="O217" s="256">
        <f t="shared" ref="O217:O218" si="547">+N217*$X$1</f>
        <v>320</v>
      </c>
      <c r="P217" s="536">
        <f t="shared" si="543"/>
        <v>290</v>
      </c>
      <c r="Q217" s="256">
        <f t="shared" ref="Q217:Q218" si="548">+P217*$X$1</f>
        <v>290</v>
      </c>
      <c r="R217" s="536">
        <f t="shared" si="544"/>
        <v>270</v>
      </c>
      <c r="S217" s="256">
        <f t="shared" ref="S217:S218" si="549">+R217*$X$1</f>
        <v>270</v>
      </c>
      <c r="T217" s="536">
        <f>F217+90</f>
        <v>250</v>
      </c>
      <c r="U217" s="256">
        <f t="shared" ref="U217:U218" si="550">+T217*$X$1</f>
        <v>250</v>
      </c>
      <c r="V217" s="536">
        <f>F217+70</f>
        <v>230</v>
      </c>
      <c r="W217" s="256">
        <f t="shared" ref="W217:W218" si="551">+V217*$X$1</f>
        <v>230</v>
      </c>
      <c r="X217" s="135"/>
      <c r="Y217" s="135"/>
      <c r="Z217" s="135"/>
      <c r="AA217" s="135"/>
      <c r="AB217" s="178">
        <v>537</v>
      </c>
    </row>
    <row r="218" spans="1:28" ht="12.6" customHeight="1" x14ac:dyDescent="0.2">
      <c r="A218" s="17"/>
      <c r="B218" s="683" t="s">
        <v>329</v>
      </c>
      <c r="C218" s="703"/>
      <c r="D218" s="703"/>
      <c r="E218" s="704"/>
      <c r="F218" s="270">
        <v>1530</v>
      </c>
      <c r="G218" s="276">
        <f t="shared" si="545"/>
        <v>1530</v>
      </c>
      <c r="H218" s="527"/>
      <c r="I218" s="255"/>
      <c r="J218" s="68">
        <f>F218+280</f>
        <v>1810</v>
      </c>
      <c r="K218" s="255">
        <f t="shared" ref="K218" si="552">+J218*$X$1</f>
        <v>1810</v>
      </c>
      <c r="L218" s="527">
        <f>F218+210</f>
        <v>1740</v>
      </c>
      <c r="M218" s="255">
        <f t="shared" ref="M218" si="553">+L218*$X$1</f>
        <v>1740</v>
      </c>
      <c r="N218" s="527">
        <f t="shared" si="542"/>
        <v>1690</v>
      </c>
      <c r="O218" s="255">
        <f t="shared" si="547"/>
        <v>1690</v>
      </c>
      <c r="P218" s="527">
        <f t="shared" si="543"/>
        <v>1660</v>
      </c>
      <c r="Q218" s="255">
        <f t="shared" si="548"/>
        <v>1660</v>
      </c>
      <c r="R218" s="527">
        <f t="shared" si="544"/>
        <v>1640</v>
      </c>
      <c r="S218" s="255">
        <f t="shared" si="549"/>
        <v>1640</v>
      </c>
      <c r="T218" s="527">
        <f>F218+90</f>
        <v>1620</v>
      </c>
      <c r="U218" s="255">
        <f t="shared" si="550"/>
        <v>1620</v>
      </c>
      <c r="V218" s="527">
        <f>F218+70</f>
        <v>1600</v>
      </c>
      <c r="W218" s="255">
        <f t="shared" si="551"/>
        <v>1600</v>
      </c>
      <c r="X218" s="135"/>
      <c r="Y218" s="135"/>
      <c r="Z218" s="135"/>
      <c r="AA218" s="135"/>
      <c r="AB218" s="178"/>
    </row>
    <row r="219" spans="1:28" ht="12.6" customHeight="1" x14ac:dyDescent="0.2">
      <c r="A219" s="17"/>
      <c r="B219" s="670" t="s">
        <v>172</v>
      </c>
      <c r="C219" s="726"/>
      <c r="D219" s="726"/>
      <c r="E219" s="726"/>
      <c r="F219" s="280">
        <v>240</v>
      </c>
      <c r="G219" s="308">
        <f>+F219*$X$1</f>
        <v>240</v>
      </c>
      <c r="H219" s="1174" t="s">
        <v>320</v>
      </c>
      <c r="I219" s="1174"/>
      <c r="J219" s="1175"/>
      <c r="K219" s="1175"/>
      <c r="L219" s="1175"/>
      <c r="M219" s="1176"/>
      <c r="N219" s="536">
        <f t="shared" si="542"/>
        <v>400</v>
      </c>
      <c r="O219" s="256">
        <f t="shared" ref="O219" si="554">+N219*$X$1</f>
        <v>400</v>
      </c>
      <c r="P219" s="536">
        <f t="shared" si="543"/>
        <v>370</v>
      </c>
      <c r="Q219" s="256">
        <f t="shared" ref="Q219" si="555">+P219*$X$1</f>
        <v>370</v>
      </c>
      <c r="R219" s="536">
        <f t="shared" si="544"/>
        <v>350</v>
      </c>
      <c r="S219" s="256">
        <f t="shared" ref="S219" si="556">+R219*$X$1</f>
        <v>350</v>
      </c>
      <c r="T219" s="536"/>
      <c r="U219" s="256"/>
      <c r="V219" s="536"/>
      <c r="W219" s="256"/>
      <c r="X219" s="135"/>
      <c r="Y219" s="135"/>
      <c r="Z219" s="135"/>
      <c r="AA219" s="135"/>
      <c r="AB219" s="178">
        <v>539</v>
      </c>
    </row>
    <row r="220" spans="1:28" ht="12.6" customHeight="1" x14ac:dyDescent="0.2">
      <c r="A220" s="17"/>
      <c r="B220" s="745" t="s">
        <v>426</v>
      </c>
      <c r="C220" s="782"/>
      <c r="D220" s="782"/>
      <c r="E220" s="782"/>
      <c r="F220" s="270">
        <v>610</v>
      </c>
      <c r="G220" s="271">
        <f t="shared" si="545"/>
        <v>610</v>
      </c>
      <c r="H220" s="251"/>
      <c r="I220" s="251"/>
      <c r="J220" s="68"/>
      <c r="K220" s="255"/>
      <c r="L220" s="527"/>
      <c r="M220" s="255"/>
      <c r="N220" s="527"/>
      <c r="O220" s="255"/>
      <c r="P220" s="527"/>
      <c r="Q220" s="255"/>
      <c r="R220" s="527"/>
      <c r="S220" s="255"/>
      <c r="T220" s="527">
        <f>F220+90</f>
        <v>700</v>
      </c>
      <c r="U220" s="255">
        <f t="shared" ref="U220:U221" si="557">+T220*$X$1</f>
        <v>700</v>
      </c>
      <c r="V220" s="527">
        <f>F220+70</f>
        <v>680</v>
      </c>
      <c r="W220" s="255">
        <f t="shared" ref="W220:W221" si="558">+V220*$X$1</f>
        <v>680</v>
      </c>
      <c r="X220" s="135"/>
      <c r="Y220" s="135"/>
      <c r="Z220" s="135"/>
      <c r="AA220" s="135"/>
      <c r="AB220" s="178">
        <v>540</v>
      </c>
    </row>
    <row r="221" spans="1:28" ht="12.6" customHeight="1" x14ac:dyDescent="0.2">
      <c r="A221" s="17"/>
      <c r="B221" s="670" t="s">
        <v>428</v>
      </c>
      <c r="C221" s="671"/>
      <c r="D221" s="671"/>
      <c r="E221" s="671"/>
      <c r="F221" s="280">
        <v>1040</v>
      </c>
      <c r="G221" s="300">
        <f t="shared" ref="G221" si="559">+F221*$X$1</f>
        <v>1040</v>
      </c>
      <c r="H221" s="250"/>
      <c r="I221" s="250"/>
      <c r="J221" s="82"/>
      <c r="K221" s="256"/>
      <c r="L221" s="536"/>
      <c r="M221" s="256"/>
      <c r="N221" s="536"/>
      <c r="O221" s="256"/>
      <c r="P221" s="536"/>
      <c r="Q221" s="256"/>
      <c r="R221" s="536"/>
      <c r="S221" s="256"/>
      <c r="T221" s="536">
        <f>F221+90</f>
        <v>1130</v>
      </c>
      <c r="U221" s="256">
        <f t="shared" si="557"/>
        <v>1130</v>
      </c>
      <c r="V221" s="536">
        <f>F221+70</f>
        <v>1110</v>
      </c>
      <c r="W221" s="256">
        <f t="shared" si="558"/>
        <v>1110</v>
      </c>
      <c r="X221" s="135"/>
      <c r="Y221" s="135"/>
      <c r="Z221" s="135"/>
      <c r="AA221" s="135"/>
      <c r="AB221" s="178" t="s">
        <v>509</v>
      </c>
    </row>
    <row r="222" spans="1:28" ht="12.6" customHeight="1" x14ac:dyDescent="0.2">
      <c r="A222" s="17"/>
      <c r="B222" s="683" t="s">
        <v>381</v>
      </c>
      <c r="C222" s="703"/>
      <c r="D222" s="703"/>
      <c r="E222" s="704"/>
      <c r="F222" s="326">
        <f>18.74*X2</f>
        <v>28859.599999999999</v>
      </c>
      <c r="G222" s="271">
        <f t="shared" ref="G222" si="560">+F222*$X$1</f>
        <v>28859.599999999999</v>
      </c>
      <c r="H222" s="527">
        <f>F222+700</f>
        <v>29559.599999999999</v>
      </c>
      <c r="I222" s="255">
        <f t="shared" ref="I222" si="561">+H222*$X$1</f>
        <v>29559.599999999999</v>
      </c>
      <c r="J222" s="68">
        <f>F222+280</f>
        <v>29139.599999999999</v>
      </c>
      <c r="K222" s="255">
        <f t="shared" ref="K222" si="562">+J222*$X$1</f>
        <v>29139.599999999999</v>
      </c>
      <c r="L222" s="527">
        <f>F222+210</f>
        <v>29069.599999999999</v>
      </c>
      <c r="M222" s="255">
        <f t="shared" ref="M222" si="563">+L222*$X$1</f>
        <v>29069.599999999999</v>
      </c>
      <c r="N222" s="527">
        <f>F222+160</f>
        <v>29019.599999999999</v>
      </c>
      <c r="O222" s="255">
        <f t="shared" ref="O222" si="564">+N222*$X$1</f>
        <v>29019.599999999999</v>
      </c>
      <c r="P222" s="527">
        <f>F222+130</f>
        <v>28989.599999999999</v>
      </c>
      <c r="Q222" s="255">
        <f t="shared" ref="Q222" si="565">+P222*$X$1</f>
        <v>28989.599999999999</v>
      </c>
      <c r="R222" s="527">
        <f>F222+110</f>
        <v>28969.599999999999</v>
      </c>
      <c r="S222" s="255">
        <f t="shared" ref="S222" si="566">+R222*$X$1</f>
        <v>28969.599999999999</v>
      </c>
      <c r="T222" s="527">
        <f>F222+90</f>
        <v>28949.599999999999</v>
      </c>
      <c r="U222" s="255">
        <f t="shared" ref="U222" si="567">+T222*$X$1</f>
        <v>28949.599999999999</v>
      </c>
      <c r="V222" s="527">
        <f>F222+75</f>
        <v>28934.6</v>
      </c>
      <c r="W222" s="255">
        <f t="shared" ref="W222" si="568">+V222*$X$1</f>
        <v>28934.6</v>
      </c>
      <c r="X222" s="135"/>
      <c r="Y222" s="135"/>
      <c r="Z222" s="135"/>
      <c r="AA222" s="135"/>
      <c r="AB222" s="178">
        <v>542</v>
      </c>
    </row>
    <row r="223" spans="1:28" ht="12.6" customHeight="1" x14ac:dyDescent="0.2">
      <c r="A223" s="17"/>
      <c r="B223" s="657" t="s">
        <v>427</v>
      </c>
      <c r="C223" s="633"/>
      <c r="D223" s="633"/>
      <c r="E223" s="633"/>
      <c r="F223" s="256"/>
      <c r="G223" s="256"/>
      <c r="H223" s="536"/>
      <c r="I223" s="536"/>
      <c r="J223" s="536"/>
      <c r="K223" s="256"/>
      <c r="L223" s="536"/>
      <c r="M223" s="256"/>
      <c r="N223" s="536"/>
      <c r="O223" s="256"/>
      <c r="P223" s="536"/>
      <c r="Q223" s="256"/>
      <c r="R223" s="536"/>
      <c r="S223" s="256"/>
      <c r="T223" s="536"/>
      <c r="U223" s="256"/>
      <c r="V223" s="82"/>
      <c r="W223" s="304"/>
      <c r="X223" s="135"/>
      <c r="Y223" s="135"/>
      <c r="Z223" s="135"/>
      <c r="AA223" s="135"/>
      <c r="AB223" s="178">
        <v>544</v>
      </c>
    </row>
    <row r="224" spans="1:28" ht="12.6" customHeight="1" x14ac:dyDescent="0.2">
      <c r="A224" s="17"/>
      <c r="B224" s="745" t="s">
        <v>960</v>
      </c>
      <c r="C224" s="1183"/>
      <c r="D224" s="1183"/>
      <c r="E224" s="1183"/>
      <c r="F224" s="270">
        <v>1029</v>
      </c>
      <c r="G224" s="255">
        <f t="shared" ref="G224:G230" si="569">+F224*$X$1</f>
        <v>1029</v>
      </c>
      <c r="H224" s="251"/>
      <c r="I224" s="251"/>
      <c r="J224" s="527"/>
      <c r="K224" s="255"/>
      <c r="L224" s="527"/>
      <c r="M224" s="255"/>
      <c r="N224" s="527">
        <f t="shared" ref="N224:N233" si="570">F224+160</f>
        <v>1189</v>
      </c>
      <c r="O224" s="255">
        <f t="shared" ref="O224:O226" si="571">+N224*$X$1</f>
        <v>1189</v>
      </c>
      <c r="P224" s="527">
        <f t="shared" ref="P224:P231" si="572">F224+130</f>
        <v>1159</v>
      </c>
      <c r="Q224" s="255">
        <f t="shared" ref="Q224:Q226" si="573">+P224*$X$1</f>
        <v>1159</v>
      </c>
      <c r="R224" s="527">
        <f t="shared" ref="R224:R231" si="574">F224+110</f>
        <v>1139</v>
      </c>
      <c r="S224" s="255">
        <f t="shared" ref="S224:S226" si="575">+R224*$X$1</f>
        <v>1139</v>
      </c>
      <c r="T224" s="527">
        <f t="shared" ref="T224:T231" si="576">F224+90</f>
        <v>1119</v>
      </c>
      <c r="U224" s="255">
        <f t="shared" ref="U224:U226" si="577">+T224*$X$1</f>
        <v>1119</v>
      </c>
      <c r="V224" s="527">
        <f>F224+75</f>
        <v>1104</v>
      </c>
      <c r="W224" s="255">
        <f t="shared" ref="W224:W226" si="578">+V224*$X$1</f>
        <v>1104</v>
      </c>
      <c r="X224" s="119"/>
      <c r="Y224" s="119"/>
      <c r="Z224" s="119"/>
      <c r="AA224" s="119"/>
      <c r="AB224" s="178">
        <v>547</v>
      </c>
    </row>
    <row r="225" spans="1:34" ht="12.6" customHeight="1" x14ac:dyDescent="0.2">
      <c r="A225" s="17"/>
      <c r="B225" s="670" t="s">
        <v>961</v>
      </c>
      <c r="C225" s="1184"/>
      <c r="D225" s="1184"/>
      <c r="E225" s="1184"/>
      <c r="F225" s="280">
        <v>2345</v>
      </c>
      <c r="G225" s="256">
        <f t="shared" ref="G225" si="579">+F225*$X$1</f>
        <v>2345</v>
      </c>
      <c r="H225" s="250"/>
      <c r="I225" s="250"/>
      <c r="J225" s="536"/>
      <c r="K225" s="256"/>
      <c r="L225" s="536"/>
      <c r="M225" s="256"/>
      <c r="N225" s="536">
        <f t="shared" si="570"/>
        <v>2505</v>
      </c>
      <c r="O225" s="256">
        <f t="shared" si="571"/>
        <v>2505</v>
      </c>
      <c r="P225" s="536">
        <f t="shared" si="572"/>
        <v>2475</v>
      </c>
      <c r="Q225" s="256">
        <f t="shared" si="573"/>
        <v>2475</v>
      </c>
      <c r="R225" s="536">
        <f t="shared" si="574"/>
        <v>2455</v>
      </c>
      <c r="S225" s="256">
        <f t="shared" si="575"/>
        <v>2455</v>
      </c>
      <c r="T225" s="536">
        <f t="shared" si="576"/>
        <v>2435</v>
      </c>
      <c r="U225" s="256">
        <f t="shared" si="577"/>
        <v>2435</v>
      </c>
      <c r="V225" s="536">
        <f t="shared" ref="V225:V231" si="580">F225+75</f>
        <v>2420</v>
      </c>
      <c r="W225" s="256">
        <f t="shared" si="578"/>
        <v>2420</v>
      </c>
      <c r="X225" s="119"/>
      <c r="Y225" s="119"/>
      <c r="Z225" s="119"/>
      <c r="AA225" s="119"/>
      <c r="AB225" s="178" t="s">
        <v>962</v>
      </c>
    </row>
    <row r="226" spans="1:34" ht="12.6" customHeight="1" x14ac:dyDescent="0.2">
      <c r="A226" s="17"/>
      <c r="B226" s="683" t="s">
        <v>330</v>
      </c>
      <c r="C226" s="807"/>
      <c r="D226" s="807"/>
      <c r="E226" s="808"/>
      <c r="F226" s="255">
        <v>4822</v>
      </c>
      <c r="G226" s="255">
        <f t="shared" si="569"/>
        <v>4822</v>
      </c>
      <c r="H226" s="251"/>
      <c r="I226" s="251"/>
      <c r="J226" s="68">
        <f t="shared" ref="J226:J233" si="581">F226+280</f>
        <v>5102</v>
      </c>
      <c r="K226" s="255">
        <f t="shared" ref="K226" si="582">+J226*$X$1</f>
        <v>5102</v>
      </c>
      <c r="L226" s="527">
        <f t="shared" ref="L226:L234" si="583">F226+210</f>
        <v>5032</v>
      </c>
      <c r="M226" s="255">
        <f t="shared" ref="M226" si="584">+L226*$X$1</f>
        <v>5032</v>
      </c>
      <c r="N226" s="527">
        <f t="shared" si="570"/>
        <v>4982</v>
      </c>
      <c r="O226" s="255">
        <f t="shared" si="571"/>
        <v>4982</v>
      </c>
      <c r="P226" s="527">
        <f t="shared" si="572"/>
        <v>4952</v>
      </c>
      <c r="Q226" s="255">
        <f t="shared" si="573"/>
        <v>4952</v>
      </c>
      <c r="R226" s="527">
        <f t="shared" si="574"/>
        <v>4932</v>
      </c>
      <c r="S226" s="255">
        <f t="shared" si="575"/>
        <v>4932</v>
      </c>
      <c r="T226" s="527">
        <f t="shared" si="576"/>
        <v>4912</v>
      </c>
      <c r="U226" s="255">
        <f t="shared" si="577"/>
        <v>4912</v>
      </c>
      <c r="V226" s="527">
        <f t="shared" si="580"/>
        <v>4897</v>
      </c>
      <c r="W226" s="255">
        <f t="shared" si="578"/>
        <v>4897</v>
      </c>
      <c r="X226" s="119"/>
      <c r="Y226" s="119"/>
      <c r="Z226" s="119"/>
      <c r="AA226" s="119"/>
      <c r="AB226" s="354"/>
    </row>
    <row r="227" spans="1:34" ht="12.6" customHeight="1" x14ac:dyDescent="0.2">
      <c r="A227" s="17"/>
      <c r="B227" s="642" t="s">
        <v>441</v>
      </c>
      <c r="C227" s="680"/>
      <c r="D227" s="680"/>
      <c r="E227" s="681"/>
      <c r="F227" s="280">
        <v>1363</v>
      </c>
      <c r="G227" s="256">
        <f t="shared" si="569"/>
        <v>1363</v>
      </c>
      <c r="H227" s="250"/>
      <c r="I227" s="250"/>
      <c r="J227" s="82">
        <f t="shared" si="581"/>
        <v>1643</v>
      </c>
      <c r="K227" s="256">
        <f t="shared" ref="K227" si="585">+J227*$X$1</f>
        <v>1643</v>
      </c>
      <c r="L227" s="536">
        <f t="shared" si="583"/>
        <v>1573</v>
      </c>
      <c r="M227" s="256">
        <f t="shared" ref="M227" si="586">+L227*$X$1</f>
        <v>1573</v>
      </c>
      <c r="N227" s="536">
        <f t="shared" si="570"/>
        <v>1523</v>
      </c>
      <c r="O227" s="256">
        <f t="shared" ref="O227" si="587">+N227*$X$1</f>
        <v>1523</v>
      </c>
      <c r="P227" s="536">
        <f t="shared" si="572"/>
        <v>1493</v>
      </c>
      <c r="Q227" s="256">
        <f t="shared" ref="Q227" si="588">+P227*$X$1</f>
        <v>1493</v>
      </c>
      <c r="R227" s="536">
        <f t="shared" si="574"/>
        <v>1473</v>
      </c>
      <c r="S227" s="256">
        <f t="shared" ref="S227" si="589">+R227*$X$1</f>
        <v>1473</v>
      </c>
      <c r="T227" s="536">
        <f t="shared" si="576"/>
        <v>1453</v>
      </c>
      <c r="U227" s="256">
        <f t="shared" ref="U227" si="590">+T227*$X$1</f>
        <v>1453</v>
      </c>
      <c r="V227" s="536">
        <f t="shared" si="580"/>
        <v>1438</v>
      </c>
      <c r="W227" s="256">
        <f t="shared" ref="W227" si="591">+V227*$X$1</f>
        <v>1438</v>
      </c>
      <c r="X227" s="135"/>
      <c r="Y227" s="135"/>
      <c r="Z227" s="135"/>
      <c r="AA227" s="135"/>
      <c r="AB227" s="178">
        <v>550</v>
      </c>
    </row>
    <row r="228" spans="1:34" ht="12.6" customHeight="1" x14ac:dyDescent="0.2">
      <c r="A228" s="17"/>
      <c r="B228" s="683" t="s">
        <v>401</v>
      </c>
      <c r="C228" s="807"/>
      <c r="D228" s="807"/>
      <c r="E228" s="808"/>
      <c r="F228" s="255">
        <v>4645</v>
      </c>
      <c r="G228" s="255">
        <f t="shared" si="569"/>
        <v>4645</v>
      </c>
      <c r="H228" s="251"/>
      <c r="I228" s="251"/>
      <c r="J228" s="68">
        <f t="shared" si="581"/>
        <v>4925</v>
      </c>
      <c r="K228" s="255">
        <f t="shared" ref="K228:K232" si="592">+J228*$X$1</f>
        <v>4925</v>
      </c>
      <c r="L228" s="527">
        <f t="shared" si="583"/>
        <v>4855</v>
      </c>
      <c r="M228" s="255">
        <f t="shared" ref="M228:M232" si="593">+L228*$X$1</f>
        <v>4855</v>
      </c>
      <c r="N228" s="527">
        <f t="shared" si="570"/>
        <v>4805</v>
      </c>
      <c r="O228" s="255">
        <f t="shared" ref="O228:O232" si="594">+N228*$X$1</f>
        <v>4805</v>
      </c>
      <c r="P228" s="527">
        <f t="shared" si="572"/>
        <v>4775</v>
      </c>
      <c r="Q228" s="255">
        <f t="shared" ref="Q228:Q232" si="595">+P228*$X$1</f>
        <v>4775</v>
      </c>
      <c r="R228" s="527">
        <f t="shared" si="574"/>
        <v>4755</v>
      </c>
      <c r="S228" s="255">
        <f t="shared" ref="S228:S232" si="596">+R228*$X$1</f>
        <v>4755</v>
      </c>
      <c r="T228" s="527">
        <f t="shared" si="576"/>
        <v>4735</v>
      </c>
      <c r="U228" s="255">
        <f t="shared" ref="U228:U232" si="597">+T228*$X$1</f>
        <v>4735</v>
      </c>
      <c r="V228" s="527">
        <f t="shared" si="580"/>
        <v>4720</v>
      </c>
      <c r="W228" s="255">
        <f t="shared" ref="W228:W232" si="598">+V228*$X$1</f>
        <v>4720</v>
      </c>
      <c r="X228" s="119"/>
      <c r="Y228" s="119"/>
      <c r="Z228" s="119"/>
      <c r="AA228" s="119"/>
      <c r="AB228" s="178">
        <v>551</v>
      </c>
    </row>
    <row r="229" spans="1:34" ht="12.6" customHeight="1" x14ac:dyDescent="0.2">
      <c r="A229" s="17"/>
      <c r="B229" s="804" t="s">
        <v>399</v>
      </c>
      <c r="C229" s="805"/>
      <c r="D229" s="805"/>
      <c r="E229" s="806"/>
      <c r="F229" s="280">
        <v>5194</v>
      </c>
      <c r="G229" s="256">
        <f t="shared" si="569"/>
        <v>5194</v>
      </c>
      <c r="H229" s="250"/>
      <c r="I229" s="250"/>
      <c r="J229" s="82">
        <f t="shared" si="581"/>
        <v>5474</v>
      </c>
      <c r="K229" s="256">
        <f t="shared" si="592"/>
        <v>5474</v>
      </c>
      <c r="L229" s="536">
        <f t="shared" si="583"/>
        <v>5404</v>
      </c>
      <c r="M229" s="256">
        <f t="shared" si="593"/>
        <v>5404</v>
      </c>
      <c r="N229" s="536">
        <f t="shared" si="570"/>
        <v>5354</v>
      </c>
      <c r="O229" s="256">
        <f t="shared" si="594"/>
        <v>5354</v>
      </c>
      <c r="P229" s="536">
        <f t="shared" si="572"/>
        <v>5324</v>
      </c>
      <c r="Q229" s="256">
        <f t="shared" si="595"/>
        <v>5324</v>
      </c>
      <c r="R229" s="536">
        <f t="shared" si="574"/>
        <v>5304</v>
      </c>
      <c r="S229" s="256">
        <f t="shared" si="596"/>
        <v>5304</v>
      </c>
      <c r="T229" s="536">
        <f t="shared" si="576"/>
        <v>5284</v>
      </c>
      <c r="U229" s="256">
        <f t="shared" si="597"/>
        <v>5284</v>
      </c>
      <c r="V229" s="536">
        <f t="shared" si="580"/>
        <v>5269</v>
      </c>
      <c r="W229" s="256">
        <f t="shared" si="598"/>
        <v>5269</v>
      </c>
      <c r="X229" s="119"/>
      <c r="Y229" s="119"/>
      <c r="Z229" s="119"/>
      <c r="AA229" s="119"/>
      <c r="AB229" s="178" t="s">
        <v>398</v>
      </c>
    </row>
    <row r="230" spans="1:34" ht="12.6" customHeight="1" x14ac:dyDescent="0.2">
      <c r="A230" s="17"/>
      <c r="B230" s="756" t="s">
        <v>400</v>
      </c>
      <c r="C230" s="757"/>
      <c r="D230" s="757"/>
      <c r="E230" s="758"/>
      <c r="F230" s="270">
        <v>5645</v>
      </c>
      <c r="G230" s="255">
        <f t="shared" si="569"/>
        <v>5645</v>
      </c>
      <c r="H230" s="251"/>
      <c r="I230" s="251"/>
      <c r="J230" s="68">
        <f t="shared" si="581"/>
        <v>5925</v>
      </c>
      <c r="K230" s="255">
        <f t="shared" si="592"/>
        <v>5925</v>
      </c>
      <c r="L230" s="527">
        <f t="shared" si="583"/>
        <v>5855</v>
      </c>
      <c r="M230" s="255">
        <f t="shared" si="593"/>
        <v>5855</v>
      </c>
      <c r="N230" s="527">
        <f t="shared" si="570"/>
        <v>5805</v>
      </c>
      <c r="O230" s="255">
        <f t="shared" si="594"/>
        <v>5805</v>
      </c>
      <c r="P230" s="527">
        <f t="shared" si="572"/>
        <v>5775</v>
      </c>
      <c r="Q230" s="255">
        <f t="shared" si="595"/>
        <v>5775</v>
      </c>
      <c r="R230" s="527">
        <f t="shared" si="574"/>
        <v>5755</v>
      </c>
      <c r="S230" s="255">
        <f t="shared" si="596"/>
        <v>5755</v>
      </c>
      <c r="T230" s="527">
        <f t="shared" si="576"/>
        <v>5735</v>
      </c>
      <c r="U230" s="255">
        <f t="shared" si="597"/>
        <v>5735</v>
      </c>
      <c r="V230" s="527">
        <f t="shared" si="580"/>
        <v>5720</v>
      </c>
      <c r="W230" s="255">
        <f t="shared" si="598"/>
        <v>5720</v>
      </c>
      <c r="X230" s="119"/>
      <c r="Y230" s="119"/>
      <c r="Z230" s="119"/>
      <c r="AA230" s="119"/>
      <c r="AB230" s="178" t="s">
        <v>402</v>
      </c>
    </row>
    <row r="231" spans="1:34" ht="12.6" customHeight="1" x14ac:dyDescent="0.2">
      <c r="A231" s="17"/>
      <c r="B231" s="657" t="s">
        <v>366</v>
      </c>
      <c r="C231" s="658"/>
      <c r="D231" s="658"/>
      <c r="E231" s="658"/>
      <c r="F231" s="256">
        <v>4960</v>
      </c>
      <c r="G231" s="256">
        <f t="shared" ref="G231" si="599">+F231*$X$1</f>
        <v>4960</v>
      </c>
      <c r="H231" s="250"/>
      <c r="I231" s="250"/>
      <c r="J231" s="82">
        <f t="shared" si="581"/>
        <v>5240</v>
      </c>
      <c r="K231" s="256">
        <f t="shared" si="592"/>
        <v>5240</v>
      </c>
      <c r="L231" s="536">
        <f t="shared" si="583"/>
        <v>5170</v>
      </c>
      <c r="M231" s="256">
        <f t="shared" si="593"/>
        <v>5170</v>
      </c>
      <c r="N231" s="536">
        <f t="shared" si="570"/>
        <v>5120</v>
      </c>
      <c r="O231" s="256">
        <f t="shared" si="594"/>
        <v>5120</v>
      </c>
      <c r="P231" s="536">
        <f t="shared" si="572"/>
        <v>5090</v>
      </c>
      <c r="Q231" s="256">
        <f t="shared" si="595"/>
        <v>5090</v>
      </c>
      <c r="R231" s="536">
        <f t="shared" si="574"/>
        <v>5070</v>
      </c>
      <c r="S231" s="256">
        <f t="shared" si="596"/>
        <v>5070</v>
      </c>
      <c r="T231" s="536">
        <f t="shared" si="576"/>
        <v>5050</v>
      </c>
      <c r="U231" s="256">
        <f t="shared" si="597"/>
        <v>5050</v>
      </c>
      <c r="V231" s="536">
        <f t="shared" si="580"/>
        <v>5035</v>
      </c>
      <c r="W231" s="256">
        <f t="shared" si="598"/>
        <v>5035</v>
      </c>
      <c r="X231" s="119"/>
      <c r="Y231" s="119"/>
      <c r="Z231" s="119"/>
      <c r="AA231" s="119"/>
      <c r="AB231" s="178">
        <v>553</v>
      </c>
    </row>
    <row r="232" spans="1:34" ht="12.6" customHeight="1" x14ac:dyDescent="0.2">
      <c r="A232" s="17"/>
      <c r="B232" s="652" t="s">
        <v>1025</v>
      </c>
      <c r="C232" s="749"/>
      <c r="D232" s="749"/>
      <c r="E232" s="749"/>
      <c r="F232" s="323">
        <f>31.36*X2</f>
        <v>48294.400000000001</v>
      </c>
      <c r="G232" s="255">
        <f>+F232*$X$1</f>
        <v>48294.400000000001</v>
      </c>
      <c r="H232" s="527">
        <f t="shared" ref="H232" si="600">F232+700</f>
        <v>48994.400000000001</v>
      </c>
      <c r="I232" s="255">
        <f t="shared" ref="I232" si="601">+H232*$X$1</f>
        <v>48994.400000000001</v>
      </c>
      <c r="J232" s="527">
        <f t="shared" ref="J232" si="602">F232+310</f>
        <v>48604.4</v>
      </c>
      <c r="K232" s="255">
        <f t="shared" si="592"/>
        <v>48604.4</v>
      </c>
      <c r="L232" s="527">
        <f t="shared" ref="L232" si="603">F232+240</f>
        <v>48534.400000000001</v>
      </c>
      <c r="M232" s="255">
        <f t="shared" si="593"/>
        <v>48534.400000000001</v>
      </c>
      <c r="N232" s="527">
        <f t="shared" ref="N232" si="604">F232+200</f>
        <v>48494.400000000001</v>
      </c>
      <c r="O232" s="255">
        <f t="shared" si="594"/>
        <v>48494.400000000001</v>
      </c>
      <c r="P232" s="527">
        <f t="shared" ref="P232" si="605">F232+170</f>
        <v>48464.4</v>
      </c>
      <c r="Q232" s="255">
        <f t="shared" si="595"/>
        <v>48464.4</v>
      </c>
      <c r="R232" s="527">
        <f t="shared" ref="R232" si="606">F232+150</f>
        <v>48444.4</v>
      </c>
      <c r="S232" s="255">
        <f t="shared" si="596"/>
        <v>48444.4</v>
      </c>
      <c r="T232" s="93">
        <f t="shared" ref="T232" si="607">F232+130</f>
        <v>48424.4</v>
      </c>
      <c r="U232" s="234">
        <f t="shared" si="597"/>
        <v>48424.4</v>
      </c>
      <c r="V232" s="93">
        <f>F232+110</f>
        <v>48404.4</v>
      </c>
      <c r="W232" s="234">
        <f t="shared" si="598"/>
        <v>48404.4</v>
      </c>
      <c r="X232" s="693"/>
      <c r="Y232" s="667"/>
      <c r="Z232" s="667"/>
      <c r="AA232" s="669"/>
      <c r="AB232" s="178">
        <v>601</v>
      </c>
    </row>
    <row r="233" spans="1:34" ht="12.6" customHeight="1" x14ac:dyDescent="0.2">
      <c r="A233" s="17"/>
      <c r="B233" s="701" t="s">
        <v>324</v>
      </c>
      <c r="C233" s="702"/>
      <c r="D233" s="702"/>
      <c r="E233" s="702"/>
      <c r="F233" s="451">
        <v>240</v>
      </c>
      <c r="G233" s="451">
        <f t="shared" ref="G233:G234" si="608">+F233*$X$1</f>
        <v>240</v>
      </c>
      <c r="H233" s="452"/>
      <c r="I233" s="454"/>
      <c r="J233" s="453">
        <f t="shared" si="581"/>
        <v>520</v>
      </c>
      <c r="K233" s="451">
        <f t="shared" ref="K233" si="609">+J233*$X$1</f>
        <v>520</v>
      </c>
      <c r="L233" s="581">
        <f t="shared" si="583"/>
        <v>450</v>
      </c>
      <c r="M233" s="451">
        <f t="shared" ref="M233" si="610">+L233*$X$1</f>
        <v>450</v>
      </c>
      <c r="N233" s="581">
        <f t="shared" si="570"/>
        <v>400</v>
      </c>
      <c r="O233" s="451">
        <f t="shared" ref="O233" si="611">+N233*$X$1</f>
        <v>400</v>
      </c>
      <c r="P233" s="581"/>
      <c r="Q233" s="978" t="s">
        <v>138</v>
      </c>
      <c r="R233" s="979"/>
      <c r="S233" s="979"/>
      <c r="T233" s="979"/>
      <c r="U233" s="979"/>
      <c r="V233" s="979"/>
      <c r="W233" s="979"/>
      <c r="X233" s="135"/>
      <c r="Y233" s="135"/>
      <c r="Z233" s="135"/>
      <c r="AA233" s="135"/>
      <c r="AB233" s="178">
        <v>618</v>
      </c>
    </row>
    <row r="234" spans="1:34" ht="12.6" customHeight="1" x14ac:dyDescent="0.2">
      <c r="A234" s="94"/>
      <c r="B234" s="630" t="s">
        <v>436</v>
      </c>
      <c r="C234" s="631"/>
      <c r="D234" s="631"/>
      <c r="E234" s="631"/>
      <c r="F234" s="451">
        <v>880</v>
      </c>
      <c r="G234" s="451">
        <f t="shared" si="608"/>
        <v>880</v>
      </c>
      <c r="H234" s="581"/>
      <c r="I234" s="451"/>
      <c r="J234" s="452"/>
      <c r="K234" s="454"/>
      <c r="L234" s="581">
        <f t="shared" si="583"/>
        <v>1090</v>
      </c>
      <c r="M234" s="451">
        <f t="shared" ref="M234" si="612">+L234*$X$1</f>
        <v>1090</v>
      </c>
      <c r="N234" s="581"/>
      <c r="O234" s="451"/>
      <c r="P234" s="581">
        <f>F234+5.1</f>
        <v>885.1</v>
      </c>
      <c r="Q234" s="978" t="s">
        <v>138</v>
      </c>
      <c r="R234" s="979"/>
      <c r="S234" s="979"/>
      <c r="T234" s="979"/>
      <c r="U234" s="979"/>
      <c r="V234" s="979"/>
      <c r="W234" s="979"/>
      <c r="X234" s="120"/>
      <c r="Y234" s="135"/>
      <c r="Z234" s="135"/>
      <c r="AA234" s="135"/>
      <c r="AB234" s="178">
        <v>621</v>
      </c>
    </row>
    <row r="235" spans="1:34" ht="12.6" customHeight="1" x14ac:dyDescent="0.2">
      <c r="A235" s="17"/>
      <c r="B235" s="3"/>
      <c r="C235" s="3"/>
      <c r="D235" s="3"/>
      <c r="E235" s="3"/>
      <c r="F235" s="4"/>
      <c r="G235" s="4"/>
      <c r="H235" s="3"/>
      <c r="I235" s="3"/>
      <c r="J235" s="3"/>
      <c r="K235" s="154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AB235" s="89"/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4"/>
    </row>
    <row r="238" spans="1:34" ht="15.75" customHeight="1" x14ac:dyDescent="0.2">
      <c r="A238" s="17"/>
      <c r="B238" s="1013" t="s">
        <v>11</v>
      </c>
      <c r="C238" s="809" t="s">
        <v>12</v>
      </c>
      <c r="D238" s="810"/>
      <c r="E238" s="810"/>
      <c r="F238" s="650" t="s">
        <v>13</v>
      </c>
      <c r="G238" s="650" t="s">
        <v>13</v>
      </c>
      <c r="H238" s="695" t="s">
        <v>723</v>
      </c>
      <c r="I238" s="695"/>
      <c r="J238" s="696"/>
      <c r="K238" s="696"/>
      <c r="L238" s="696"/>
      <c r="M238" s="696"/>
      <c r="N238" s="696"/>
      <c r="O238" s="696"/>
      <c r="P238" s="696"/>
      <c r="Q238" s="696"/>
      <c r="R238" s="696"/>
      <c r="S238" s="696"/>
      <c r="T238" s="696"/>
      <c r="U238" s="696"/>
      <c r="V238" s="696"/>
      <c r="W238" s="696"/>
      <c r="X238" s="739" t="s">
        <v>14</v>
      </c>
      <c r="Y238" s="740"/>
      <c r="Z238" s="740"/>
      <c r="AA238" s="741"/>
      <c r="AB238" s="638" t="s">
        <v>15</v>
      </c>
      <c r="AF238" s="640" t="s">
        <v>3</v>
      </c>
      <c r="AG238" s="641"/>
      <c r="AH238" s="641"/>
    </row>
    <row r="239" spans="1:34" ht="11.25" customHeight="1" x14ac:dyDescent="0.2">
      <c r="A239" s="17"/>
      <c r="B239" s="1013"/>
      <c r="C239" s="810"/>
      <c r="D239" s="810"/>
      <c r="E239" s="810"/>
      <c r="F239" s="651"/>
      <c r="G239" s="651"/>
      <c r="H239" s="406"/>
      <c r="I239" s="398" t="s">
        <v>261</v>
      </c>
      <c r="J239" s="400"/>
      <c r="K239" s="398" t="s">
        <v>17</v>
      </c>
      <c r="L239" s="401"/>
      <c r="M239" s="401" t="s">
        <v>18</v>
      </c>
      <c r="N239" s="401"/>
      <c r="O239" s="398" t="s">
        <v>19</v>
      </c>
      <c r="P239" s="401"/>
      <c r="Q239" s="401" t="s">
        <v>262</v>
      </c>
      <c r="R239" s="401"/>
      <c r="S239" s="401" t="s">
        <v>20</v>
      </c>
      <c r="T239" s="401"/>
      <c r="U239" s="401" t="s">
        <v>21</v>
      </c>
      <c r="V239" s="401"/>
      <c r="W239" s="401" t="s">
        <v>22</v>
      </c>
      <c r="X239" s="742"/>
      <c r="Y239" s="743"/>
      <c r="Z239" s="743"/>
      <c r="AA239" s="744"/>
      <c r="AB239" s="639"/>
    </row>
    <row r="240" spans="1:34" ht="12.6" customHeight="1" x14ac:dyDescent="0.2">
      <c r="A240" s="20"/>
      <c r="B240" s="652" t="s">
        <v>1007</v>
      </c>
      <c r="C240" s="653"/>
      <c r="D240" s="653"/>
      <c r="E240" s="653"/>
      <c r="F240" s="324">
        <v>1950</v>
      </c>
      <c r="G240" s="256">
        <f>+F240*$X$1</f>
        <v>1950</v>
      </c>
      <c r="H240" s="250"/>
      <c r="I240" s="303"/>
      <c r="J240" s="82"/>
      <c r="K240" s="256"/>
      <c r="L240" s="536">
        <f>F240+210</f>
        <v>2160</v>
      </c>
      <c r="M240" s="256">
        <f>+L240*$X$1</f>
        <v>2160</v>
      </c>
      <c r="N240" s="536">
        <f>F240+160</f>
        <v>2110</v>
      </c>
      <c r="O240" s="256">
        <f t="shared" ref="O240" si="613">+N240*$X$1</f>
        <v>2110</v>
      </c>
      <c r="P240" s="536">
        <f>F240+130</f>
        <v>2080</v>
      </c>
      <c r="Q240" s="256">
        <f t="shared" ref="Q240" si="614">+P240*$X$1</f>
        <v>2080</v>
      </c>
      <c r="R240" s="536">
        <f>F240+110</f>
        <v>2060</v>
      </c>
      <c r="S240" s="256">
        <f t="shared" ref="S240" si="615">+R240*$X$1</f>
        <v>2060</v>
      </c>
      <c r="T240" s="536">
        <f>F240+90</f>
        <v>2040</v>
      </c>
      <c r="U240" s="256">
        <f t="shared" ref="U240" si="616">+T240*$X$1</f>
        <v>2040</v>
      </c>
      <c r="V240" s="536">
        <f t="shared" ref="V240" si="617">F240+75</f>
        <v>2025</v>
      </c>
      <c r="W240" s="256">
        <f t="shared" ref="W240" si="618">+V240*$X$1</f>
        <v>2025</v>
      </c>
      <c r="X240" s="135"/>
      <c r="Y240" s="144"/>
      <c r="Z240" s="135"/>
      <c r="AA240" s="135"/>
      <c r="AB240" s="178">
        <v>622</v>
      </c>
    </row>
    <row r="241" spans="1:28" ht="12.6" customHeight="1" x14ac:dyDescent="0.2">
      <c r="A241" s="20"/>
      <c r="B241" s="678" t="s">
        <v>173</v>
      </c>
      <c r="C241" s="682"/>
      <c r="D241" s="682"/>
      <c r="E241" s="682"/>
      <c r="F241" s="323">
        <f>2.93*X2</f>
        <v>4512.2</v>
      </c>
      <c r="G241" s="255">
        <f>+F241*$X$1</f>
        <v>4512.2</v>
      </c>
      <c r="H241" s="279"/>
      <c r="I241" s="302"/>
      <c r="J241" s="68">
        <f>F241+280</f>
        <v>4792.2</v>
      </c>
      <c r="K241" s="255">
        <f>+J241*$X$1</f>
        <v>4792.2</v>
      </c>
      <c r="L241" s="527">
        <f>F241+210</f>
        <v>4722.2</v>
      </c>
      <c r="M241" s="255">
        <f>+L241*$X$1</f>
        <v>4722.2</v>
      </c>
      <c r="N241" s="527">
        <f>F241+160</f>
        <v>4672.2</v>
      </c>
      <c r="O241" s="255">
        <f>+N241*$X$1</f>
        <v>4672.2</v>
      </c>
      <c r="P241" s="527">
        <f>F241+130</f>
        <v>4642.2</v>
      </c>
      <c r="Q241" s="255">
        <f>+P241*$X$1</f>
        <v>4642.2</v>
      </c>
      <c r="R241" s="527">
        <f>F241+110</f>
        <v>4622.2</v>
      </c>
      <c r="S241" s="255">
        <f>+R241*$X$1</f>
        <v>4622.2</v>
      </c>
      <c r="T241" s="527">
        <f>F241+90</f>
        <v>4602.2</v>
      </c>
      <c r="U241" s="255">
        <f>+T241*$X$1</f>
        <v>4602.2</v>
      </c>
      <c r="V241" s="527">
        <f>F241+70</f>
        <v>4582.2</v>
      </c>
      <c r="W241" s="255">
        <f>+V241*$X$1</f>
        <v>4582.2</v>
      </c>
      <c r="X241" s="135"/>
      <c r="Y241" s="144"/>
      <c r="Z241" s="135"/>
      <c r="AA241" s="135"/>
      <c r="AB241" s="178">
        <v>624</v>
      </c>
    </row>
    <row r="242" spans="1:28" ht="12.6" customHeight="1" x14ac:dyDescent="0.2">
      <c r="A242" s="20"/>
      <c r="B242" s="657" t="s">
        <v>174</v>
      </c>
      <c r="C242" s="658"/>
      <c r="D242" s="658"/>
      <c r="E242" s="658"/>
      <c r="F242" s="324">
        <f>5.057*X2</f>
        <v>7787.7800000000007</v>
      </c>
      <c r="G242" s="256">
        <f>+F242*$X$1</f>
        <v>7787.7800000000007</v>
      </c>
      <c r="H242" s="612"/>
      <c r="I242" s="303"/>
      <c r="J242" s="82">
        <f>F242+280</f>
        <v>8067.7800000000007</v>
      </c>
      <c r="K242" s="256">
        <f>+J242*$X$1</f>
        <v>8067.7800000000007</v>
      </c>
      <c r="L242" s="536">
        <f>F242+210</f>
        <v>7997.7800000000007</v>
      </c>
      <c r="M242" s="256">
        <f>+L242*$X$1</f>
        <v>7997.7800000000007</v>
      </c>
      <c r="N242" s="536">
        <f>F242+160</f>
        <v>7947.7800000000007</v>
      </c>
      <c r="O242" s="256">
        <f>+N242*$X$1</f>
        <v>7947.7800000000007</v>
      </c>
      <c r="P242" s="536">
        <f>F242+130</f>
        <v>7917.7800000000007</v>
      </c>
      <c r="Q242" s="256">
        <f>+P242*$X$1</f>
        <v>7917.7800000000007</v>
      </c>
      <c r="R242" s="536">
        <f>F242+110</f>
        <v>7897.7800000000007</v>
      </c>
      <c r="S242" s="256">
        <f>+R242*$X$1</f>
        <v>7897.7800000000007</v>
      </c>
      <c r="T242" s="536">
        <f>F242+90</f>
        <v>7877.7800000000007</v>
      </c>
      <c r="U242" s="256">
        <f>+T242*$X$1</f>
        <v>7877.7800000000007</v>
      </c>
      <c r="V242" s="536">
        <f>F242+70</f>
        <v>7857.7800000000007</v>
      </c>
      <c r="W242" s="256">
        <f>+V242*$X$1</f>
        <v>7857.7800000000007</v>
      </c>
      <c r="X242" s="135"/>
      <c r="Y242" s="144"/>
      <c r="Z242" s="135"/>
      <c r="AA242" s="135"/>
      <c r="AB242" s="178" t="s">
        <v>175</v>
      </c>
    </row>
    <row r="243" spans="1:28" ht="12.6" customHeight="1" x14ac:dyDescent="0.2">
      <c r="A243" s="20"/>
      <c r="B243" s="683" t="s">
        <v>176</v>
      </c>
      <c r="C243" s="703"/>
      <c r="D243" s="703"/>
      <c r="E243" s="704"/>
      <c r="F243" s="323">
        <f>5.6*X2</f>
        <v>8624</v>
      </c>
      <c r="G243" s="255">
        <f t="shared" ref="G243" si="619">+F243*$X$1</f>
        <v>8624</v>
      </c>
      <c r="H243" s="279"/>
      <c r="I243" s="302"/>
      <c r="J243" s="68">
        <f t="shared" ref="J243:J247" si="620">F243+280</f>
        <v>8904</v>
      </c>
      <c r="K243" s="255">
        <f t="shared" ref="K243:K247" si="621">+J243*$X$1</f>
        <v>8904</v>
      </c>
      <c r="L243" s="527">
        <f t="shared" ref="L243:L247" si="622">F243+210</f>
        <v>8834</v>
      </c>
      <c r="M243" s="255">
        <f t="shared" ref="M243:M247" si="623">+L243*$X$1</f>
        <v>8834</v>
      </c>
      <c r="N243" s="527">
        <f t="shared" ref="N243:N247" si="624">F243+160</f>
        <v>8784</v>
      </c>
      <c r="O243" s="255">
        <f t="shared" ref="O243:O247" si="625">+N243*$X$1</f>
        <v>8784</v>
      </c>
      <c r="P243" s="527">
        <f t="shared" ref="P243:P247" si="626">F243+130</f>
        <v>8754</v>
      </c>
      <c r="Q243" s="255">
        <f t="shared" ref="Q243:Q247" si="627">+P243*$X$1</f>
        <v>8754</v>
      </c>
      <c r="R243" s="527">
        <f t="shared" ref="R243:R247" si="628">F243+110</f>
        <v>8734</v>
      </c>
      <c r="S243" s="255">
        <f t="shared" ref="S243:S247" si="629">+R243*$X$1</f>
        <v>8734</v>
      </c>
      <c r="T243" s="527">
        <f t="shared" ref="T243:T247" si="630">F243+90</f>
        <v>8714</v>
      </c>
      <c r="U243" s="255">
        <f t="shared" ref="U243:U247" si="631">+T243*$X$1</f>
        <v>8714</v>
      </c>
      <c r="V243" s="527">
        <f t="shared" ref="V243:V247" si="632">F243+70</f>
        <v>8694</v>
      </c>
      <c r="W243" s="255">
        <f t="shared" ref="W243:W247" si="633">+V243*$X$1</f>
        <v>8694</v>
      </c>
      <c r="X243" s="135"/>
      <c r="Y243" s="144"/>
      <c r="Z243" s="135"/>
      <c r="AA243" s="135"/>
      <c r="AB243" s="178">
        <v>629</v>
      </c>
    </row>
    <row r="244" spans="1:28" ht="12.6" customHeight="1" x14ac:dyDescent="0.2">
      <c r="A244" s="20"/>
      <c r="B244" s="642" t="s">
        <v>369</v>
      </c>
      <c r="C244" s="680"/>
      <c r="D244" s="680"/>
      <c r="E244" s="681"/>
      <c r="F244" s="324">
        <f>8.5*X2</f>
        <v>13090</v>
      </c>
      <c r="G244" s="256">
        <f>+F244*$X$1</f>
        <v>13090</v>
      </c>
      <c r="H244" s="254"/>
      <c r="I244" s="303"/>
      <c r="J244" s="82">
        <f t="shared" si="620"/>
        <v>13370</v>
      </c>
      <c r="K244" s="256">
        <f t="shared" si="621"/>
        <v>13370</v>
      </c>
      <c r="L244" s="536">
        <f t="shared" si="622"/>
        <v>13300</v>
      </c>
      <c r="M244" s="256">
        <f t="shared" si="623"/>
        <v>13300</v>
      </c>
      <c r="N244" s="536">
        <f t="shared" si="624"/>
        <v>13250</v>
      </c>
      <c r="O244" s="256">
        <f t="shared" si="625"/>
        <v>13250</v>
      </c>
      <c r="P244" s="536">
        <f t="shared" si="626"/>
        <v>13220</v>
      </c>
      <c r="Q244" s="256">
        <f t="shared" si="627"/>
        <v>13220</v>
      </c>
      <c r="R244" s="536">
        <f t="shared" si="628"/>
        <v>13200</v>
      </c>
      <c r="S244" s="256">
        <f t="shared" si="629"/>
        <v>13200</v>
      </c>
      <c r="T244" s="536">
        <f t="shared" si="630"/>
        <v>13180</v>
      </c>
      <c r="U244" s="256">
        <f t="shared" si="631"/>
        <v>13180</v>
      </c>
      <c r="V244" s="536">
        <f t="shared" si="632"/>
        <v>13160</v>
      </c>
      <c r="W244" s="256">
        <f t="shared" si="633"/>
        <v>13160</v>
      </c>
      <c r="X244" s="135"/>
      <c r="Y244" s="144"/>
      <c r="Z244" s="135"/>
      <c r="AA244" s="135"/>
      <c r="AB244" s="178">
        <v>630</v>
      </c>
    </row>
    <row r="245" spans="1:28" ht="12.6" customHeight="1" x14ac:dyDescent="0.2">
      <c r="A245" s="20"/>
      <c r="B245" s="683" t="s">
        <v>488</v>
      </c>
      <c r="C245" s="703"/>
      <c r="D245" s="703"/>
      <c r="E245" s="704"/>
      <c r="F245" s="323">
        <f>0.7*X2</f>
        <v>1078</v>
      </c>
      <c r="G245" s="255">
        <f t="shared" ref="G245" si="634">+F245*$X$1</f>
        <v>1078</v>
      </c>
      <c r="H245" s="539"/>
      <c r="I245" s="302"/>
      <c r="J245" s="68">
        <f t="shared" si="620"/>
        <v>1358</v>
      </c>
      <c r="K245" s="255">
        <f t="shared" si="621"/>
        <v>1358</v>
      </c>
      <c r="L245" s="527">
        <f t="shared" si="622"/>
        <v>1288</v>
      </c>
      <c r="M245" s="255">
        <f t="shared" si="623"/>
        <v>1288</v>
      </c>
      <c r="N245" s="527">
        <f t="shared" si="624"/>
        <v>1238</v>
      </c>
      <c r="O245" s="255">
        <f t="shared" si="625"/>
        <v>1238</v>
      </c>
      <c r="P245" s="527">
        <f t="shared" si="626"/>
        <v>1208</v>
      </c>
      <c r="Q245" s="255">
        <f t="shared" si="627"/>
        <v>1208</v>
      </c>
      <c r="R245" s="527">
        <f t="shared" si="628"/>
        <v>1188</v>
      </c>
      <c r="S245" s="255">
        <f t="shared" si="629"/>
        <v>1188</v>
      </c>
      <c r="T245" s="527">
        <f t="shared" si="630"/>
        <v>1168</v>
      </c>
      <c r="U245" s="255">
        <f t="shared" si="631"/>
        <v>1168</v>
      </c>
      <c r="V245" s="527">
        <f t="shared" si="632"/>
        <v>1148</v>
      </c>
      <c r="W245" s="255">
        <f t="shared" si="633"/>
        <v>1148</v>
      </c>
      <c r="X245" s="135"/>
      <c r="Y245" s="144"/>
      <c r="Z245" s="135"/>
      <c r="AA245" s="135"/>
      <c r="AB245" s="178">
        <v>631</v>
      </c>
    </row>
    <row r="246" spans="1:28" ht="12.6" customHeight="1" x14ac:dyDescent="0.2">
      <c r="A246" s="20"/>
      <c r="B246" s="642" t="s">
        <v>807</v>
      </c>
      <c r="C246" s="680"/>
      <c r="D246" s="680"/>
      <c r="E246" s="681"/>
      <c r="F246" s="324">
        <f>2.02*X2</f>
        <v>3110.8</v>
      </c>
      <c r="G246" s="256">
        <f t="shared" ref="G246" si="635">+F246*$X$1</f>
        <v>3110.8</v>
      </c>
      <c r="H246" s="250"/>
      <c r="I246" s="303"/>
      <c r="J246" s="82">
        <f t="shared" si="620"/>
        <v>3390.8</v>
      </c>
      <c r="K246" s="256">
        <f t="shared" si="621"/>
        <v>3390.8</v>
      </c>
      <c r="L246" s="536">
        <f t="shared" si="622"/>
        <v>3320.8</v>
      </c>
      <c r="M246" s="256">
        <f t="shared" si="623"/>
        <v>3320.8</v>
      </c>
      <c r="N246" s="536">
        <f t="shared" si="624"/>
        <v>3270.8</v>
      </c>
      <c r="O246" s="256">
        <f t="shared" si="625"/>
        <v>3270.8</v>
      </c>
      <c r="P246" s="536">
        <f t="shared" si="626"/>
        <v>3240.8</v>
      </c>
      <c r="Q246" s="256">
        <f t="shared" si="627"/>
        <v>3240.8</v>
      </c>
      <c r="R246" s="536">
        <f t="shared" si="628"/>
        <v>3220.8</v>
      </c>
      <c r="S246" s="256">
        <f t="shared" si="629"/>
        <v>3220.8</v>
      </c>
      <c r="T246" s="536">
        <f t="shared" si="630"/>
        <v>3200.8</v>
      </c>
      <c r="U246" s="256">
        <f t="shared" si="631"/>
        <v>3200.8</v>
      </c>
      <c r="V246" s="536">
        <f t="shared" si="632"/>
        <v>3180.8</v>
      </c>
      <c r="W246" s="256">
        <f t="shared" si="633"/>
        <v>3180.8</v>
      </c>
      <c r="X246" s="135"/>
      <c r="Y246" s="144"/>
      <c r="Z246" s="135"/>
      <c r="AA246" s="135"/>
      <c r="AB246" s="178">
        <v>633</v>
      </c>
    </row>
    <row r="247" spans="1:28" ht="12.6" customHeight="1" x14ac:dyDescent="0.2">
      <c r="A247" s="20"/>
      <c r="B247" s="683" t="s">
        <v>454</v>
      </c>
      <c r="C247" s="703"/>
      <c r="D247" s="703"/>
      <c r="E247" s="704"/>
      <c r="F247" s="323">
        <f>1.36*X2</f>
        <v>2094.4</v>
      </c>
      <c r="G247" s="255">
        <f>+F247*$X$1</f>
        <v>2094.4</v>
      </c>
      <c r="H247" s="538"/>
      <c r="I247" s="302"/>
      <c r="J247" s="68">
        <f t="shared" si="620"/>
        <v>2374.4</v>
      </c>
      <c r="K247" s="255">
        <f t="shared" si="621"/>
        <v>2374.4</v>
      </c>
      <c r="L247" s="527">
        <f t="shared" si="622"/>
        <v>2304.4</v>
      </c>
      <c r="M247" s="255">
        <f t="shared" si="623"/>
        <v>2304.4</v>
      </c>
      <c r="N247" s="527">
        <f t="shared" si="624"/>
        <v>2254.4</v>
      </c>
      <c r="O247" s="255">
        <f t="shared" si="625"/>
        <v>2254.4</v>
      </c>
      <c r="P247" s="527">
        <f t="shared" si="626"/>
        <v>2224.4</v>
      </c>
      <c r="Q247" s="255">
        <f t="shared" si="627"/>
        <v>2224.4</v>
      </c>
      <c r="R247" s="527">
        <f t="shared" si="628"/>
        <v>2204.4</v>
      </c>
      <c r="S247" s="255">
        <f t="shared" si="629"/>
        <v>2204.4</v>
      </c>
      <c r="T247" s="527">
        <f t="shared" si="630"/>
        <v>2184.4</v>
      </c>
      <c r="U247" s="255">
        <f t="shared" si="631"/>
        <v>2184.4</v>
      </c>
      <c r="V247" s="527">
        <f t="shared" si="632"/>
        <v>2164.4</v>
      </c>
      <c r="W247" s="255">
        <f t="shared" si="633"/>
        <v>2164.4</v>
      </c>
      <c r="X247" s="135"/>
      <c r="Y247" s="144"/>
      <c r="Z247" s="135"/>
      <c r="AA247" s="135"/>
      <c r="AB247" s="178">
        <v>640</v>
      </c>
    </row>
    <row r="248" spans="1:28" ht="12.6" customHeight="1" x14ac:dyDescent="0.2">
      <c r="A248" s="17"/>
      <c r="B248" s="657" t="s">
        <v>177</v>
      </c>
      <c r="C248" s="633"/>
      <c r="D248" s="633"/>
      <c r="E248" s="633"/>
      <c r="F248" s="324">
        <f>2.7*X2</f>
        <v>4158</v>
      </c>
      <c r="G248" s="256">
        <f>+F248*$X$1</f>
        <v>4158</v>
      </c>
      <c r="H248" s="536">
        <f>F248+600</f>
        <v>4758</v>
      </c>
      <c r="I248" s="256">
        <f t="shared" ref="I248" si="636">+H248*$X$1</f>
        <v>4758</v>
      </c>
      <c r="J248" s="536">
        <f t="shared" ref="J248" si="637">F248+200</f>
        <v>4358</v>
      </c>
      <c r="K248" s="256">
        <f t="shared" ref="K248" si="638">+J248*$X$1</f>
        <v>4358</v>
      </c>
      <c r="L248" s="536">
        <f t="shared" ref="L248" si="639">F248+150</f>
        <v>4308</v>
      </c>
      <c r="M248" s="256">
        <f t="shared" ref="M248" si="640">+L248*$X$1</f>
        <v>4308</v>
      </c>
      <c r="N248" s="536">
        <f>F248+100</f>
        <v>4258</v>
      </c>
      <c r="O248" s="256">
        <f t="shared" ref="O248" si="641">+N248*$X$1</f>
        <v>4258</v>
      </c>
      <c r="P248" s="536">
        <f>F248+90</f>
        <v>4248</v>
      </c>
      <c r="Q248" s="256">
        <f t="shared" ref="Q248" si="642">+P248*$X$1</f>
        <v>4248</v>
      </c>
      <c r="R248" s="536">
        <f>F248+70</f>
        <v>4228</v>
      </c>
      <c r="S248" s="256">
        <f t="shared" ref="S248" si="643">+R248*$X$1</f>
        <v>4228</v>
      </c>
      <c r="T248" s="536">
        <f>F248+56</f>
        <v>4214</v>
      </c>
      <c r="U248" s="256">
        <f t="shared" ref="U248" si="644">+T248*$X$1</f>
        <v>4214</v>
      </c>
      <c r="V248" s="536">
        <f>F248+49</f>
        <v>4207</v>
      </c>
      <c r="W248" s="256">
        <f t="shared" ref="W248" si="645">+V248*$X$1</f>
        <v>4207</v>
      </c>
      <c r="X248" s="715"/>
      <c r="Y248" s="718"/>
      <c r="Z248" s="718"/>
      <c r="AA248" s="716"/>
      <c r="AB248" s="178">
        <v>705</v>
      </c>
    </row>
    <row r="249" spans="1:28" ht="12.6" customHeight="1" x14ac:dyDescent="0.2">
      <c r="A249" s="17"/>
      <c r="B249" s="678" t="s">
        <v>466</v>
      </c>
      <c r="C249" s="679"/>
      <c r="D249" s="679"/>
      <c r="E249" s="679"/>
      <c r="F249" s="255">
        <v>14995</v>
      </c>
      <c r="G249" s="255">
        <f t="shared" ref="G249:G250" si="646">+F249*$X$1</f>
        <v>14995</v>
      </c>
      <c r="H249" s="527">
        <f>F249+700</f>
        <v>15695</v>
      </c>
      <c r="I249" s="255">
        <f t="shared" ref="I249" si="647">+H249*$X$1</f>
        <v>15695</v>
      </c>
      <c r="J249" s="527">
        <f>F249+310</f>
        <v>15305</v>
      </c>
      <c r="K249" s="255">
        <f t="shared" ref="K249" si="648">+J249*$X$1</f>
        <v>15305</v>
      </c>
      <c r="L249" s="527">
        <f>F249+240</f>
        <v>15235</v>
      </c>
      <c r="M249" s="255">
        <f t="shared" ref="M249" si="649">+L249*$X$1</f>
        <v>15235</v>
      </c>
      <c r="N249" s="527">
        <f>F249+200</f>
        <v>15195</v>
      </c>
      <c r="O249" s="255">
        <f t="shared" ref="O249" si="650">+N249*$X$1</f>
        <v>15195</v>
      </c>
      <c r="P249" s="527">
        <f>F249+170</f>
        <v>15165</v>
      </c>
      <c r="Q249" s="255">
        <f t="shared" ref="Q249" si="651">+P249*$X$1</f>
        <v>15165</v>
      </c>
      <c r="R249" s="527">
        <f>F249+150</f>
        <v>15145</v>
      </c>
      <c r="S249" s="255">
        <f t="shared" ref="S249" si="652">+R249*$X$1</f>
        <v>15145</v>
      </c>
      <c r="T249" s="93">
        <f>F249+130</f>
        <v>15125</v>
      </c>
      <c r="U249" s="234">
        <f t="shared" ref="U249:U250" si="653">+T249*$X$1</f>
        <v>15125</v>
      </c>
      <c r="V249" s="93">
        <f>F249+110</f>
        <v>15105</v>
      </c>
      <c r="W249" s="234">
        <f t="shared" ref="W249:W250" si="654">+V249*$X$1</f>
        <v>15105</v>
      </c>
      <c r="X249" s="693"/>
      <c r="Y249" s="667"/>
      <c r="Z249" s="667"/>
      <c r="AA249" s="669"/>
      <c r="AB249" s="178">
        <v>815</v>
      </c>
    </row>
    <row r="250" spans="1:28" ht="12.6" customHeight="1" x14ac:dyDescent="0.2">
      <c r="A250" s="17"/>
      <c r="B250" s="652" t="s">
        <v>922</v>
      </c>
      <c r="C250" s="698"/>
      <c r="D250" s="698"/>
      <c r="E250" s="698"/>
      <c r="F250" s="324">
        <f>5.02*X2</f>
        <v>7730.7999999999993</v>
      </c>
      <c r="G250" s="256">
        <f t="shared" si="646"/>
        <v>7730.7999999999993</v>
      </c>
      <c r="H250" s="536">
        <f t="shared" ref="H250:H263" si="655">F250+700</f>
        <v>8430.7999999999993</v>
      </c>
      <c r="I250" s="256">
        <f t="shared" ref="I250:I263" si="656">+H250*$X$1</f>
        <v>8430.7999999999993</v>
      </c>
      <c r="J250" s="536">
        <f t="shared" ref="J250:J263" si="657">F250+310</f>
        <v>8040.7999999999993</v>
      </c>
      <c r="K250" s="256">
        <f t="shared" ref="K250:K263" si="658">+J250*$X$1</f>
        <v>8040.7999999999993</v>
      </c>
      <c r="L250" s="536">
        <f t="shared" ref="L250:L263" si="659">F250+240</f>
        <v>7970.7999999999993</v>
      </c>
      <c r="M250" s="256">
        <f t="shared" ref="M250:M263" si="660">+L250*$X$1</f>
        <v>7970.7999999999993</v>
      </c>
      <c r="N250" s="536">
        <f t="shared" ref="N250:N263" si="661">F250+200</f>
        <v>7930.7999999999993</v>
      </c>
      <c r="O250" s="256">
        <f t="shared" ref="O250:O263" si="662">+N250*$X$1</f>
        <v>7930.7999999999993</v>
      </c>
      <c r="P250" s="536">
        <f t="shared" ref="P250:P263" si="663">F250+170</f>
        <v>7900.7999999999993</v>
      </c>
      <c r="Q250" s="256">
        <f t="shared" ref="Q250:Q263" si="664">+P250*$X$1</f>
        <v>7900.7999999999993</v>
      </c>
      <c r="R250" s="536">
        <f t="shared" ref="R250:R263" si="665">F250+150</f>
        <v>7880.7999999999993</v>
      </c>
      <c r="S250" s="256">
        <f t="shared" ref="S250:S263" si="666">+R250*$X$1</f>
        <v>7880.7999999999993</v>
      </c>
      <c r="T250" s="92">
        <f t="shared" ref="T250:T263" si="667">F250+130</f>
        <v>7860.7999999999993</v>
      </c>
      <c r="U250" s="269">
        <f t="shared" si="653"/>
        <v>7860.7999999999993</v>
      </c>
      <c r="V250" s="92">
        <f t="shared" ref="V250" si="668">F250+110</f>
        <v>7840.7999999999993</v>
      </c>
      <c r="W250" s="269">
        <f t="shared" si="654"/>
        <v>7840.7999999999993</v>
      </c>
      <c r="X250" s="693"/>
      <c r="Y250" s="667"/>
      <c r="Z250" s="667"/>
      <c r="AA250" s="669"/>
      <c r="AB250" s="178">
        <v>816</v>
      </c>
    </row>
    <row r="251" spans="1:28" ht="12.6" customHeight="1" x14ac:dyDescent="0.2">
      <c r="A251" s="17"/>
      <c r="B251" s="678" t="s">
        <v>835</v>
      </c>
      <c r="C251" s="774"/>
      <c r="D251" s="774"/>
      <c r="E251" s="774"/>
      <c r="F251" s="323">
        <f>32.25*X2</f>
        <v>49665</v>
      </c>
      <c r="G251" s="255">
        <f>+F251*$X$1</f>
        <v>49665</v>
      </c>
      <c r="H251" s="527">
        <f t="shared" si="655"/>
        <v>50365</v>
      </c>
      <c r="I251" s="255">
        <f t="shared" si="656"/>
        <v>50365</v>
      </c>
      <c r="J251" s="527">
        <f t="shared" si="657"/>
        <v>49975</v>
      </c>
      <c r="K251" s="255">
        <f t="shared" si="658"/>
        <v>49975</v>
      </c>
      <c r="L251" s="527">
        <f t="shared" si="659"/>
        <v>49905</v>
      </c>
      <c r="M251" s="255">
        <f t="shared" si="660"/>
        <v>49905</v>
      </c>
      <c r="N251" s="527">
        <f t="shared" si="661"/>
        <v>49865</v>
      </c>
      <c r="O251" s="255">
        <f t="shared" si="662"/>
        <v>49865</v>
      </c>
      <c r="P251" s="527">
        <f t="shared" si="663"/>
        <v>49835</v>
      </c>
      <c r="Q251" s="255">
        <f t="shared" si="664"/>
        <v>49835</v>
      </c>
      <c r="R251" s="527">
        <f t="shared" si="665"/>
        <v>49815</v>
      </c>
      <c r="S251" s="255">
        <f t="shared" si="666"/>
        <v>49815</v>
      </c>
      <c r="T251" s="93">
        <f t="shared" si="667"/>
        <v>49795</v>
      </c>
      <c r="U251" s="234">
        <f t="shared" ref="U251" si="669">+T251*$X$1</f>
        <v>49795</v>
      </c>
      <c r="V251" s="93">
        <f>F251+110</f>
        <v>49775</v>
      </c>
      <c r="W251" s="234">
        <f t="shared" ref="W251" si="670">+V251*$X$1</f>
        <v>49775</v>
      </c>
      <c r="X251" s="693"/>
      <c r="Y251" s="667"/>
      <c r="Z251" s="667"/>
      <c r="AA251" s="669"/>
      <c r="AB251" s="178">
        <v>817</v>
      </c>
    </row>
    <row r="252" spans="1:28" ht="12.6" customHeight="1" x14ac:dyDescent="0.2">
      <c r="A252" s="17"/>
      <c r="B252" s="657" t="s">
        <v>836</v>
      </c>
      <c r="C252" s="694"/>
      <c r="D252" s="694"/>
      <c r="E252" s="694"/>
      <c r="F252" s="324">
        <f>16.1*X2</f>
        <v>24794.000000000004</v>
      </c>
      <c r="G252" s="256">
        <f>+F252*$X$1</f>
        <v>24794.000000000004</v>
      </c>
      <c r="H252" s="536">
        <f t="shared" si="655"/>
        <v>25494.000000000004</v>
      </c>
      <c r="I252" s="256">
        <f t="shared" si="656"/>
        <v>25494.000000000004</v>
      </c>
      <c r="J252" s="536">
        <f t="shared" si="657"/>
        <v>25104.000000000004</v>
      </c>
      <c r="K252" s="256">
        <f t="shared" si="658"/>
        <v>25104.000000000004</v>
      </c>
      <c r="L252" s="536">
        <f t="shared" si="659"/>
        <v>25034.000000000004</v>
      </c>
      <c r="M252" s="256">
        <f t="shared" si="660"/>
        <v>25034.000000000004</v>
      </c>
      <c r="N252" s="536">
        <f t="shared" si="661"/>
        <v>24994.000000000004</v>
      </c>
      <c r="O252" s="256">
        <f t="shared" si="662"/>
        <v>24994.000000000004</v>
      </c>
      <c r="P252" s="536">
        <f t="shared" si="663"/>
        <v>24964.000000000004</v>
      </c>
      <c r="Q252" s="256">
        <f t="shared" si="664"/>
        <v>24964.000000000004</v>
      </c>
      <c r="R252" s="536">
        <f t="shared" si="665"/>
        <v>24944.000000000004</v>
      </c>
      <c r="S252" s="256">
        <f t="shared" si="666"/>
        <v>24944.000000000004</v>
      </c>
      <c r="T252" s="92">
        <f t="shared" si="667"/>
        <v>24924.000000000004</v>
      </c>
      <c r="U252" s="269">
        <f t="shared" ref="U252" si="671">+T252*$X$1</f>
        <v>24924.000000000004</v>
      </c>
      <c r="V252" s="92">
        <f>F252+110</f>
        <v>24904.000000000004</v>
      </c>
      <c r="W252" s="269">
        <f t="shared" ref="W252" si="672">+V252*$X$1</f>
        <v>24904.000000000004</v>
      </c>
      <c r="X252" s="693"/>
      <c r="Y252" s="667"/>
      <c r="Z252" s="667"/>
      <c r="AA252" s="669"/>
      <c r="AB252" s="178">
        <v>818</v>
      </c>
    </row>
    <row r="253" spans="1:28" ht="12.6" customHeight="1" x14ac:dyDescent="0.2">
      <c r="A253" s="17"/>
      <c r="B253" s="678" t="s">
        <v>465</v>
      </c>
      <c r="C253" s="679"/>
      <c r="D253" s="679"/>
      <c r="E253" s="679"/>
      <c r="F253" s="255">
        <v>23300</v>
      </c>
      <c r="G253" s="255">
        <f t="shared" ref="G253" si="673">+F253*$X$1</f>
        <v>23300</v>
      </c>
      <c r="H253" s="527">
        <f t="shared" si="655"/>
        <v>24000</v>
      </c>
      <c r="I253" s="255">
        <f t="shared" si="656"/>
        <v>24000</v>
      </c>
      <c r="J253" s="527">
        <f t="shared" si="657"/>
        <v>23610</v>
      </c>
      <c r="K253" s="255">
        <f t="shared" si="658"/>
        <v>23610</v>
      </c>
      <c r="L253" s="527">
        <f t="shared" si="659"/>
        <v>23540</v>
      </c>
      <c r="M253" s="255">
        <f t="shared" si="660"/>
        <v>23540</v>
      </c>
      <c r="N253" s="527">
        <f t="shared" si="661"/>
        <v>23500</v>
      </c>
      <c r="O253" s="255">
        <f t="shared" si="662"/>
        <v>23500</v>
      </c>
      <c r="P253" s="527">
        <f t="shared" si="663"/>
        <v>23470</v>
      </c>
      <c r="Q253" s="255">
        <f t="shared" si="664"/>
        <v>23470</v>
      </c>
      <c r="R253" s="527">
        <f t="shared" si="665"/>
        <v>23450</v>
      </c>
      <c r="S253" s="255">
        <f t="shared" si="666"/>
        <v>23450</v>
      </c>
      <c r="T253" s="93">
        <f t="shared" si="667"/>
        <v>23430</v>
      </c>
      <c r="U253" s="234">
        <f t="shared" ref="U253:U270" si="674">+T253*$X$1</f>
        <v>23430</v>
      </c>
      <c r="V253" s="93">
        <f t="shared" ref="V253:V280" si="675">F253+110</f>
        <v>23410</v>
      </c>
      <c r="W253" s="234">
        <f t="shared" ref="W253:W280" si="676">+V253*$X$1</f>
        <v>23410</v>
      </c>
      <c r="X253" s="693"/>
      <c r="Y253" s="667"/>
      <c r="Z253" s="667"/>
      <c r="AA253" s="669"/>
      <c r="AB253" s="178">
        <v>819</v>
      </c>
    </row>
    <row r="254" spans="1:28" ht="12.6" customHeight="1" x14ac:dyDescent="0.2">
      <c r="A254" s="17"/>
      <c r="B254" s="657" t="s">
        <v>629</v>
      </c>
      <c r="C254" s="633"/>
      <c r="D254" s="633"/>
      <c r="E254" s="633"/>
      <c r="F254" s="324">
        <f>4.3*X2</f>
        <v>6622</v>
      </c>
      <c r="G254" s="256">
        <f>+F254*$X$1</f>
        <v>6622</v>
      </c>
      <c r="H254" s="536">
        <f t="shared" si="655"/>
        <v>7322</v>
      </c>
      <c r="I254" s="256">
        <f t="shared" si="656"/>
        <v>7322</v>
      </c>
      <c r="J254" s="536">
        <f t="shared" si="657"/>
        <v>6932</v>
      </c>
      <c r="K254" s="256">
        <f t="shared" si="658"/>
        <v>6932</v>
      </c>
      <c r="L254" s="536">
        <f t="shared" si="659"/>
        <v>6862</v>
      </c>
      <c r="M254" s="256">
        <f t="shared" si="660"/>
        <v>6862</v>
      </c>
      <c r="N254" s="536">
        <f t="shared" si="661"/>
        <v>6822</v>
      </c>
      <c r="O254" s="256">
        <f t="shared" si="662"/>
        <v>6822</v>
      </c>
      <c r="P254" s="536">
        <f t="shared" si="663"/>
        <v>6792</v>
      </c>
      <c r="Q254" s="256">
        <f t="shared" si="664"/>
        <v>6792</v>
      </c>
      <c r="R254" s="536">
        <f t="shared" si="665"/>
        <v>6772</v>
      </c>
      <c r="S254" s="256">
        <f t="shared" si="666"/>
        <v>6772</v>
      </c>
      <c r="T254" s="92">
        <f t="shared" si="667"/>
        <v>6752</v>
      </c>
      <c r="U254" s="269">
        <f t="shared" si="674"/>
        <v>6752</v>
      </c>
      <c r="V254" s="92">
        <f t="shared" si="675"/>
        <v>6732</v>
      </c>
      <c r="W254" s="269">
        <f t="shared" si="676"/>
        <v>6732</v>
      </c>
      <c r="X254" s="693"/>
      <c r="Y254" s="667"/>
      <c r="Z254" s="667"/>
      <c r="AA254" s="669"/>
      <c r="AB254" s="178">
        <v>821</v>
      </c>
    </row>
    <row r="255" spans="1:28" ht="12.6" customHeight="1" x14ac:dyDescent="0.2">
      <c r="A255" s="17"/>
      <c r="B255" s="678" t="s">
        <v>792</v>
      </c>
      <c r="C255" s="679"/>
      <c r="D255" s="679"/>
      <c r="E255" s="679"/>
      <c r="F255" s="323">
        <f>7.15*X2</f>
        <v>11011</v>
      </c>
      <c r="G255" s="255">
        <f t="shared" ref="G255" si="677">+F255*$X$1</f>
        <v>11011</v>
      </c>
      <c r="H255" s="527">
        <f t="shared" si="655"/>
        <v>11711</v>
      </c>
      <c r="I255" s="255">
        <f t="shared" si="656"/>
        <v>11711</v>
      </c>
      <c r="J255" s="527">
        <f t="shared" si="657"/>
        <v>11321</v>
      </c>
      <c r="K255" s="255">
        <f t="shared" si="658"/>
        <v>11321</v>
      </c>
      <c r="L255" s="527">
        <f t="shared" si="659"/>
        <v>11251</v>
      </c>
      <c r="M255" s="255">
        <f t="shared" si="660"/>
        <v>11251</v>
      </c>
      <c r="N255" s="527">
        <f t="shared" si="661"/>
        <v>11211</v>
      </c>
      <c r="O255" s="255">
        <f t="shared" si="662"/>
        <v>11211</v>
      </c>
      <c r="P255" s="527">
        <f t="shared" si="663"/>
        <v>11181</v>
      </c>
      <c r="Q255" s="255">
        <f t="shared" si="664"/>
        <v>11181</v>
      </c>
      <c r="R255" s="527">
        <f t="shared" si="665"/>
        <v>11161</v>
      </c>
      <c r="S255" s="255">
        <f t="shared" si="666"/>
        <v>11161</v>
      </c>
      <c r="T255" s="93">
        <f t="shared" si="667"/>
        <v>11141</v>
      </c>
      <c r="U255" s="234">
        <f t="shared" si="674"/>
        <v>11141</v>
      </c>
      <c r="V255" s="93">
        <f t="shared" si="675"/>
        <v>11121</v>
      </c>
      <c r="W255" s="234">
        <f t="shared" si="676"/>
        <v>11121</v>
      </c>
      <c r="X255" s="693"/>
      <c r="Y255" s="667"/>
      <c r="Z255" s="667"/>
      <c r="AA255" s="669"/>
      <c r="AB255" s="178">
        <v>822</v>
      </c>
    </row>
    <row r="256" spans="1:28" ht="12.6" customHeight="1" x14ac:dyDescent="0.2">
      <c r="A256" s="17"/>
      <c r="B256" s="657" t="s">
        <v>461</v>
      </c>
      <c r="C256" s="633"/>
      <c r="D256" s="633"/>
      <c r="E256" s="633"/>
      <c r="F256" s="256">
        <v>17550</v>
      </c>
      <c r="G256" s="256">
        <f>+F256*$X$1</f>
        <v>17550</v>
      </c>
      <c r="H256" s="536">
        <f t="shared" si="655"/>
        <v>18250</v>
      </c>
      <c r="I256" s="256">
        <f t="shared" si="656"/>
        <v>18250</v>
      </c>
      <c r="J256" s="536">
        <f t="shared" si="657"/>
        <v>17860</v>
      </c>
      <c r="K256" s="256">
        <f t="shared" si="658"/>
        <v>17860</v>
      </c>
      <c r="L256" s="536">
        <f t="shared" si="659"/>
        <v>17790</v>
      </c>
      <c r="M256" s="256">
        <f t="shared" si="660"/>
        <v>17790</v>
      </c>
      <c r="N256" s="536">
        <f t="shared" si="661"/>
        <v>17750</v>
      </c>
      <c r="O256" s="256">
        <f t="shared" si="662"/>
        <v>17750</v>
      </c>
      <c r="P256" s="536">
        <f t="shared" si="663"/>
        <v>17720</v>
      </c>
      <c r="Q256" s="256">
        <f t="shared" si="664"/>
        <v>17720</v>
      </c>
      <c r="R256" s="536">
        <f t="shared" si="665"/>
        <v>17700</v>
      </c>
      <c r="S256" s="256">
        <f t="shared" si="666"/>
        <v>17700</v>
      </c>
      <c r="T256" s="92">
        <f t="shared" si="667"/>
        <v>17680</v>
      </c>
      <c r="U256" s="269">
        <f t="shared" si="674"/>
        <v>17680</v>
      </c>
      <c r="V256" s="92">
        <f t="shared" si="675"/>
        <v>17660</v>
      </c>
      <c r="W256" s="269">
        <f t="shared" si="676"/>
        <v>17660</v>
      </c>
      <c r="X256" s="693"/>
      <c r="Y256" s="667"/>
      <c r="Z256" s="667"/>
      <c r="AA256" s="669"/>
      <c r="AB256" s="178">
        <v>823</v>
      </c>
    </row>
    <row r="257" spans="1:28" ht="12.6" customHeight="1" x14ac:dyDescent="0.2">
      <c r="A257" s="17"/>
      <c r="B257" s="678" t="s">
        <v>799</v>
      </c>
      <c r="C257" s="679"/>
      <c r="D257" s="679"/>
      <c r="E257" s="679"/>
      <c r="F257" s="323">
        <f>3.2*X2</f>
        <v>4928</v>
      </c>
      <c r="G257" s="255">
        <f t="shared" ref="G257" si="678">+F257*$X$1</f>
        <v>4928</v>
      </c>
      <c r="H257" s="527">
        <f t="shared" si="655"/>
        <v>5628</v>
      </c>
      <c r="I257" s="255">
        <f t="shared" si="656"/>
        <v>5628</v>
      </c>
      <c r="J257" s="527">
        <f t="shared" si="657"/>
        <v>5238</v>
      </c>
      <c r="K257" s="255">
        <f t="shared" si="658"/>
        <v>5238</v>
      </c>
      <c r="L257" s="527">
        <f t="shared" si="659"/>
        <v>5168</v>
      </c>
      <c r="M257" s="255">
        <f t="shared" si="660"/>
        <v>5168</v>
      </c>
      <c r="N257" s="527">
        <f t="shared" si="661"/>
        <v>5128</v>
      </c>
      <c r="O257" s="255">
        <f t="shared" si="662"/>
        <v>5128</v>
      </c>
      <c r="P257" s="527">
        <f t="shared" si="663"/>
        <v>5098</v>
      </c>
      <c r="Q257" s="255">
        <f t="shared" si="664"/>
        <v>5098</v>
      </c>
      <c r="R257" s="527">
        <f t="shared" si="665"/>
        <v>5078</v>
      </c>
      <c r="S257" s="255">
        <f t="shared" si="666"/>
        <v>5078</v>
      </c>
      <c r="T257" s="93">
        <f t="shared" si="667"/>
        <v>5058</v>
      </c>
      <c r="U257" s="234">
        <f t="shared" si="674"/>
        <v>5058</v>
      </c>
      <c r="V257" s="93">
        <f t="shared" si="675"/>
        <v>5038</v>
      </c>
      <c r="W257" s="234">
        <f t="shared" si="676"/>
        <v>5038</v>
      </c>
      <c r="X257" s="693"/>
      <c r="Y257" s="667"/>
      <c r="Z257" s="667"/>
      <c r="AA257" s="669"/>
      <c r="AB257" s="178">
        <v>824</v>
      </c>
    </row>
    <row r="258" spans="1:28" ht="12.6" customHeight="1" x14ac:dyDescent="0.2">
      <c r="A258" s="17"/>
      <c r="B258" s="657" t="s">
        <v>745</v>
      </c>
      <c r="C258" s="633"/>
      <c r="D258" s="633"/>
      <c r="E258" s="633"/>
      <c r="F258" s="324">
        <f>3*X2</f>
        <v>4620</v>
      </c>
      <c r="G258" s="256">
        <f>+F258*$X$1</f>
        <v>4620</v>
      </c>
      <c r="H258" s="536">
        <f t="shared" si="655"/>
        <v>5320</v>
      </c>
      <c r="I258" s="256">
        <f t="shared" si="656"/>
        <v>5320</v>
      </c>
      <c r="J258" s="536">
        <f t="shared" si="657"/>
        <v>4930</v>
      </c>
      <c r="K258" s="256">
        <f t="shared" si="658"/>
        <v>4930</v>
      </c>
      <c r="L258" s="536">
        <f t="shared" si="659"/>
        <v>4860</v>
      </c>
      <c r="M258" s="256">
        <f t="shared" si="660"/>
        <v>4860</v>
      </c>
      <c r="N258" s="536">
        <f t="shared" si="661"/>
        <v>4820</v>
      </c>
      <c r="O258" s="256">
        <f t="shared" si="662"/>
        <v>4820</v>
      </c>
      <c r="P258" s="536">
        <f t="shared" si="663"/>
        <v>4790</v>
      </c>
      <c r="Q258" s="256">
        <f t="shared" si="664"/>
        <v>4790</v>
      </c>
      <c r="R258" s="536">
        <f t="shared" si="665"/>
        <v>4770</v>
      </c>
      <c r="S258" s="256">
        <f t="shared" si="666"/>
        <v>4770</v>
      </c>
      <c r="T258" s="92">
        <f t="shared" si="667"/>
        <v>4750</v>
      </c>
      <c r="U258" s="269">
        <f t="shared" si="674"/>
        <v>4750</v>
      </c>
      <c r="V258" s="92">
        <f t="shared" si="675"/>
        <v>4730</v>
      </c>
      <c r="W258" s="269">
        <f t="shared" si="676"/>
        <v>4730</v>
      </c>
      <c r="X258" s="693"/>
      <c r="Y258" s="667"/>
      <c r="Z258" s="667"/>
      <c r="AA258" s="669"/>
      <c r="AB258" s="178">
        <v>825</v>
      </c>
    </row>
    <row r="259" spans="1:28" ht="12.6" customHeight="1" x14ac:dyDescent="0.2">
      <c r="A259" s="17"/>
      <c r="B259" s="678" t="s">
        <v>624</v>
      </c>
      <c r="C259" s="679"/>
      <c r="D259" s="679"/>
      <c r="E259" s="679"/>
      <c r="F259" s="323">
        <f>6.3*X2</f>
        <v>9702</v>
      </c>
      <c r="G259" s="255">
        <f>+F259*$X$1</f>
        <v>9702</v>
      </c>
      <c r="H259" s="527">
        <f t="shared" si="655"/>
        <v>10402</v>
      </c>
      <c r="I259" s="255">
        <f t="shared" si="656"/>
        <v>10402</v>
      </c>
      <c r="J259" s="527">
        <f t="shared" si="657"/>
        <v>10012</v>
      </c>
      <c r="K259" s="255">
        <f t="shared" si="658"/>
        <v>10012</v>
      </c>
      <c r="L259" s="527">
        <f t="shared" si="659"/>
        <v>9942</v>
      </c>
      <c r="M259" s="255">
        <f t="shared" si="660"/>
        <v>9942</v>
      </c>
      <c r="N259" s="527">
        <f t="shared" si="661"/>
        <v>9902</v>
      </c>
      <c r="O259" s="255">
        <f t="shared" si="662"/>
        <v>9902</v>
      </c>
      <c r="P259" s="527">
        <f t="shared" si="663"/>
        <v>9872</v>
      </c>
      <c r="Q259" s="255">
        <f t="shared" si="664"/>
        <v>9872</v>
      </c>
      <c r="R259" s="527">
        <f t="shared" si="665"/>
        <v>9852</v>
      </c>
      <c r="S259" s="255">
        <f t="shared" si="666"/>
        <v>9852</v>
      </c>
      <c r="T259" s="93">
        <f t="shared" si="667"/>
        <v>9832</v>
      </c>
      <c r="U259" s="234">
        <f t="shared" si="674"/>
        <v>9832</v>
      </c>
      <c r="V259" s="93">
        <f t="shared" si="675"/>
        <v>9812</v>
      </c>
      <c r="W259" s="234">
        <f t="shared" si="676"/>
        <v>9812</v>
      </c>
      <c r="X259" s="693"/>
      <c r="Y259" s="667"/>
      <c r="Z259" s="667"/>
      <c r="AA259" s="669"/>
      <c r="AB259" s="178">
        <v>826</v>
      </c>
    </row>
    <row r="260" spans="1:28" ht="12.6" customHeight="1" x14ac:dyDescent="0.2">
      <c r="A260" s="17"/>
      <c r="B260" s="636" t="s">
        <v>774</v>
      </c>
      <c r="C260" s="633"/>
      <c r="D260" s="633"/>
      <c r="E260" s="633"/>
      <c r="F260" s="324">
        <f>2.9*X2</f>
        <v>4466</v>
      </c>
      <c r="G260" s="256">
        <f t="shared" ref="G260" si="679">+F260*$X$1</f>
        <v>4466</v>
      </c>
      <c r="H260" s="536">
        <f t="shared" si="655"/>
        <v>5166</v>
      </c>
      <c r="I260" s="256">
        <f t="shared" si="656"/>
        <v>5166</v>
      </c>
      <c r="J260" s="536">
        <f t="shared" si="657"/>
        <v>4776</v>
      </c>
      <c r="K260" s="256">
        <f t="shared" si="658"/>
        <v>4776</v>
      </c>
      <c r="L260" s="536">
        <f t="shared" si="659"/>
        <v>4706</v>
      </c>
      <c r="M260" s="256">
        <f t="shared" si="660"/>
        <v>4706</v>
      </c>
      <c r="N260" s="536">
        <f t="shared" si="661"/>
        <v>4666</v>
      </c>
      <c r="O260" s="256">
        <f t="shared" si="662"/>
        <v>4666</v>
      </c>
      <c r="P260" s="536">
        <f t="shared" si="663"/>
        <v>4636</v>
      </c>
      <c r="Q260" s="256">
        <f t="shared" si="664"/>
        <v>4636</v>
      </c>
      <c r="R260" s="536">
        <f t="shared" si="665"/>
        <v>4616</v>
      </c>
      <c r="S260" s="256">
        <f t="shared" si="666"/>
        <v>4616</v>
      </c>
      <c r="T260" s="92">
        <f t="shared" si="667"/>
        <v>4596</v>
      </c>
      <c r="U260" s="269">
        <f t="shared" si="674"/>
        <v>4596</v>
      </c>
      <c r="V260" s="92">
        <f t="shared" si="675"/>
        <v>4576</v>
      </c>
      <c r="W260" s="269">
        <f t="shared" si="676"/>
        <v>4576</v>
      </c>
      <c r="X260" s="693"/>
      <c r="Y260" s="667"/>
      <c r="Z260" s="667"/>
      <c r="AA260" s="669"/>
      <c r="AB260" s="178">
        <v>827</v>
      </c>
    </row>
    <row r="261" spans="1:28" ht="12.6" customHeight="1" x14ac:dyDescent="0.2">
      <c r="A261" s="17"/>
      <c r="B261" s="678" t="s">
        <v>625</v>
      </c>
      <c r="C261" s="679"/>
      <c r="D261" s="679"/>
      <c r="E261" s="679"/>
      <c r="F261" s="323">
        <f>5.9*X2</f>
        <v>9086</v>
      </c>
      <c r="G261" s="255">
        <f>+F261*$X$1</f>
        <v>9086</v>
      </c>
      <c r="H261" s="527">
        <f t="shared" si="655"/>
        <v>9786</v>
      </c>
      <c r="I261" s="255">
        <f t="shared" si="656"/>
        <v>9786</v>
      </c>
      <c r="J261" s="527">
        <f t="shared" si="657"/>
        <v>9396</v>
      </c>
      <c r="K261" s="255">
        <f t="shared" si="658"/>
        <v>9396</v>
      </c>
      <c r="L261" s="527">
        <f t="shared" si="659"/>
        <v>9326</v>
      </c>
      <c r="M261" s="255">
        <f t="shared" si="660"/>
        <v>9326</v>
      </c>
      <c r="N261" s="527">
        <f t="shared" si="661"/>
        <v>9286</v>
      </c>
      <c r="O261" s="255">
        <f t="shared" si="662"/>
        <v>9286</v>
      </c>
      <c r="P261" s="527">
        <f t="shared" si="663"/>
        <v>9256</v>
      </c>
      <c r="Q261" s="255">
        <f t="shared" si="664"/>
        <v>9256</v>
      </c>
      <c r="R261" s="527">
        <f t="shared" si="665"/>
        <v>9236</v>
      </c>
      <c r="S261" s="255">
        <f t="shared" si="666"/>
        <v>9236</v>
      </c>
      <c r="T261" s="93">
        <f t="shared" si="667"/>
        <v>9216</v>
      </c>
      <c r="U261" s="234">
        <f t="shared" si="674"/>
        <v>9216</v>
      </c>
      <c r="V261" s="93">
        <f t="shared" si="675"/>
        <v>9196</v>
      </c>
      <c r="W261" s="234">
        <f t="shared" si="676"/>
        <v>9196</v>
      </c>
      <c r="X261" s="693"/>
      <c r="Y261" s="667"/>
      <c r="Z261" s="667"/>
      <c r="AA261" s="669"/>
      <c r="AB261" s="178">
        <v>828</v>
      </c>
    </row>
    <row r="262" spans="1:28" ht="12.6" customHeight="1" x14ac:dyDescent="0.2">
      <c r="A262" s="17"/>
      <c r="B262" s="657" t="s">
        <v>562</v>
      </c>
      <c r="C262" s="633"/>
      <c r="D262" s="633"/>
      <c r="E262" s="633"/>
      <c r="F262" s="324">
        <f>3.612*X2</f>
        <v>5562.4800000000005</v>
      </c>
      <c r="G262" s="256">
        <f>+F262*$X$1</f>
        <v>5562.4800000000005</v>
      </c>
      <c r="H262" s="536">
        <f t="shared" si="655"/>
        <v>6262.4800000000005</v>
      </c>
      <c r="I262" s="256">
        <f t="shared" si="656"/>
        <v>6262.4800000000005</v>
      </c>
      <c r="J262" s="536">
        <f t="shared" si="657"/>
        <v>5872.4800000000005</v>
      </c>
      <c r="K262" s="256">
        <f t="shared" si="658"/>
        <v>5872.4800000000005</v>
      </c>
      <c r="L262" s="536">
        <f t="shared" si="659"/>
        <v>5802.4800000000005</v>
      </c>
      <c r="M262" s="256">
        <f t="shared" si="660"/>
        <v>5802.4800000000005</v>
      </c>
      <c r="N262" s="536">
        <f t="shared" si="661"/>
        <v>5762.4800000000005</v>
      </c>
      <c r="O262" s="256">
        <f t="shared" si="662"/>
        <v>5762.4800000000005</v>
      </c>
      <c r="P262" s="536">
        <f t="shared" si="663"/>
        <v>5732.4800000000005</v>
      </c>
      <c r="Q262" s="256">
        <f t="shared" si="664"/>
        <v>5732.4800000000005</v>
      </c>
      <c r="R262" s="536">
        <f t="shared" si="665"/>
        <v>5712.4800000000005</v>
      </c>
      <c r="S262" s="256">
        <f t="shared" si="666"/>
        <v>5712.4800000000005</v>
      </c>
      <c r="T262" s="92">
        <f t="shared" si="667"/>
        <v>5692.4800000000005</v>
      </c>
      <c r="U262" s="269">
        <f t="shared" si="674"/>
        <v>5692.4800000000005</v>
      </c>
      <c r="V262" s="92">
        <f t="shared" si="675"/>
        <v>5672.4800000000005</v>
      </c>
      <c r="W262" s="269">
        <f t="shared" si="676"/>
        <v>5672.4800000000005</v>
      </c>
      <c r="X262" s="693"/>
      <c r="Y262" s="667"/>
      <c r="Z262" s="667"/>
      <c r="AA262" s="669"/>
      <c r="AB262" s="178">
        <v>829</v>
      </c>
    </row>
    <row r="263" spans="1:28" ht="12.6" customHeight="1" x14ac:dyDescent="0.2">
      <c r="A263" s="17"/>
      <c r="B263" s="678" t="s">
        <v>746</v>
      </c>
      <c r="C263" s="679"/>
      <c r="D263" s="679"/>
      <c r="E263" s="679"/>
      <c r="F263" s="323">
        <f>5.7*X2</f>
        <v>8778</v>
      </c>
      <c r="G263" s="255">
        <f>+F263*$X$1</f>
        <v>8778</v>
      </c>
      <c r="H263" s="527">
        <f t="shared" si="655"/>
        <v>9478</v>
      </c>
      <c r="I263" s="255">
        <f t="shared" si="656"/>
        <v>9478</v>
      </c>
      <c r="J263" s="527">
        <f t="shared" si="657"/>
        <v>9088</v>
      </c>
      <c r="K263" s="255">
        <f t="shared" si="658"/>
        <v>9088</v>
      </c>
      <c r="L263" s="527">
        <f t="shared" si="659"/>
        <v>9018</v>
      </c>
      <c r="M263" s="255">
        <f t="shared" si="660"/>
        <v>9018</v>
      </c>
      <c r="N263" s="527">
        <f t="shared" si="661"/>
        <v>8978</v>
      </c>
      <c r="O263" s="255">
        <f t="shared" si="662"/>
        <v>8978</v>
      </c>
      <c r="P263" s="527">
        <f t="shared" si="663"/>
        <v>8948</v>
      </c>
      <c r="Q263" s="255">
        <f t="shared" si="664"/>
        <v>8948</v>
      </c>
      <c r="R263" s="527">
        <f t="shared" si="665"/>
        <v>8928</v>
      </c>
      <c r="S263" s="255">
        <f t="shared" si="666"/>
        <v>8928</v>
      </c>
      <c r="T263" s="93">
        <f t="shared" si="667"/>
        <v>8908</v>
      </c>
      <c r="U263" s="234">
        <f t="shared" si="674"/>
        <v>8908</v>
      </c>
      <c r="V263" s="93">
        <f t="shared" si="675"/>
        <v>8888</v>
      </c>
      <c r="W263" s="234">
        <f t="shared" si="676"/>
        <v>8888</v>
      </c>
      <c r="X263" s="693"/>
      <c r="Y263" s="667"/>
      <c r="Z263" s="667"/>
      <c r="AA263" s="669"/>
      <c r="AB263" s="178">
        <v>831</v>
      </c>
    </row>
    <row r="264" spans="1:28" ht="12.6" customHeight="1" x14ac:dyDescent="0.2">
      <c r="A264" s="17"/>
      <c r="B264" s="657" t="s">
        <v>876</v>
      </c>
      <c r="C264" s="633"/>
      <c r="D264" s="633"/>
      <c r="E264" s="633"/>
      <c r="F264" s="324">
        <f>2.1*X2</f>
        <v>3234</v>
      </c>
      <c r="G264" s="256">
        <f t="shared" ref="G264" si="680">+F264*$X$1</f>
        <v>3234</v>
      </c>
      <c r="H264" s="536">
        <f t="shared" ref="H264:H265" si="681">F264+700</f>
        <v>3934</v>
      </c>
      <c r="I264" s="256">
        <f t="shared" ref="I264:I265" si="682">+H264*$X$1</f>
        <v>3934</v>
      </c>
      <c r="J264" s="536">
        <f t="shared" ref="J264:J265" si="683">F264+310</f>
        <v>3544</v>
      </c>
      <c r="K264" s="256">
        <f t="shared" ref="K264:K265" si="684">+J264*$X$1</f>
        <v>3544</v>
      </c>
      <c r="L264" s="536"/>
      <c r="M264" s="256"/>
      <c r="N264" s="536"/>
      <c r="O264" s="256"/>
      <c r="P264" s="536"/>
      <c r="Q264" s="256"/>
      <c r="R264" s="536"/>
      <c r="S264" s="256"/>
      <c r="T264" s="92"/>
      <c r="U264" s="269"/>
      <c r="V264" s="92"/>
      <c r="W264" s="269"/>
      <c r="X264" s="693"/>
      <c r="Y264" s="667"/>
      <c r="Z264" s="667"/>
      <c r="AA264" s="669"/>
      <c r="AB264" s="178">
        <v>832</v>
      </c>
    </row>
    <row r="265" spans="1:28" ht="12.6" customHeight="1" x14ac:dyDescent="0.2">
      <c r="A265" s="17"/>
      <c r="B265" s="678" t="s">
        <v>514</v>
      </c>
      <c r="C265" s="679"/>
      <c r="D265" s="679"/>
      <c r="E265" s="679"/>
      <c r="F265" s="323">
        <f>11.8*X2</f>
        <v>18172</v>
      </c>
      <c r="G265" s="255">
        <f t="shared" ref="G265" si="685">+F265*$X$1</f>
        <v>18172</v>
      </c>
      <c r="H265" s="527">
        <f t="shared" si="681"/>
        <v>18872</v>
      </c>
      <c r="I265" s="255">
        <f t="shared" si="682"/>
        <v>18872</v>
      </c>
      <c r="J265" s="527">
        <f t="shared" si="683"/>
        <v>18482</v>
      </c>
      <c r="K265" s="255">
        <f t="shared" si="684"/>
        <v>18482</v>
      </c>
      <c r="L265" s="527">
        <f t="shared" ref="L265" si="686">F265+240</f>
        <v>18412</v>
      </c>
      <c r="M265" s="255">
        <f t="shared" ref="M265" si="687">+L265*$X$1</f>
        <v>18412</v>
      </c>
      <c r="N265" s="527">
        <f t="shared" ref="N265" si="688">F265+200</f>
        <v>18372</v>
      </c>
      <c r="O265" s="255">
        <f t="shared" ref="O265" si="689">+N265*$X$1</f>
        <v>18372</v>
      </c>
      <c r="P265" s="527">
        <f t="shared" ref="P265" si="690">F265+170</f>
        <v>18342</v>
      </c>
      <c r="Q265" s="255">
        <f t="shared" ref="Q265" si="691">+P265*$X$1</f>
        <v>18342</v>
      </c>
      <c r="R265" s="527">
        <f t="shared" ref="R265" si="692">F265+150</f>
        <v>18322</v>
      </c>
      <c r="S265" s="255">
        <f t="shared" ref="S265" si="693">+R265*$X$1</f>
        <v>18322</v>
      </c>
      <c r="T265" s="93">
        <f t="shared" ref="T265:T270" si="694">F265+130</f>
        <v>18302</v>
      </c>
      <c r="U265" s="234">
        <f t="shared" si="674"/>
        <v>18302</v>
      </c>
      <c r="V265" s="93">
        <f t="shared" si="675"/>
        <v>18282</v>
      </c>
      <c r="W265" s="234">
        <f t="shared" si="676"/>
        <v>18282</v>
      </c>
      <c r="X265" s="693"/>
      <c r="Y265" s="667"/>
      <c r="Z265" s="667"/>
      <c r="AA265" s="669"/>
      <c r="AB265" s="178">
        <v>833</v>
      </c>
    </row>
    <row r="266" spans="1:28" ht="12.6" customHeight="1" x14ac:dyDescent="0.2">
      <c r="A266" s="17"/>
      <c r="B266" s="630" t="s">
        <v>558</v>
      </c>
      <c r="C266" s="631"/>
      <c r="D266" s="631"/>
      <c r="E266" s="631"/>
      <c r="F266" s="455">
        <f>5.4*X2</f>
        <v>8316</v>
      </c>
      <c r="G266" s="451">
        <f t="shared" ref="G266" si="695">+F266*$X$1</f>
        <v>8316</v>
      </c>
      <c r="H266" s="581">
        <f t="shared" ref="H266:H270" si="696">F266+700</f>
        <v>9016</v>
      </c>
      <c r="I266" s="451">
        <f t="shared" ref="I266:I270" si="697">+H266*$X$1</f>
        <v>9016</v>
      </c>
      <c r="J266" s="581">
        <f t="shared" ref="J266:J270" si="698">F266+310</f>
        <v>8626</v>
      </c>
      <c r="K266" s="451">
        <f t="shared" ref="K266:K270" si="699">+J266*$X$1</f>
        <v>8626</v>
      </c>
      <c r="L266" s="581">
        <f t="shared" ref="L266:L270" si="700">F266+240</f>
        <v>8556</v>
      </c>
      <c r="M266" s="451">
        <f t="shared" ref="M266:M270" si="701">+L266*$X$1</f>
        <v>8556</v>
      </c>
      <c r="N266" s="581">
        <f t="shared" ref="N266:N270" si="702">F266+200</f>
        <v>8516</v>
      </c>
      <c r="O266" s="451">
        <f t="shared" ref="O266:O270" si="703">+N266*$X$1</f>
        <v>8516</v>
      </c>
      <c r="P266" s="581">
        <f t="shared" ref="P266:P270" si="704">F266+170</f>
        <v>8486</v>
      </c>
      <c r="Q266" s="451">
        <f t="shared" ref="Q266:Q270" si="705">+P266*$X$1</f>
        <v>8486</v>
      </c>
      <c r="R266" s="581">
        <f t="shared" ref="R266:R270" si="706">F266+150</f>
        <v>8466</v>
      </c>
      <c r="S266" s="451">
        <f t="shared" ref="S266:S270" si="707">+R266*$X$1</f>
        <v>8466</v>
      </c>
      <c r="T266" s="522">
        <f t="shared" si="694"/>
        <v>8446</v>
      </c>
      <c r="U266" s="521">
        <f t="shared" si="674"/>
        <v>8446</v>
      </c>
      <c r="V266" s="522">
        <f t="shared" si="675"/>
        <v>8426</v>
      </c>
      <c r="W266" s="521">
        <f t="shared" si="676"/>
        <v>8426</v>
      </c>
      <c r="X266" s="693"/>
      <c r="Y266" s="667"/>
      <c r="Z266" s="667"/>
      <c r="AA266" s="669"/>
      <c r="AB266" s="178">
        <v>834</v>
      </c>
    </row>
    <row r="267" spans="1:28" ht="12.6" customHeight="1" x14ac:dyDescent="0.2">
      <c r="A267" s="17"/>
      <c r="B267" s="678" t="s">
        <v>560</v>
      </c>
      <c r="C267" s="679"/>
      <c r="D267" s="679"/>
      <c r="E267" s="679"/>
      <c r="F267" s="323">
        <f>7.2*X2</f>
        <v>11088</v>
      </c>
      <c r="G267" s="255">
        <f>+F267*$X$1</f>
        <v>11088</v>
      </c>
      <c r="H267" s="527">
        <f t="shared" si="696"/>
        <v>11788</v>
      </c>
      <c r="I267" s="255">
        <f t="shared" si="697"/>
        <v>11788</v>
      </c>
      <c r="J267" s="527">
        <f t="shared" si="698"/>
        <v>11398</v>
      </c>
      <c r="K267" s="255">
        <f t="shared" si="699"/>
        <v>11398</v>
      </c>
      <c r="L267" s="527">
        <f t="shared" si="700"/>
        <v>11328</v>
      </c>
      <c r="M267" s="255">
        <f t="shared" si="701"/>
        <v>11328</v>
      </c>
      <c r="N267" s="527">
        <f t="shared" si="702"/>
        <v>11288</v>
      </c>
      <c r="O267" s="255">
        <f t="shared" si="703"/>
        <v>11288</v>
      </c>
      <c r="P267" s="527">
        <f t="shared" si="704"/>
        <v>11258</v>
      </c>
      <c r="Q267" s="255">
        <f t="shared" si="705"/>
        <v>11258</v>
      </c>
      <c r="R267" s="527">
        <f t="shared" si="706"/>
        <v>11238</v>
      </c>
      <c r="S267" s="255">
        <f t="shared" si="707"/>
        <v>11238</v>
      </c>
      <c r="T267" s="93">
        <f t="shared" si="694"/>
        <v>11218</v>
      </c>
      <c r="U267" s="234">
        <f t="shared" si="674"/>
        <v>11218</v>
      </c>
      <c r="V267" s="93">
        <f t="shared" si="675"/>
        <v>11198</v>
      </c>
      <c r="W267" s="234">
        <f t="shared" si="676"/>
        <v>11198</v>
      </c>
      <c r="X267" s="693"/>
      <c r="Y267" s="667"/>
      <c r="Z267" s="667"/>
      <c r="AA267" s="669"/>
      <c r="AB267" s="178">
        <v>836</v>
      </c>
    </row>
    <row r="268" spans="1:28" ht="12.6" customHeight="1" x14ac:dyDescent="0.2">
      <c r="A268" s="17"/>
      <c r="B268" s="636" t="s">
        <v>767</v>
      </c>
      <c r="C268" s="633"/>
      <c r="D268" s="633"/>
      <c r="E268" s="633"/>
      <c r="F268" s="324">
        <f>4.8*X2</f>
        <v>7392</v>
      </c>
      <c r="G268" s="256">
        <f t="shared" ref="G268" si="708">+F268*$X$1</f>
        <v>7392</v>
      </c>
      <c r="H268" s="536">
        <f t="shared" si="696"/>
        <v>8092</v>
      </c>
      <c r="I268" s="256">
        <f t="shared" si="697"/>
        <v>8092</v>
      </c>
      <c r="J268" s="536">
        <f t="shared" si="698"/>
        <v>7702</v>
      </c>
      <c r="K268" s="256">
        <f t="shared" si="699"/>
        <v>7702</v>
      </c>
      <c r="L268" s="536">
        <f t="shared" si="700"/>
        <v>7632</v>
      </c>
      <c r="M268" s="256">
        <f t="shared" si="701"/>
        <v>7632</v>
      </c>
      <c r="N268" s="536">
        <f t="shared" si="702"/>
        <v>7592</v>
      </c>
      <c r="O268" s="256">
        <f t="shared" si="703"/>
        <v>7592</v>
      </c>
      <c r="P268" s="536">
        <f t="shared" si="704"/>
        <v>7562</v>
      </c>
      <c r="Q268" s="256">
        <f t="shared" si="705"/>
        <v>7562</v>
      </c>
      <c r="R268" s="536">
        <f t="shared" si="706"/>
        <v>7542</v>
      </c>
      <c r="S268" s="256">
        <f t="shared" si="707"/>
        <v>7542</v>
      </c>
      <c r="T268" s="92">
        <f t="shared" si="694"/>
        <v>7522</v>
      </c>
      <c r="U268" s="269">
        <f t="shared" si="674"/>
        <v>7522</v>
      </c>
      <c r="V268" s="92">
        <f t="shared" si="675"/>
        <v>7502</v>
      </c>
      <c r="W268" s="269">
        <f t="shared" si="676"/>
        <v>7502</v>
      </c>
      <c r="X268" s="693"/>
      <c r="Y268" s="667"/>
      <c r="Z268" s="667"/>
      <c r="AA268" s="669"/>
      <c r="AB268" s="178">
        <v>837</v>
      </c>
    </row>
    <row r="269" spans="1:28" ht="12.6" customHeight="1" x14ac:dyDescent="0.2">
      <c r="A269" s="17"/>
      <c r="B269" s="645" t="s">
        <v>866</v>
      </c>
      <c r="C269" s="698"/>
      <c r="D269" s="698"/>
      <c r="E269" s="698"/>
      <c r="F269" s="323">
        <f>7.98*X2</f>
        <v>12289.2</v>
      </c>
      <c r="G269" s="255">
        <f t="shared" ref="G269" si="709">+F269*$X$1</f>
        <v>12289.2</v>
      </c>
      <c r="H269" s="527">
        <f t="shared" si="696"/>
        <v>12989.2</v>
      </c>
      <c r="I269" s="255">
        <f t="shared" si="697"/>
        <v>12989.2</v>
      </c>
      <c r="J269" s="527">
        <f t="shared" si="698"/>
        <v>12599.2</v>
      </c>
      <c r="K269" s="255">
        <f t="shared" si="699"/>
        <v>12599.2</v>
      </c>
      <c r="L269" s="527">
        <f t="shared" si="700"/>
        <v>12529.2</v>
      </c>
      <c r="M269" s="255">
        <f t="shared" si="701"/>
        <v>12529.2</v>
      </c>
      <c r="N269" s="527">
        <f t="shared" si="702"/>
        <v>12489.2</v>
      </c>
      <c r="O269" s="255">
        <f t="shared" si="703"/>
        <v>12489.2</v>
      </c>
      <c r="P269" s="527">
        <f t="shared" si="704"/>
        <v>12459.2</v>
      </c>
      <c r="Q269" s="255">
        <f t="shared" si="705"/>
        <v>12459.2</v>
      </c>
      <c r="R269" s="527">
        <f t="shared" si="706"/>
        <v>12439.2</v>
      </c>
      <c r="S269" s="255">
        <f t="shared" si="707"/>
        <v>12439.2</v>
      </c>
      <c r="T269" s="93">
        <f t="shared" si="694"/>
        <v>12419.2</v>
      </c>
      <c r="U269" s="234">
        <f t="shared" si="674"/>
        <v>12419.2</v>
      </c>
      <c r="V269" s="93">
        <f t="shared" si="675"/>
        <v>12399.2</v>
      </c>
      <c r="W269" s="234">
        <f t="shared" si="676"/>
        <v>12399.2</v>
      </c>
      <c r="X269" s="693"/>
      <c r="Y269" s="667"/>
      <c r="Z269" s="667"/>
      <c r="AA269" s="669"/>
      <c r="AB269" s="178">
        <v>838</v>
      </c>
    </row>
    <row r="270" spans="1:28" ht="12.6" customHeight="1" x14ac:dyDescent="0.2">
      <c r="A270" s="17"/>
      <c r="B270" s="636" t="s">
        <v>863</v>
      </c>
      <c r="C270" s="633"/>
      <c r="D270" s="633"/>
      <c r="E270" s="633"/>
      <c r="F270" s="324">
        <f>1.9*X2</f>
        <v>2926</v>
      </c>
      <c r="G270" s="256">
        <f t="shared" ref="G270" si="710">+F270*$X$1</f>
        <v>2926</v>
      </c>
      <c r="H270" s="536">
        <f t="shared" si="696"/>
        <v>3626</v>
      </c>
      <c r="I270" s="256">
        <f t="shared" si="697"/>
        <v>3626</v>
      </c>
      <c r="J270" s="536">
        <f t="shared" si="698"/>
        <v>3236</v>
      </c>
      <c r="K270" s="256">
        <f t="shared" si="699"/>
        <v>3236</v>
      </c>
      <c r="L270" s="536">
        <f t="shared" si="700"/>
        <v>3166</v>
      </c>
      <c r="M270" s="256">
        <f t="shared" si="701"/>
        <v>3166</v>
      </c>
      <c r="N270" s="536">
        <f t="shared" si="702"/>
        <v>3126</v>
      </c>
      <c r="O270" s="256">
        <f t="shared" si="703"/>
        <v>3126</v>
      </c>
      <c r="P270" s="536">
        <f t="shared" si="704"/>
        <v>3096</v>
      </c>
      <c r="Q270" s="256">
        <f t="shared" si="705"/>
        <v>3096</v>
      </c>
      <c r="R270" s="536">
        <f t="shared" si="706"/>
        <v>3076</v>
      </c>
      <c r="S270" s="256">
        <f t="shared" si="707"/>
        <v>3076</v>
      </c>
      <c r="T270" s="92">
        <f t="shared" si="694"/>
        <v>3056</v>
      </c>
      <c r="U270" s="269">
        <f t="shared" si="674"/>
        <v>3056</v>
      </c>
      <c r="V270" s="92">
        <f t="shared" si="675"/>
        <v>3036</v>
      </c>
      <c r="W270" s="269">
        <f t="shared" si="676"/>
        <v>3036</v>
      </c>
      <c r="X270" s="693"/>
      <c r="Y270" s="667"/>
      <c r="Z270" s="667"/>
      <c r="AA270" s="669"/>
      <c r="AB270" s="178">
        <v>839</v>
      </c>
    </row>
    <row r="271" spans="1:28" ht="12.6" customHeight="1" x14ac:dyDescent="0.2">
      <c r="A271" s="17"/>
      <c r="B271" s="634" t="s">
        <v>864</v>
      </c>
      <c r="C271" s="679"/>
      <c r="D271" s="679"/>
      <c r="E271" s="679"/>
      <c r="F271" s="323">
        <f>2.4*X2</f>
        <v>3696</v>
      </c>
      <c r="G271" s="255">
        <f t="shared" ref="G271" si="711">+F271*$X$1</f>
        <v>3696</v>
      </c>
      <c r="H271" s="527">
        <f t="shared" ref="H271" si="712">F271+700</f>
        <v>4396</v>
      </c>
      <c r="I271" s="255">
        <f t="shared" ref="I271" si="713">+H271*$X$1</f>
        <v>4396</v>
      </c>
      <c r="J271" s="527">
        <f t="shared" ref="J271" si="714">F271+310</f>
        <v>4006</v>
      </c>
      <c r="K271" s="255">
        <f t="shared" ref="K271" si="715">+J271*$X$1</f>
        <v>4006</v>
      </c>
      <c r="L271" s="527">
        <f t="shared" ref="L271" si="716">F271+240</f>
        <v>3936</v>
      </c>
      <c r="M271" s="255">
        <f t="shared" ref="M271" si="717">+L271*$X$1</f>
        <v>3936</v>
      </c>
      <c r="N271" s="527">
        <f t="shared" ref="N271" si="718">F271+200</f>
        <v>3896</v>
      </c>
      <c r="O271" s="255">
        <f t="shared" ref="O271" si="719">+N271*$X$1</f>
        <v>3896</v>
      </c>
      <c r="P271" s="527"/>
      <c r="Q271" s="255"/>
      <c r="R271" s="527"/>
      <c r="S271" s="255"/>
      <c r="T271" s="93"/>
      <c r="U271" s="234"/>
      <c r="V271" s="93"/>
      <c r="W271" s="234"/>
      <c r="X271" s="693"/>
      <c r="Y271" s="667"/>
      <c r="Z271" s="667"/>
      <c r="AA271" s="669"/>
      <c r="AB271" s="178">
        <v>840</v>
      </c>
    </row>
    <row r="272" spans="1:28" ht="12.6" customHeight="1" x14ac:dyDescent="0.2">
      <c r="A272" s="17"/>
      <c r="B272" s="670" t="s">
        <v>442</v>
      </c>
      <c r="C272" s="726"/>
      <c r="D272" s="726"/>
      <c r="E272" s="726"/>
      <c r="F272" s="325">
        <f>5*X2</f>
        <v>7700</v>
      </c>
      <c r="G272" s="280">
        <f>+F272*$X$1</f>
        <v>7700</v>
      </c>
      <c r="H272" s="536">
        <f t="shared" ref="H272" si="720">F272+700</f>
        <v>8400</v>
      </c>
      <c r="I272" s="256">
        <f t="shared" ref="I272" si="721">+H272*$X$1</f>
        <v>8400</v>
      </c>
      <c r="J272" s="536">
        <f t="shared" ref="J272" si="722">F272+310</f>
        <v>8010</v>
      </c>
      <c r="K272" s="256">
        <f t="shared" ref="K272" si="723">+J272*$X$1</f>
        <v>8010</v>
      </c>
      <c r="L272" s="536">
        <f t="shared" ref="L272" si="724">F272+240</f>
        <v>7940</v>
      </c>
      <c r="M272" s="256">
        <f t="shared" ref="M272" si="725">+L272*$X$1</f>
        <v>7940</v>
      </c>
      <c r="N272" s="536">
        <f t="shared" ref="N272" si="726">F272+200</f>
        <v>7900</v>
      </c>
      <c r="O272" s="256">
        <f t="shared" ref="O272" si="727">+N272*$X$1</f>
        <v>7900</v>
      </c>
      <c r="P272" s="536">
        <f t="shared" ref="P272" si="728">F272+170</f>
        <v>7870</v>
      </c>
      <c r="Q272" s="256">
        <f t="shared" ref="Q272" si="729">+P272*$X$1</f>
        <v>7870</v>
      </c>
      <c r="R272" s="536">
        <f t="shared" ref="R272" si="730">F272+150</f>
        <v>7850</v>
      </c>
      <c r="S272" s="256">
        <f t="shared" ref="S272" si="731">+R272*$X$1</f>
        <v>7850</v>
      </c>
      <c r="T272" s="92">
        <f t="shared" ref="T272" si="732">F272+130</f>
        <v>7830</v>
      </c>
      <c r="U272" s="269">
        <f t="shared" ref="U272" si="733">+T272*$X$1</f>
        <v>7830</v>
      </c>
      <c r="V272" s="92">
        <f t="shared" ref="V272" si="734">F272+110</f>
        <v>7810</v>
      </c>
      <c r="W272" s="269">
        <f t="shared" ref="W272" si="735">+V272*$X$1</f>
        <v>7810</v>
      </c>
      <c r="X272" s="693"/>
      <c r="Y272" s="667"/>
      <c r="Z272" s="667"/>
      <c r="AA272" s="669"/>
      <c r="AB272" s="339">
        <v>916</v>
      </c>
    </row>
    <row r="273" spans="1:33" ht="12.6" customHeight="1" x14ac:dyDescent="0.2">
      <c r="A273" s="17"/>
      <c r="B273" s="678" t="s">
        <v>711</v>
      </c>
      <c r="C273" s="679"/>
      <c r="D273" s="679"/>
      <c r="E273" s="679"/>
      <c r="F273" s="323">
        <f>6.41*X2</f>
        <v>9871.4</v>
      </c>
      <c r="G273" s="255">
        <f>+F273*$X$1</f>
        <v>9871.4</v>
      </c>
      <c r="H273" s="527">
        <f t="shared" ref="H273:H283" si="736">F273+700</f>
        <v>10571.4</v>
      </c>
      <c r="I273" s="255">
        <f t="shared" ref="I273:I283" si="737">+H273*$X$1</f>
        <v>10571.4</v>
      </c>
      <c r="J273" s="527">
        <f t="shared" ref="J273:J283" si="738">F273+310</f>
        <v>10181.4</v>
      </c>
      <c r="K273" s="255">
        <f t="shared" ref="K273:K283" si="739">+J273*$X$1</f>
        <v>10181.4</v>
      </c>
      <c r="L273" s="527">
        <f t="shared" ref="L273:L283" si="740">F273+240</f>
        <v>10111.4</v>
      </c>
      <c r="M273" s="255">
        <f t="shared" ref="M273:M283" si="741">+L273*$X$1</f>
        <v>10111.4</v>
      </c>
      <c r="N273" s="527">
        <f t="shared" ref="N273:N283" si="742">F273+200</f>
        <v>10071.4</v>
      </c>
      <c r="O273" s="255">
        <f t="shared" ref="O273:O283" si="743">+N273*$X$1</f>
        <v>10071.4</v>
      </c>
      <c r="P273" s="527">
        <f t="shared" ref="P273:P283" si="744">F273+170</f>
        <v>10041.4</v>
      </c>
      <c r="Q273" s="255">
        <f t="shared" ref="Q273:Q283" si="745">+P273*$X$1</f>
        <v>10041.4</v>
      </c>
      <c r="R273" s="527">
        <f t="shared" ref="R273:R283" si="746">F273+150</f>
        <v>10021.4</v>
      </c>
      <c r="S273" s="255">
        <f t="shared" ref="S273:S283" si="747">+R273*$X$1</f>
        <v>10021.4</v>
      </c>
      <c r="T273" s="93">
        <f t="shared" ref="T273:T283" si="748">F273+130</f>
        <v>10001.4</v>
      </c>
      <c r="U273" s="234">
        <f t="shared" ref="U273:U283" si="749">+T273*$X$1</f>
        <v>10001.4</v>
      </c>
      <c r="V273" s="93">
        <f t="shared" si="675"/>
        <v>9981.4</v>
      </c>
      <c r="W273" s="234">
        <f t="shared" si="676"/>
        <v>9981.4</v>
      </c>
      <c r="X273" s="693"/>
      <c r="Y273" s="667"/>
      <c r="Z273" s="667"/>
      <c r="AA273" s="669"/>
      <c r="AB273" s="178">
        <v>917</v>
      </c>
    </row>
    <row r="274" spans="1:33" ht="12.6" customHeight="1" x14ac:dyDescent="0.2">
      <c r="A274" s="17"/>
      <c r="B274" s="630" t="s">
        <v>178</v>
      </c>
      <c r="C274" s="631"/>
      <c r="D274" s="631"/>
      <c r="E274" s="631"/>
      <c r="F274" s="455">
        <f>4.8*X2</f>
        <v>7392</v>
      </c>
      <c r="G274" s="451">
        <f>+F274*$X$1</f>
        <v>7392</v>
      </c>
      <c r="H274" s="581">
        <f t="shared" si="736"/>
        <v>8092</v>
      </c>
      <c r="I274" s="451">
        <f t="shared" si="737"/>
        <v>8092</v>
      </c>
      <c r="J274" s="581">
        <f t="shared" si="738"/>
        <v>7702</v>
      </c>
      <c r="K274" s="451">
        <f t="shared" si="739"/>
        <v>7702</v>
      </c>
      <c r="L274" s="581">
        <f t="shared" si="740"/>
        <v>7632</v>
      </c>
      <c r="M274" s="451">
        <f t="shared" si="741"/>
        <v>7632</v>
      </c>
      <c r="N274" s="581">
        <f t="shared" si="742"/>
        <v>7592</v>
      </c>
      <c r="O274" s="451">
        <f t="shared" si="743"/>
        <v>7592</v>
      </c>
      <c r="P274" s="581">
        <f t="shared" si="744"/>
        <v>7562</v>
      </c>
      <c r="Q274" s="451">
        <f t="shared" si="745"/>
        <v>7562</v>
      </c>
      <c r="R274" s="581">
        <f t="shared" si="746"/>
        <v>7542</v>
      </c>
      <c r="S274" s="451">
        <f t="shared" si="747"/>
        <v>7542</v>
      </c>
      <c r="T274" s="522">
        <f t="shared" si="748"/>
        <v>7522</v>
      </c>
      <c r="U274" s="521">
        <f t="shared" si="749"/>
        <v>7522</v>
      </c>
      <c r="V274" s="522">
        <f t="shared" si="675"/>
        <v>7502</v>
      </c>
      <c r="W274" s="521">
        <f t="shared" si="676"/>
        <v>7502</v>
      </c>
      <c r="X274" s="989"/>
      <c r="Y274" s="990"/>
      <c r="Z274" s="990"/>
      <c r="AA274" s="991"/>
      <c r="AB274" s="350">
        <v>918</v>
      </c>
    </row>
    <row r="275" spans="1:33" ht="12.6" customHeight="1" x14ac:dyDescent="0.2">
      <c r="A275" s="17"/>
      <c r="B275" s="678" t="s">
        <v>391</v>
      </c>
      <c r="C275" s="679"/>
      <c r="D275" s="679"/>
      <c r="E275" s="679"/>
      <c r="F275" s="323">
        <f>6.6*X2</f>
        <v>10164</v>
      </c>
      <c r="G275" s="255">
        <f>+F275*$X$1</f>
        <v>10164</v>
      </c>
      <c r="H275" s="527">
        <f t="shared" si="736"/>
        <v>10864</v>
      </c>
      <c r="I275" s="255">
        <f t="shared" si="737"/>
        <v>10864</v>
      </c>
      <c r="J275" s="527">
        <f t="shared" si="738"/>
        <v>10474</v>
      </c>
      <c r="K275" s="255">
        <f t="shared" si="739"/>
        <v>10474</v>
      </c>
      <c r="L275" s="527">
        <f t="shared" si="740"/>
        <v>10404</v>
      </c>
      <c r="M275" s="255">
        <f t="shared" si="741"/>
        <v>10404</v>
      </c>
      <c r="N275" s="527">
        <f t="shared" si="742"/>
        <v>10364</v>
      </c>
      <c r="O275" s="255">
        <f t="shared" si="743"/>
        <v>10364</v>
      </c>
      <c r="P275" s="527">
        <f t="shared" si="744"/>
        <v>10334</v>
      </c>
      <c r="Q275" s="255">
        <f t="shared" si="745"/>
        <v>10334</v>
      </c>
      <c r="R275" s="527">
        <f t="shared" si="746"/>
        <v>10314</v>
      </c>
      <c r="S275" s="255">
        <f t="shared" si="747"/>
        <v>10314</v>
      </c>
      <c r="T275" s="93">
        <f t="shared" si="748"/>
        <v>10294</v>
      </c>
      <c r="U275" s="234">
        <f t="shared" si="749"/>
        <v>10294</v>
      </c>
      <c r="V275" s="93">
        <f t="shared" si="675"/>
        <v>10274</v>
      </c>
      <c r="W275" s="234">
        <f t="shared" si="676"/>
        <v>10274</v>
      </c>
      <c r="X275" s="693"/>
      <c r="Y275" s="668"/>
      <c r="Z275" s="668"/>
      <c r="AA275" s="669"/>
      <c r="AB275" s="178">
        <v>919</v>
      </c>
    </row>
    <row r="276" spans="1:33" ht="12.6" customHeight="1" x14ac:dyDescent="0.2">
      <c r="A276" s="17"/>
      <c r="B276" s="657" t="s">
        <v>728</v>
      </c>
      <c r="C276" s="633"/>
      <c r="D276" s="633"/>
      <c r="E276" s="633"/>
      <c r="F276" s="324">
        <f>4.6*X2</f>
        <v>7083.9999999999991</v>
      </c>
      <c r="G276" s="256">
        <f t="shared" ref="G276" si="750">+F276*$X$1</f>
        <v>7083.9999999999991</v>
      </c>
      <c r="H276" s="536">
        <f t="shared" si="736"/>
        <v>7783.9999999999991</v>
      </c>
      <c r="I276" s="256">
        <f t="shared" si="737"/>
        <v>7783.9999999999991</v>
      </c>
      <c r="J276" s="536">
        <f t="shared" si="738"/>
        <v>7393.9999999999991</v>
      </c>
      <c r="K276" s="256">
        <f t="shared" si="739"/>
        <v>7393.9999999999991</v>
      </c>
      <c r="L276" s="536">
        <f t="shared" si="740"/>
        <v>7323.9999999999991</v>
      </c>
      <c r="M276" s="256">
        <f t="shared" si="741"/>
        <v>7323.9999999999991</v>
      </c>
      <c r="N276" s="536">
        <f t="shared" si="742"/>
        <v>7283.9999999999991</v>
      </c>
      <c r="O276" s="256">
        <f t="shared" si="743"/>
        <v>7283.9999999999991</v>
      </c>
      <c r="P276" s="536">
        <f t="shared" si="744"/>
        <v>7253.9999999999991</v>
      </c>
      <c r="Q276" s="256">
        <f t="shared" si="745"/>
        <v>7253.9999999999991</v>
      </c>
      <c r="R276" s="536">
        <f t="shared" si="746"/>
        <v>7233.9999999999991</v>
      </c>
      <c r="S276" s="256">
        <f t="shared" si="747"/>
        <v>7233.9999999999991</v>
      </c>
      <c r="T276" s="92">
        <f t="shared" si="748"/>
        <v>7213.9999999999991</v>
      </c>
      <c r="U276" s="269">
        <f t="shared" si="749"/>
        <v>7213.9999999999991</v>
      </c>
      <c r="V276" s="92">
        <f t="shared" si="675"/>
        <v>7193.9999999999991</v>
      </c>
      <c r="W276" s="269">
        <f t="shared" si="676"/>
        <v>7193.9999999999991</v>
      </c>
      <c r="X276" s="693"/>
      <c r="Y276" s="667"/>
      <c r="Z276" s="667"/>
      <c r="AA276" s="669"/>
      <c r="AB276" s="178">
        <v>920</v>
      </c>
    </row>
    <row r="277" spans="1:33" ht="12.6" customHeight="1" x14ac:dyDescent="0.2">
      <c r="A277" s="17"/>
      <c r="B277" s="678" t="s">
        <v>727</v>
      </c>
      <c r="C277" s="679"/>
      <c r="D277" s="679"/>
      <c r="E277" s="679"/>
      <c r="F277" s="323">
        <f>4.6*X2</f>
        <v>7083.9999999999991</v>
      </c>
      <c r="G277" s="255">
        <f t="shared" ref="G277" si="751">+F277*$X$1</f>
        <v>7083.9999999999991</v>
      </c>
      <c r="H277" s="527">
        <f t="shared" si="736"/>
        <v>7783.9999999999991</v>
      </c>
      <c r="I277" s="255">
        <f t="shared" si="737"/>
        <v>7783.9999999999991</v>
      </c>
      <c r="J277" s="527">
        <f t="shared" si="738"/>
        <v>7393.9999999999991</v>
      </c>
      <c r="K277" s="255">
        <f t="shared" si="739"/>
        <v>7393.9999999999991</v>
      </c>
      <c r="L277" s="527">
        <f t="shared" si="740"/>
        <v>7323.9999999999991</v>
      </c>
      <c r="M277" s="255">
        <f t="shared" si="741"/>
        <v>7323.9999999999991</v>
      </c>
      <c r="N277" s="527">
        <f t="shared" si="742"/>
        <v>7283.9999999999991</v>
      </c>
      <c r="O277" s="255">
        <f t="shared" si="743"/>
        <v>7283.9999999999991</v>
      </c>
      <c r="P277" s="527">
        <f t="shared" si="744"/>
        <v>7253.9999999999991</v>
      </c>
      <c r="Q277" s="255">
        <f t="shared" si="745"/>
        <v>7253.9999999999991</v>
      </c>
      <c r="R277" s="527">
        <f t="shared" si="746"/>
        <v>7233.9999999999991</v>
      </c>
      <c r="S277" s="255">
        <f t="shared" si="747"/>
        <v>7233.9999999999991</v>
      </c>
      <c r="T277" s="93">
        <f t="shared" si="748"/>
        <v>7213.9999999999991</v>
      </c>
      <c r="U277" s="234">
        <f t="shared" si="749"/>
        <v>7213.9999999999991</v>
      </c>
      <c r="V277" s="93">
        <f t="shared" si="675"/>
        <v>7193.9999999999991</v>
      </c>
      <c r="W277" s="234">
        <f t="shared" si="676"/>
        <v>7193.9999999999991</v>
      </c>
      <c r="X277" s="693"/>
      <c r="Y277" s="667"/>
      <c r="Z277" s="667"/>
      <c r="AA277" s="669"/>
      <c r="AB277" s="178" t="s">
        <v>729</v>
      </c>
    </row>
    <row r="278" spans="1:33" ht="12.6" customHeight="1" x14ac:dyDescent="0.2">
      <c r="A278" s="17"/>
      <c r="B278" s="657" t="s">
        <v>768</v>
      </c>
      <c r="C278" s="633"/>
      <c r="D278" s="633"/>
      <c r="E278" s="633"/>
      <c r="F278" s="324">
        <f>7.36*X2</f>
        <v>11334.4</v>
      </c>
      <c r="G278" s="256">
        <f t="shared" ref="G278:G280" si="752">+F278*$X$1</f>
        <v>11334.4</v>
      </c>
      <c r="H278" s="536">
        <f t="shared" si="736"/>
        <v>12034.4</v>
      </c>
      <c r="I278" s="256">
        <f t="shared" si="737"/>
        <v>12034.4</v>
      </c>
      <c r="J278" s="536">
        <f t="shared" si="738"/>
        <v>11644.4</v>
      </c>
      <c r="K278" s="256">
        <f t="shared" si="739"/>
        <v>11644.4</v>
      </c>
      <c r="L278" s="536">
        <f t="shared" si="740"/>
        <v>11574.4</v>
      </c>
      <c r="M278" s="256">
        <f t="shared" si="741"/>
        <v>11574.4</v>
      </c>
      <c r="N278" s="536">
        <f t="shared" si="742"/>
        <v>11534.4</v>
      </c>
      <c r="O278" s="256">
        <f t="shared" si="743"/>
        <v>11534.4</v>
      </c>
      <c r="P278" s="536">
        <f t="shared" si="744"/>
        <v>11504.4</v>
      </c>
      <c r="Q278" s="256">
        <f t="shared" si="745"/>
        <v>11504.4</v>
      </c>
      <c r="R278" s="536">
        <f t="shared" si="746"/>
        <v>11484.4</v>
      </c>
      <c r="S278" s="256">
        <f t="shared" si="747"/>
        <v>11484.4</v>
      </c>
      <c r="T278" s="92">
        <f t="shared" si="748"/>
        <v>11464.4</v>
      </c>
      <c r="U278" s="269">
        <f t="shared" si="749"/>
        <v>11464.4</v>
      </c>
      <c r="V278" s="92">
        <f t="shared" si="675"/>
        <v>11444.4</v>
      </c>
      <c r="W278" s="269">
        <f t="shared" si="676"/>
        <v>11444.4</v>
      </c>
      <c r="X278" s="693"/>
      <c r="Y278" s="667"/>
      <c r="Z278" s="667"/>
      <c r="AA278" s="669"/>
      <c r="AB278" s="178" t="s">
        <v>769</v>
      </c>
    </row>
    <row r="279" spans="1:33" ht="12.6" customHeight="1" x14ac:dyDescent="0.2">
      <c r="A279" s="17"/>
      <c r="B279" s="634" t="s">
        <v>804</v>
      </c>
      <c r="C279" s="679"/>
      <c r="D279" s="679"/>
      <c r="E279" s="679"/>
      <c r="F279" s="323">
        <f>5.03*X2</f>
        <v>7746.2000000000007</v>
      </c>
      <c r="G279" s="255">
        <f t="shared" si="752"/>
        <v>7746.2000000000007</v>
      </c>
      <c r="H279" s="527">
        <f t="shared" si="736"/>
        <v>8446.2000000000007</v>
      </c>
      <c r="I279" s="255">
        <f t="shared" si="737"/>
        <v>8446.2000000000007</v>
      </c>
      <c r="J279" s="527">
        <f t="shared" si="738"/>
        <v>8056.2000000000007</v>
      </c>
      <c r="K279" s="255">
        <f t="shared" si="739"/>
        <v>8056.2000000000007</v>
      </c>
      <c r="L279" s="527">
        <f t="shared" si="740"/>
        <v>7986.2000000000007</v>
      </c>
      <c r="M279" s="255">
        <f t="shared" si="741"/>
        <v>7986.2000000000007</v>
      </c>
      <c r="N279" s="527">
        <f t="shared" si="742"/>
        <v>7946.2000000000007</v>
      </c>
      <c r="O279" s="255">
        <f t="shared" si="743"/>
        <v>7946.2000000000007</v>
      </c>
      <c r="P279" s="527">
        <f t="shared" si="744"/>
        <v>7916.2000000000007</v>
      </c>
      <c r="Q279" s="255">
        <f t="shared" si="745"/>
        <v>7916.2000000000007</v>
      </c>
      <c r="R279" s="527">
        <f t="shared" si="746"/>
        <v>7896.2000000000007</v>
      </c>
      <c r="S279" s="255">
        <f t="shared" si="747"/>
        <v>7896.2000000000007</v>
      </c>
      <c r="T279" s="93">
        <f t="shared" si="748"/>
        <v>7876.2000000000007</v>
      </c>
      <c r="U279" s="234">
        <f t="shared" si="749"/>
        <v>7876.2000000000007</v>
      </c>
      <c r="V279" s="93">
        <f t="shared" si="675"/>
        <v>7856.2000000000007</v>
      </c>
      <c r="W279" s="234">
        <f t="shared" si="676"/>
        <v>7856.2000000000007</v>
      </c>
      <c r="X279" s="693"/>
      <c r="Y279" s="667"/>
      <c r="Z279" s="667"/>
      <c r="AA279" s="669"/>
      <c r="AB279" s="178">
        <v>923</v>
      </c>
    </row>
    <row r="280" spans="1:33" ht="12.6" customHeight="1" x14ac:dyDescent="0.2">
      <c r="A280" s="17"/>
      <c r="B280" s="657" t="s">
        <v>1040</v>
      </c>
      <c r="C280" s="633"/>
      <c r="D280" s="633"/>
      <c r="E280" s="633"/>
      <c r="F280" s="324">
        <f>5.26*X2</f>
        <v>8100.4</v>
      </c>
      <c r="G280" s="256">
        <f t="shared" si="752"/>
        <v>8100.4</v>
      </c>
      <c r="H280" s="536">
        <f t="shared" ref="H280" si="753">F280+600</f>
        <v>8700.4</v>
      </c>
      <c r="I280" s="256">
        <f t="shared" si="737"/>
        <v>8700.4</v>
      </c>
      <c r="J280" s="536">
        <f t="shared" ref="J280" si="754">F280+260</f>
        <v>8360.4</v>
      </c>
      <c r="K280" s="256">
        <f t="shared" si="739"/>
        <v>8360.4</v>
      </c>
      <c r="L280" s="536">
        <f t="shared" ref="L280" si="755">F280+230</f>
        <v>8330.4</v>
      </c>
      <c r="M280" s="256">
        <f t="shared" si="741"/>
        <v>8330.4</v>
      </c>
      <c r="N280" s="536">
        <f t="shared" si="742"/>
        <v>8300.4</v>
      </c>
      <c r="O280" s="256">
        <f t="shared" si="743"/>
        <v>8300.4</v>
      </c>
      <c r="P280" s="536">
        <f t="shared" si="744"/>
        <v>8270.4</v>
      </c>
      <c r="Q280" s="256">
        <f t="shared" si="745"/>
        <v>8270.4</v>
      </c>
      <c r="R280" s="536">
        <f t="shared" si="746"/>
        <v>8250.4</v>
      </c>
      <c r="S280" s="256">
        <f t="shared" si="747"/>
        <v>8250.4</v>
      </c>
      <c r="T280" s="92">
        <f t="shared" si="748"/>
        <v>8230.4</v>
      </c>
      <c r="U280" s="269">
        <f t="shared" si="749"/>
        <v>8230.4</v>
      </c>
      <c r="V280" s="92">
        <f t="shared" si="675"/>
        <v>8210.4</v>
      </c>
      <c r="W280" s="269">
        <f t="shared" si="676"/>
        <v>8210.4</v>
      </c>
      <c r="X280" s="715"/>
      <c r="Y280" s="718"/>
      <c r="Z280" s="718"/>
      <c r="AA280" s="716"/>
      <c r="AB280" s="178" t="s">
        <v>1041</v>
      </c>
    </row>
    <row r="281" spans="1:33" ht="12.6" customHeight="1" x14ac:dyDescent="0.2">
      <c r="A281" s="17"/>
      <c r="B281" s="678" t="s">
        <v>825</v>
      </c>
      <c r="C281" s="679"/>
      <c r="D281" s="679"/>
      <c r="E281" s="679"/>
      <c r="F281" s="323">
        <f>1.07*X2</f>
        <v>1647.8000000000002</v>
      </c>
      <c r="G281" s="255">
        <f t="shared" ref="G281" si="756">+F281*$X$1</f>
        <v>1647.8000000000002</v>
      </c>
      <c r="H281" s="527">
        <f t="shared" si="736"/>
        <v>2347.8000000000002</v>
      </c>
      <c r="I281" s="255">
        <f t="shared" si="737"/>
        <v>2347.8000000000002</v>
      </c>
      <c r="J281" s="527">
        <f t="shared" si="738"/>
        <v>1957.8000000000002</v>
      </c>
      <c r="K281" s="255">
        <f t="shared" si="739"/>
        <v>1957.8000000000002</v>
      </c>
      <c r="L281" s="527">
        <f t="shared" si="740"/>
        <v>1887.8000000000002</v>
      </c>
      <c r="M281" s="255">
        <f t="shared" si="741"/>
        <v>1887.8000000000002</v>
      </c>
      <c r="N281" s="527">
        <f t="shared" si="742"/>
        <v>1847.8000000000002</v>
      </c>
      <c r="O281" s="255">
        <f t="shared" si="743"/>
        <v>1847.8000000000002</v>
      </c>
      <c r="P281" s="527">
        <f t="shared" si="744"/>
        <v>1817.8000000000002</v>
      </c>
      <c r="Q281" s="255">
        <f t="shared" si="745"/>
        <v>1817.8000000000002</v>
      </c>
      <c r="R281" s="527">
        <f t="shared" si="746"/>
        <v>1797.8000000000002</v>
      </c>
      <c r="S281" s="255">
        <f t="shared" si="747"/>
        <v>1797.8000000000002</v>
      </c>
      <c r="T281" s="93">
        <f t="shared" si="748"/>
        <v>1777.8000000000002</v>
      </c>
      <c r="U281" s="234">
        <f t="shared" si="749"/>
        <v>1777.8000000000002</v>
      </c>
      <c r="V281" s="93">
        <f t="shared" ref="V281:V284" si="757">F281+110</f>
        <v>1757.8000000000002</v>
      </c>
      <c r="W281" s="234">
        <f t="shared" ref="W281:W284" si="758">+V281*$X$1</f>
        <v>1757.8000000000002</v>
      </c>
      <c r="X281" s="693"/>
      <c r="Y281" s="667"/>
      <c r="Z281" s="667"/>
      <c r="AA281" s="669"/>
      <c r="AB281" s="178">
        <v>927</v>
      </c>
    </row>
    <row r="282" spans="1:33" ht="12.6" customHeight="1" x14ac:dyDescent="0.2">
      <c r="A282" s="94"/>
      <c r="B282" s="657" t="s">
        <v>380</v>
      </c>
      <c r="C282" s="633"/>
      <c r="D282" s="633"/>
      <c r="E282" s="633"/>
      <c r="F282" s="324">
        <f>7*X2</f>
        <v>10780</v>
      </c>
      <c r="G282" s="256">
        <f t="shared" ref="G282:G285" si="759">+F282*$X$1</f>
        <v>10780</v>
      </c>
      <c r="H282" s="536">
        <f t="shared" si="736"/>
        <v>11480</v>
      </c>
      <c r="I282" s="256">
        <f t="shared" si="737"/>
        <v>11480</v>
      </c>
      <c r="J282" s="536">
        <f t="shared" si="738"/>
        <v>11090</v>
      </c>
      <c r="K282" s="256">
        <f t="shared" si="739"/>
        <v>11090</v>
      </c>
      <c r="L282" s="536">
        <f t="shared" si="740"/>
        <v>11020</v>
      </c>
      <c r="M282" s="256">
        <f t="shared" si="741"/>
        <v>11020</v>
      </c>
      <c r="N282" s="536">
        <f t="shared" si="742"/>
        <v>10980</v>
      </c>
      <c r="O282" s="256">
        <f t="shared" si="743"/>
        <v>10980</v>
      </c>
      <c r="P282" s="536">
        <f t="shared" si="744"/>
        <v>10950</v>
      </c>
      <c r="Q282" s="256">
        <f t="shared" si="745"/>
        <v>10950</v>
      </c>
      <c r="R282" s="536">
        <f t="shared" si="746"/>
        <v>10930</v>
      </c>
      <c r="S282" s="256">
        <f t="shared" si="747"/>
        <v>10930</v>
      </c>
      <c r="T282" s="92">
        <f t="shared" si="748"/>
        <v>10910</v>
      </c>
      <c r="U282" s="269">
        <f t="shared" si="749"/>
        <v>10910</v>
      </c>
      <c r="V282" s="92">
        <f t="shared" si="757"/>
        <v>10890</v>
      </c>
      <c r="W282" s="269">
        <f t="shared" si="758"/>
        <v>10890</v>
      </c>
      <c r="X282" s="693"/>
      <c r="Y282" s="667"/>
      <c r="Z282" s="667"/>
      <c r="AA282" s="669"/>
      <c r="AB282" s="178">
        <v>928</v>
      </c>
    </row>
    <row r="283" spans="1:33" ht="12.6" customHeight="1" x14ac:dyDescent="0.2">
      <c r="A283" s="17"/>
      <c r="B283" s="678" t="s">
        <v>352</v>
      </c>
      <c r="C283" s="679"/>
      <c r="D283" s="679"/>
      <c r="E283" s="679"/>
      <c r="F283" s="323">
        <f>7.82*X2</f>
        <v>12042.800000000001</v>
      </c>
      <c r="G283" s="255">
        <f t="shared" si="759"/>
        <v>12042.800000000001</v>
      </c>
      <c r="H283" s="527">
        <f t="shared" si="736"/>
        <v>12742.800000000001</v>
      </c>
      <c r="I283" s="255">
        <f t="shared" si="737"/>
        <v>12742.800000000001</v>
      </c>
      <c r="J283" s="527">
        <f t="shared" si="738"/>
        <v>12352.800000000001</v>
      </c>
      <c r="K283" s="255">
        <f t="shared" si="739"/>
        <v>12352.800000000001</v>
      </c>
      <c r="L283" s="527">
        <f t="shared" si="740"/>
        <v>12282.800000000001</v>
      </c>
      <c r="M283" s="255">
        <f t="shared" si="741"/>
        <v>12282.800000000001</v>
      </c>
      <c r="N283" s="527">
        <f t="shared" si="742"/>
        <v>12242.800000000001</v>
      </c>
      <c r="O283" s="255">
        <f t="shared" si="743"/>
        <v>12242.800000000001</v>
      </c>
      <c r="P283" s="527">
        <f t="shared" si="744"/>
        <v>12212.800000000001</v>
      </c>
      <c r="Q283" s="255">
        <f t="shared" si="745"/>
        <v>12212.800000000001</v>
      </c>
      <c r="R283" s="527">
        <f t="shared" si="746"/>
        <v>12192.800000000001</v>
      </c>
      <c r="S283" s="255">
        <f t="shared" si="747"/>
        <v>12192.800000000001</v>
      </c>
      <c r="T283" s="93">
        <f t="shared" si="748"/>
        <v>12172.800000000001</v>
      </c>
      <c r="U283" s="234">
        <f t="shared" si="749"/>
        <v>12172.800000000001</v>
      </c>
      <c r="V283" s="93">
        <f t="shared" si="757"/>
        <v>12152.800000000001</v>
      </c>
      <c r="W283" s="234">
        <f t="shared" si="758"/>
        <v>12152.800000000001</v>
      </c>
      <c r="X283" s="693"/>
      <c r="Y283" s="668"/>
      <c r="Z283" s="668"/>
      <c r="AA283" s="669"/>
      <c r="AB283" s="178">
        <v>931</v>
      </c>
    </row>
    <row r="284" spans="1:33" ht="12.6" customHeight="1" x14ac:dyDescent="0.2">
      <c r="A284" s="17"/>
      <c r="B284" s="657" t="s">
        <v>710</v>
      </c>
      <c r="C284" s="633"/>
      <c r="D284" s="633"/>
      <c r="E284" s="633"/>
      <c r="F284" s="324">
        <f>2.98*X2</f>
        <v>4589.2</v>
      </c>
      <c r="G284" s="256">
        <f t="shared" si="759"/>
        <v>4589.2</v>
      </c>
      <c r="H284" s="536">
        <f t="shared" ref="H284:H292" si="760">F284+700</f>
        <v>5289.2</v>
      </c>
      <c r="I284" s="256">
        <f t="shared" ref="I284:I292" si="761">+H284*$X$1</f>
        <v>5289.2</v>
      </c>
      <c r="J284" s="536">
        <f t="shared" ref="J284:J292" si="762">F284+310</f>
        <v>4899.2</v>
      </c>
      <c r="K284" s="256">
        <f t="shared" ref="K284:K293" si="763">+J284*$X$1</f>
        <v>4899.2</v>
      </c>
      <c r="L284" s="536">
        <f t="shared" ref="L284:L292" si="764">F284+240</f>
        <v>4829.2</v>
      </c>
      <c r="M284" s="256">
        <f t="shared" ref="M284:M293" si="765">+L284*$X$1</f>
        <v>4829.2</v>
      </c>
      <c r="N284" s="536">
        <f t="shared" ref="N284:N292" si="766">F284+200</f>
        <v>4789.2</v>
      </c>
      <c r="O284" s="256">
        <f t="shared" ref="O284:O293" si="767">+N284*$X$1</f>
        <v>4789.2</v>
      </c>
      <c r="P284" s="536">
        <f t="shared" ref="P284:P292" si="768">F284+170</f>
        <v>4759.2</v>
      </c>
      <c r="Q284" s="256">
        <f t="shared" ref="Q284:Q293" si="769">+P284*$X$1</f>
        <v>4759.2</v>
      </c>
      <c r="R284" s="536">
        <f t="shared" ref="R284:R292" si="770">F284+150</f>
        <v>4739.2</v>
      </c>
      <c r="S284" s="256">
        <f t="shared" ref="S284:S293" si="771">+R284*$X$1</f>
        <v>4739.2</v>
      </c>
      <c r="T284" s="92">
        <f t="shared" ref="T284:T292" si="772">F284+130</f>
        <v>4719.2</v>
      </c>
      <c r="U284" s="269">
        <f t="shared" ref="U284:U293" si="773">+T284*$X$1</f>
        <v>4719.2</v>
      </c>
      <c r="V284" s="92">
        <f t="shared" si="757"/>
        <v>4699.2</v>
      </c>
      <c r="W284" s="269">
        <f t="shared" si="758"/>
        <v>4699.2</v>
      </c>
      <c r="X284" s="693"/>
      <c r="Y284" s="668"/>
      <c r="Z284" s="668"/>
      <c r="AA284" s="669"/>
      <c r="AB284" s="178">
        <v>933</v>
      </c>
    </row>
    <row r="285" spans="1:33" ht="12.6" customHeight="1" x14ac:dyDescent="0.2">
      <c r="A285" s="17"/>
      <c r="B285" s="678" t="s">
        <v>534</v>
      </c>
      <c r="C285" s="679"/>
      <c r="D285" s="679"/>
      <c r="E285" s="679"/>
      <c r="F285" s="323">
        <f>7.55*X2</f>
        <v>11627</v>
      </c>
      <c r="G285" s="255">
        <f t="shared" si="759"/>
        <v>11627</v>
      </c>
      <c r="H285" s="527">
        <f t="shared" si="760"/>
        <v>12327</v>
      </c>
      <c r="I285" s="255">
        <f t="shared" si="761"/>
        <v>12327</v>
      </c>
      <c r="J285" s="527">
        <f t="shared" si="762"/>
        <v>11937</v>
      </c>
      <c r="K285" s="255">
        <f t="shared" si="763"/>
        <v>11937</v>
      </c>
      <c r="L285" s="527">
        <f t="shared" si="764"/>
        <v>11867</v>
      </c>
      <c r="M285" s="255">
        <f t="shared" si="765"/>
        <v>11867</v>
      </c>
      <c r="N285" s="527">
        <f t="shared" si="766"/>
        <v>11827</v>
      </c>
      <c r="O285" s="255">
        <f t="shared" si="767"/>
        <v>11827</v>
      </c>
      <c r="P285" s="527">
        <f t="shared" si="768"/>
        <v>11797</v>
      </c>
      <c r="Q285" s="255">
        <f t="shared" si="769"/>
        <v>11797</v>
      </c>
      <c r="R285" s="527">
        <f t="shared" si="770"/>
        <v>11777</v>
      </c>
      <c r="S285" s="255">
        <f t="shared" si="771"/>
        <v>11777</v>
      </c>
      <c r="T285" s="93">
        <f t="shared" si="772"/>
        <v>11757</v>
      </c>
      <c r="U285" s="234">
        <f t="shared" si="773"/>
        <v>11757</v>
      </c>
      <c r="V285" s="93">
        <f t="shared" ref="V285:V292" si="774">F285+110</f>
        <v>11737</v>
      </c>
      <c r="W285" s="234">
        <f t="shared" ref="W285:W293" si="775">+V285*$X$1</f>
        <v>11737</v>
      </c>
      <c r="X285" s="322"/>
      <c r="Y285" s="322"/>
      <c r="Z285" s="322"/>
      <c r="AA285" s="322"/>
      <c r="AB285" s="178">
        <v>935</v>
      </c>
    </row>
    <row r="286" spans="1:33" ht="12.6" customHeight="1" x14ac:dyDescent="0.2">
      <c r="A286" s="17"/>
      <c r="B286" s="657" t="s">
        <v>561</v>
      </c>
      <c r="C286" s="633"/>
      <c r="D286" s="633"/>
      <c r="E286" s="633"/>
      <c r="F286" s="324">
        <f>10*X2</f>
        <v>15400</v>
      </c>
      <c r="G286" s="256">
        <f t="shared" ref="G286" si="776">+F286*$X$1</f>
        <v>15400</v>
      </c>
      <c r="H286" s="536">
        <f t="shared" si="760"/>
        <v>16100</v>
      </c>
      <c r="I286" s="256">
        <f t="shared" si="761"/>
        <v>16100</v>
      </c>
      <c r="J286" s="536">
        <f t="shared" si="762"/>
        <v>15710</v>
      </c>
      <c r="K286" s="256">
        <f t="shared" si="763"/>
        <v>15710</v>
      </c>
      <c r="L286" s="536">
        <f t="shared" si="764"/>
        <v>15640</v>
      </c>
      <c r="M286" s="256">
        <f t="shared" si="765"/>
        <v>15640</v>
      </c>
      <c r="N286" s="536">
        <f t="shared" si="766"/>
        <v>15600</v>
      </c>
      <c r="O286" s="256">
        <f t="shared" si="767"/>
        <v>15600</v>
      </c>
      <c r="P286" s="536">
        <f t="shared" si="768"/>
        <v>15570</v>
      </c>
      <c r="Q286" s="256">
        <f t="shared" si="769"/>
        <v>15570</v>
      </c>
      <c r="R286" s="536">
        <f t="shared" si="770"/>
        <v>15550</v>
      </c>
      <c r="S286" s="256">
        <f t="shared" si="771"/>
        <v>15550</v>
      </c>
      <c r="T286" s="92">
        <f t="shared" si="772"/>
        <v>15530</v>
      </c>
      <c r="U286" s="269">
        <f t="shared" si="773"/>
        <v>15530</v>
      </c>
      <c r="V286" s="92">
        <f t="shared" si="774"/>
        <v>15510</v>
      </c>
      <c r="W286" s="269">
        <f t="shared" si="775"/>
        <v>15510</v>
      </c>
      <c r="X286" s="693"/>
      <c r="Y286" s="667"/>
      <c r="Z286" s="667"/>
      <c r="AA286" s="669"/>
      <c r="AB286" s="178">
        <v>936</v>
      </c>
    </row>
    <row r="287" spans="1:33" ht="12.6" customHeight="1" x14ac:dyDescent="0.2">
      <c r="A287" s="17"/>
      <c r="B287" s="678" t="s">
        <v>762</v>
      </c>
      <c r="C287" s="679"/>
      <c r="D287" s="679"/>
      <c r="E287" s="679"/>
      <c r="F287" s="323">
        <f>4.66*X2</f>
        <v>7176.4000000000005</v>
      </c>
      <c r="G287" s="255">
        <f t="shared" ref="G287" si="777">+F287*$X$1</f>
        <v>7176.4000000000005</v>
      </c>
      <c r="H287" s="527">
        <f t="shared" si="760"/>
        <v>7876.4000000000005</v>
      </c>
      <c r="I287" s="255">
        <f t="shared" si="761"/>
        <v>7876.4000000000005</v>
      </c>
      <c r="J287" s="527">
        <f t="shared" si="762"/>
        <v>7486.4000000000005</v>
      </c>
      <c r="K287" s="255">
        <f t="shared" si="763"/>
        <v>7486.4000000000005</v>
      </c>
      <c r="L287" s="527">
        <f t="shared" si="764"/>
        <v>7416.4000000000005</v>
      </c>
      <c r="M287" s="255">
        <f t="shared" si="765"/>
        <v>7416.4000000000005</v>
      </c>
      <c r="N287" s="527">
        <f t="shared" si="766"/>
        <v>7376.4000000000005</v>
      </c>
      <c r="O287" s="255">
        <f t="shared" si="767"/>
        <v>7376.4000000000005</v>
      </c>
      <c r="P287" s="527">
        <f t="shared" si="768"/>
        <v>7346.4000000000005</v>
      </c>
      <c r="Q287" s="255">
        <f t="shared" si="769"/>
        <v>7346.4000000000005</v>
      </c>
      <c r="R287" s="527">
        <f t="shared" si="770"/>
        <v>7326.4000000000005</v>
      </c>
      <c r="S287" s="255">
        <f t="shared" si="771"/>
        <v>7326.4000000000005</v>
      </c>
      <c r="T287" s="93">
        <f t="shared" si="772"/>
        <v>7306.4000000000005</v>
      </c>
      <c r="U287" s="234">
        <f t="shared" si="773"/>
        <v>7306.4000000000005</v>
      </c>
      <c r="V287" s="93">
        <f t="shared" si="774"/>
        <v>7286.4000000000005</v>
      </c>
      <c r="W287" s="234">
        <f t="shared" si="775"/>
        <v>7286.4000000000005</v>
      </c>
      <c r="X287" s="693"/>
      <c r="Y287" s="667"/>
      <c r="Z287" s="667"/>
      <c r="AA287" s="669"/>
      <c r="AB287" s="178">
        <v>940</v>
      </c>
    </row>
    <row r="288" spans="1:33" ht="12.6" customHeight="1" x14ac:dyDescent="0.2">
      <c r="A288" s="17"/>
      <c r="B288" s="642" t="s">
        <v>179</v>
      </c>
      <c r="C288" s="643"/>
      <c r="D288" s="643"/>
      <c r="E288" s="644"/>
      <c r="F288" s="324">
        <f>5.483*X2</f>
        <v>8443.82</v>
      </c>
      <c r="G288" s="256">
        <f t="shared" ref="G288:G291" si="778">+F288*$X$1</f>
        <v>8443.82</v>
      </c>
      <c r="H288" s="536">
        <f t="shared" si="760"/>
        <v>9143.82</v>
      </c>
      <c r="I288" s="256">
        <f t="shared" si="761"/>
        <v>9143.82</v>
      </c>
      <c r="J288" s="536">
        <f t="shared" si="762"/>
        <v>8753.82</v>
      </c>
      <c r="K288" s="256">
        <f t="shared" si="763"/>
        <v>8753.82</v>
      </c>
      <c r="L288" s="536">
        <f t="shared" si="764"/>
        <v>8683.82</v>
      </c>
      <c r="M288" s="256">
        <f t="shared" si="765"/>
        <v>8683.82</v>
      </c>
      <c r="N288" s="536">
        <f t="shared" si="766"/>
        <v>8643.82</v>
      </c>
      <c r="O288" s="256">
        <f t="shared" si="767"/>
        <v>8643.82</v>
      </c>
      <c r="P288" s="536">
        <f t="shared" si="768"/>
        <v>8613.82</v>
      </c>
      <c r="Q288" s="256">
        <f t="shared" si="769"/>
        <v>8613.82</v>
      </c>
      <c r="R288" s="536">
        <f t="shared" si="770"/>
        <v>8593.82</v>
      </c>
      <c r="S288" s="256">
        <f t="shared" si="771"/>
        <v>8593.82</v>
      </c>
      <c r="T288" s="92">
        <f t="shared" si="772"/>
        <v>8573.82</v>
      </c>
      <c r="U288" s="269">
        <f t="shared" si="773"/>
        <v>8573.82</v>
      </c>
      <c r="V288" s="92">
        <f t="shared" si="774"/>
        <v>8553.82</v>
      </c>
      <c r="W288" s="269">
        <f t="shared" si="775"/>
        <v>8553.82</v>
      </c>
      <c r="X288" s="121"/>
      <c r="Y288" s="123"/>
      <c r="Z288" s="119"/>
      <c r="AA288" s="119"/>
      <c r="AB288" s="178">
        <v>945</v>
      </c>
      <c r="AD288" s="62"/>
      <c r="AE288" s="62"/>
      <c r="AF288" s="62"/>
      <c r="AG288" s="62"/>
    </row>
    <row r="289" spans="1:38" ht="12.6" customHeight="1" x14ac:dyDescent="0.2">
      <c r="A289" s="17"/>
      <c r="B289" s="678" t="s">
        <v>432</v>
      </c>
      <c r="C289" s="679"/>
      <c r="D289" s="679"/>
      <c r="E289" s="679"/>
      <c r="F289" s="323">
        <f>4.1*X2</f>
        <v>6313.9999999999991</v>
      </c>
      <c r="G289" s="255">
        <f t="shared" ref="G289:G290" si="779">+F289*$X$1</f>
        <v>6313.9999999999991</v>
      </c>
      <c r="H289" s="527">
        <f t="shared" si="760"/>
        <v>7013.9999999999991</v>
      </c>
      <c r="I289" s="255">
        <f t="shared" si="761"/>
        <v>7013.9999999999991</v>
      </c>
      <c r="J289" s="527">
        <f t="shared" si="762"/>
        <v>6623.9999999999991</v>
      </c>
      <c r="K289" s="255">
        <f t="shared" si="763"/>
        <v>6623.9999999999991</v>
      </c>
      <c r="L289" s="527">
        <f t="shared" si="764"/>
        <v>6553.9999999999991</v>
      </c>
      <c r="M289" s="255">
        <f t="shared" si="765"/>
        <v>6553.9999999999991</v>
      </c>
      <c r="N289" s="527">
        <f t="shared" si="766"/>
        <v>6513.9999999999991</v>
      </c>
      <c r="O289" s="255">
        <f t="shared" si="767"/>
        <v>6513.9999999999991</v>
      </c>
      <c r="P289" s="527">
        <f t="shared" si="768"/>
        <v>6483.9999999999991</v>
      </c>
      <c r="Q289" s="255">
        <f t="shared" si="769"/>
        <v>6483.9999999999991</v>
      </c>
      <c r="R289" s="527">
        <f t="shared" si="770"/>
        <v>6463.9999999999991</v>
      </c>
      <c r="S289" s="255">
        <f t="shared" si="771"/>
        <v>6463.9999999999991</v>
      </c>
      <c r="T289" s="93">
        <f t="shared" si="772"/>
        <v>6443.9999999999991</v>
      </c>
      <c r="U289" s="234">
        <f t="shared" si="773"/>
        <v>6443.9999999999991</v>
      </c>
      <c r="V289" s="93">
        <f t="shared" si="774"/>
        <v>6423.9999999999991</v>
      </c>
      <c r="W289" s="234">
        <f t="shared" si="775"/>
        <v>6423.9999999999991</v>
      </c>
      <c r="X289" s="139"/>
      <c r="Y289" s="139"/>
      <c r="Z289" s="139"/>
      <c r="AA289" s="139"/>
      <c r="AB289" s="178">
        <v>946</v>
      </c>
    </row>
    <row r="290" spans="1:38" ht="12.6" customHeight="1" x14ac:dyDescent="0.2">
      <c r="A290" s="17"/>
      <c r="B290" s="657" t="s">
        <v>1042</v>
      </c>
      <c r="C290" s="633"/>
      <c r="D290" s="633"/>
      <c r="E290" s="633"/>
      <c r="F290" s="324">
        <f>6*X2</f>
        <v>9240</v>
      </c>
      <c r="G290" s="256">
        <f t="shared" si="779"/>
        <v>9240</v>
      </c>
      <c r="H290" s="536">
        <f>F290+700</f>
        <v>9940</v>
      </c>
      <c r="I290" s="256">
        <f t="shared" si="761"/>
        <v>9940</v>
      </c>
      <c r="J290" s="536">
        <f>F290+310</f>
        <v>9550</v>
      </c>
      <c r="K290" s="256">
        <f t="shared" si="763"/>
        <v>9550</v>
      </c>
      <c r="L290" s="536">
        <f>F290+240</f>
        <v>9480</v>
      </c>
      <c r="M290" s="256">
        <f t="shared" si="765"/>
        <v>9480</v>
      </c>
      <c r="N290" s="536">
        <f t="shared" si="766"/>
        <v>9440</v>
      </c>
      <c r="O290" s="256">
        <f t="shared" si="767"/>
        <v>9440</v>
      </c>
      <c r="P290" s="536">
        <f t="shared" si="768"/>
        <v>9410</v>
      </c>
      <c r="Q290" s="256">
        <f t="shared" si="769"/>
        <v>9410</v>
      </c>
      <c r="R290" s="536">
        <f t="shared" si="770"/>
        <v>9390</v>
      </c>
      <c r="S290" s="256">
        <f t="shared" si="771"/>
        <v>9390</v>
      </c>
      <c r="T290" s="92">
        <f t="shared" si="772"/>
        <v>9370</v>
      </c>
      <c r="U290" s="269">
        <f t="shared" si="773"/>
        <v>9370</v>
      </c>
      <c r="V290" s="92">
        <f t="shared" si="774"/>
        <v>9350</v>
      </c>
      <c r="W290" s="269">
        <f t="shared" si="775"/>
        <v>9350</v>
      </c>
      <c r="X290" s="750"/>
      <c r="Y290" s="751"/>
      <c r="Z290" s="751"/>
      <c r="AA290" s="752"/>
      <c r="AB290" s="178">
        <v>962</v>
      </c>
    </row>
    <row r="291" spans="1:38" ht="12.6" customHeight="1" x14ac:dyDescent="0.2">
      <c r="A291" s="17"/>
      <c r="B291" s="678" t="s">
        <v>753</v>
      </c>
      <c r="C291" s="679"/>
      <c r="D291" s="679"/>
      <c r="E291" s="679"/>
      <c r="F291" s="323">
        <f>10.94*X2</f>
        <v>16847.599999999999</v>
      </c>
      <c r="G291" s="255">
        <f t="shared" si="778"/>
        <v>16847.599999999999</v>
      </c>
      <c r="H291" s="527">
        <f t="shared" si="760"/>
        <v>17547.599999999999</v>
      </c>
      <c r="I291" s="255">
        <f t="shared" si="761"/>
        <v>17547.599999999999</v>
      </c>
      <c r="J291" s="527">
        <f t="shared" si="762"/>
        <v>17157.599999999999</v>
      </c>
      <c r="K291" s="255">
        <f t="shared" si="763"/>
        <v>17157.599999999999</v>
      </c>
      <c r="L291" s="527">
        <f t="shared" si="764"/>
        <v>17087.599999999999</v>
      </c>
      <c r="M291" s="255">
        <f t="shared" si="765"/>
        <v>17087.599999999999</v>
      </c>
      <c r="N291" s="527">
        <f t="shared" si="766"/>
        <v>17047.599999999999</v>
      </c>
      <c r="O291" s="255">
        <f t="shared" si="767"/>
        <v>17047.599999999999</v>
      </c>
      <c r="P291" s="527">
        <f t="shared" si="768"/>
        <v>17017.599999999999</v>
      </c>
      <c r="Q291" s="255">
        <f t="shared" si="769"/>
        <v>17017.599999999999</v>
      </c>
      <c r="R291" s="527">
        <f t="shared" si="770"/>
        <v>16997.599999999999</v>
      </c>
      <c r="S291" s="255">
        <f t="shared" si="771"/>
        <v>16997.599999999999</v>
      </c>
      <c r="T291" s="93">
        <f t="shared" si="772"/>
        <v>16977.599999999999</v>
      </c>
      <c r="U291" s="234">
        <f t="shared" si="773"/>
        <v>16977.599999999999</v>
      </c>
      <c r="V291" s="93">
        <f t="shared" si="774"/>
        <v>16957.599999999999</v>
      </c>
      <c r="W291" s="234">
        <f t="shared" si="775"/>
        <v>16957.599999999999</v>
      </c>
      <c r="X291" s="389"/>
      <c r="Y291" s="389"/>
      <c r="Z291" s="389"/>
      <c r="AA291" s="389"/>
      <c r="AB291" s="178">
        <v>963</v>
      </c>
    </row>
    <row r="292" spans="1:38" ht="12.6" customHeight="1" x14ac:dyDescent="0.2">
      <c r="A292" s="17"/>
      <c r="B292" s="657" t="s">
        <v>786</v>
      </c>
      <c r="C292" s="633"/>
      <c r="D292" s="633"/>
      <c r="E292" s="633"/>
      <c r="F292" s="324">
        <f>7.1*X2</f>
        <v>10934</v>
      </c>
      <c r="G292" s="256">
        <f t="shared" ref="G292" si="780">+F292*$X$1</f>
        <v>10934</v>
      </c>
      <c r="H292" s="536">
        <f t="shared" si="760"/>
        <v>11634</v>
      </c>
      <c r="I292" s="256">
        <f t="shared" si="761"/>
        <v>11634</v>
      </c>
      <c r="J292" s="536">
        <f t="shared" si="762"/>
        <v>11244</v>
      </c>
      <c r="K292" s="256">
        <f t="shared" si="763"/>
        <v>11244</v>
      </c>
      <c r="L292" s="536">
        <f t="shared" si="764"/>
        <v>11174</v>
      </c>
      <c r="M292" s="256">
        <f t="shared" si="765"/>
        <v>11174</v>
      </c>
      <c r="N292" s="536">
        <f t="shared" si="766"/>
        <v>11134</v>
      </c>
      <c r="O292" s="256">
        <f t="shared" si="767"/>
        <v>11134</v>
      </c>
      <c r="P292" s="536">
        <f t="shared" si="768"/>
        <v>11104</v>
      </c>
      <c r="Q292" s="256">
        <f t="shared" si="769"/>
        <v>11104</v>
      </c>
      <c r="R292" s="536">
        <f t="shared" si="770"/>
        <v>11084</v>
      </c>
      <c r="S292" s="256">
        <f t="shared" si="771"/>
        <v>11084</v>
      </c>
      <c r="T292" s="92">
        <f t="shared" si="772"/>
        <v>11064</v>
      </c>
      <c r="U292" s="269">
        <f t="shared" si="773"/>
        <v>11064</v>
      </c>
      <c r="V292" s="92">
        <f t="shared" si="774"/>
        <v>11044</v>
      </c>
      <c r="W292" s="269">
        <f t="shared" si="775"/>
        <v>11044</v>
      </c>
      <c r="X292" s="389"/>
      <c r="Y292" s="389"/>
      <c r="Z292" s="389"/>
      <c r="AA292" s="389"/>
      <c r="AB292" s="178">
        <v>966</v>
      </c>
    </row>
    <row r="293" spans="1:38" s="1" customFormat="1" ht="12.6" customHeight="1" x14ac:dyDescent="0.2">
      <c r="A293" s="18"/>
      <c r="B293" s="678" t="s">
        <v>338</v>
      </c>
      <c r="C293" s="679"/>
      <c r="D293" s="679"/>
      <c r="E293" s="679"/>
      <c r="F293" s="255">
        <v>510</v>
      </c>
      <c r="G293" s="255">
        <f>+F293*$X$1</f>
        <v>510</v>
      </c>
      <c r="H293" s="251"/>
      <c r="I293" s="251"/>
      <c r="J293" s="68">
        <f>F293+280</f>
        <v>790</v>
      </c>
      <c r="K293" s="255">
        <f t="shared" si="763"/>
        <v>790</v>
      </c>
      <c r="L293" s="527">
        <f>F293+210</f>
        <v>720</v>
      </c>
      <c r="M293" s="255">
        <f t="shared" si="765"/>
        <v>720</v>
      </c>
      <c r="N293" s="527">
        <f>F293+160</f>
        <v>670</v>
      </c>
      <c r="O293" s="255">
        <f t="shared" si="767"/>
        <v>670</v>
      </c>
      <c r="P293" s="527">
        <f>F293+130</f>
        <v>640</v>
      </c>
      <c r="Q293" s="255">
        <f t="shared" si="769"/>
        <v>640</v>
      </c>
      <c r="R293" s="527">
        <f>F293+110</f>
        <v>620</v>
      </c>
      <c r="S293" s="255">
        <f t="shared" si="771"/>
        <v>620</v>
      </c>
      <c r="T293" s="527">
        <f>F293+90</f>
        <v>600</v>
      </c>
      <c r="U293" s="255">
        <f t="shared" si="773"/>
        <v>600</v>
      </c>
      <c r="V293" s="527">
        <f t="shared" ref="V293" si="781">F293+75</f>
        <v>585</v>
      </c>
      <c r="W293" s="255">
        <f t="shared" si="775"/>
        <v>585</v>
      </c>
      <c r="X293" s="136"/>
      <c r="Y293" s="136"/>
      <c r="Z293" s="136"/>
      <c r="AA293" s="136"/>
      <c r="AB293" s="178">
        <v>998</v>
      </c>
      <c r="AC293" s="71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s="1" customFormat="1" ht="12.6" customHeight="1" x14ac:dyDescent="0.2">
      <c r="A294" s="18"/>
      <c r="B294" s="642" t="s">
        <v>966</v>
      </c>
      <c r="C294" s="680"/>
      <c r="D294" s="680"/>
      <c r="E294" s="681"/>
      <c r="F294" s="324">
        <f>6.98*X2</f>
        <v>10749.2</v>
      </c>
      <c r="G294" s="256">
        <f t="shared" ref="G294" si="782">+F294*$X$1</f>
        <v>10749.2</v>
      </c>
      <c r="H294" s="82">
        <f>F294+700</f>
        <v>11449.2</v>
      </c>
      <c r="I294" s="256">
        <f t="shared" ref="I294" si="783">+H294*$X$1</f>
        <v>11449.2</v>
      </c>
      <c r="J294" s="536">
        <f>F294+300</f>
        <v>11049.2</v>
      </c>
      <c r="K294" s="256">
        <f t="shared" ref="K294" si="784">+J294*$X$1</f>
        <v>11049.2</v>
      </c>
      <c r="L294" s="536">
        <f>F294+245</f>
        <v>10994.2</v>
      </c>
      <c r="M294" s="256">
        <f t="shared" ref="M294" si="785">+L294*$X$1</f>
        <v>10994.2</v>
      </c>
      <c r="N294" s="536">
        <f>F294+200</f>
        <v>10949.2</v>
      </c>
      <c r="O294" s="256">
        <f t="shared" ref="O294" si="786">+N294*$X$1</f>
        <v>10949.2</v>
      </c>
      <c r="P294" s="536">
        <f>F294+170</f>
        <v>10919.2</v>
      </c>
      <c r="Q294" s="256">
        <f t="shared" ref="Q294" si="787">+P294*$X$1</f>
        <v>10919.2</v>
      </c>
      <c r="R294" s="536">
        <f>F294+140</f>
        <v>10889.2</v>
      </c>
      <c r="S294" s="256">
        <f t="shared" ref="S294" si="788">+R294*$X$1</f>
        <v>10889.2</v>
      </c>
      <c r="T294" s="536">
        <f>F294+110</f>
        <v>10859.2</v>
      </c>
      <c r="U294" s="256">
        <f t="shared" ref="U294" si="789">+T294*$X$1</f>
        <v>10859.2</v>
      </c>
      <c r="V294" s="536">
        <f>F294+90</f>
        <v>10839.2</v>
      </c>
      <c r="W294" s="256">
        <f t="shared" ref="W294" si="790">+V294*$X$1</f>
        <v>10839.2</v>
      </c>
      <c r="X294" s="550"/>
      <c r="Y294" s="551"/>
      <c r="Z294" s="551"/>
      <c r="AA294" s="552"/>
      <c r="AB294" s="178">
        <v>1017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s="1" customFormat="1" ht="12.6" customHeight="1" x14ac:dyDescent="0.2">
      <c r="A295" s="18"/>
      <c r="B295" s="662" t="s">
        <v>951</v>
      </c>
      <c r="C295" s="665"/>
      <c r="D295" s="665"/>
      <c r="E295" s="666"/>
      <c r="F295" s="291">
        <v>37600</v>
      </c>
      <c r="G295" s="255">
        <f t="shared" ref="G295:G297" si="791">+F295*$X$1</f>
        <v>37600</v>
      </c>
      <c r="H295" s="68">
        <f>F295+700</f>
        <v>38300</v>
      </c>
      <c r="I295" s="255">
        <f t="shared" ref="I295:I296" si="792">+H295*$X$1</f>
        <v>38300</v>
      </c>
      <c r="J295" s="527">
        <f>F295+300</f>
        <v>37900</v>
      </c>
      <c r="K295" s="255">
        <f t="shared" ref="K295:K296" si="793">+J295*$X$1</f>
        <v>37900</v>
      </c>
      <c r="L295" s="527">
        <f>F295+245</f>
        <v>37845</v>
      </c>
      <c r="M295" s="255">
        <f t="shared" ref="M295:M296" si="794">+L295*$X$1</f>
        <v>37845</v>
      </c>
      <c r="N295" s="527">
        <f>F295+200</f>
        <v>37800</v>
      </c>
      <c r="O295" s="255">
        <f t="shared" ref="O295:O296" si="795">+N295*$X$1</f>
        <v>37800</v>
      </c>
      <c r="P295" s="527">
        <f>F295+170</f>
        <v>37770</v>
      </c>
      <c r="Q295" s="255">
        <f t="shared" ref="Q295:Q296" si="796">+P295*$X$1</f>
        <v>37770</v>
      </c>
      <c r="R295" s="527">
        <f>F295+140</f>
        <v>37740</v>
      </c>
      <c r="S295" s="255">
        <f t="shared" ref="S295:S296" si="797">+R295*$X$1</f>
        <v>37740</v>
      </c>
      <c r="T295" s="527">
        <f>F295+110</f>
        <v>37710</v>
      </c>
      <c r="U295" s="255">
        <f t="shared" ref="U295:U296" si="798">+T295*$X$1</f>
        <v>37710</v>
      </c>
      <c r="V295" s="527">
        <f>F295+90</f>
        <v>37690</v>
      </c>
      <c r="W295" s="255">
        <f t="shared" ref="W295:W296" si="799">+V295*$X$1</f>
        <v>37690</v>
      </c>
      <c r="X295" s="544"/>
      <c r="Y295" s="545"/>
      <c r="Z295" s="545"/>
      <c r="AA295" s="546"/>
      <c r="AB295" s="178">
        <v>1018</v>
      </c>
      <c r="AC295" s="4"/>
      <c r="AD295" s="4"/>
      <c r="AE295" s="4"/>
      <c r="AF295" s="4"/>
      <c r="AG295" s="4"/>
      <c r="AH295" s="116"/>
      <c r="AI295" s="4"/>
      <c r="AJ295" s="4"/>
      <c r="AK295" s="4"/>
      <c r="AL295" s="4"/>
    </row>
    <row r="296" spans="1:38" s="1" customFormat="1" ht="12.6" customHeight="1" x14ac:dyDescent="0.2">
      <c r="A296" s="18"/>
      <c r="B296" s="662" t="s">
        <v>965</v>
      </c>
      <c r="C296" s="665"/>
      <c r="D296" s="665"/>
      <c r="E296" s="666"/>
      <c r="F296" s="325">
        <f>8.7*X2</f>
        <v>13397.999999999998</v>
      </c>
      <c r="G296" s="300">
        <f t="shared" ref="G296" si="800">+F296*$X$1</f>
        <v>13397.999999999998</v>
      </c>
      <c r="H296" s="82">
        <f>F296+720</f>
        <v>14117.999999999998</v>
      </c>
      <c r="I296" s="256">
        <f t="shared" si="792"/>
        <v>14117.999999999998</v>
      </c>
      <c r="J296" s="536">
        <f>F296+320</f>
        <v>13717.999999999998</v>
      </c>
      <c r="K296" s="256">
        <f t="shared" si="793"/>
        <v>13717.999999999998</v>
      </c>
      <c r="L296" s="536">
        <f>F296+260</f>
        <v>13657.999999999998</v>
      </c>
      <c r="M296" s="256">
        <f t="shared" si="794"/>
        <v>13657.999999999998</v>
      </c>
      <c r="N296" s="536">
        <f>F296+220</f>
        <v>13617.999999999998</v>
      </c>
      <c r="O296" s="256">
        <f t="shared" si="795"/>
        <v>13617.999999999998</v>
      </c>
      <c r="P296" s="536">
        <f>F296+190</f>
        <v>13587.999999999998</v>
      </c>
      <c r="Q296" s="256">
        <f t="shared" si="796"/>
        <v>13587.999999999998</v>
      </c>
      <c r="R296" s="536">
        <f>F296+160</f>
        <v>13557.999999999998</v>
      </c>
      <c r="S296" s="256">
        <f t="shared" si="797"/>
        <v>13557.999999999998</v>
      </c>
      <c r="T296" s="536">
        <f>F296+130</f>
        <v>13527.999999999998</v>
      </c>
      <c r="U296" s="256">
        <f t="shared" si="798"/>
        <v>13527.999999999998</v>
      </c>
      <c r="V296" s="536">
        <f>F296+110</f>
        <v>13507.999999999998</v>
      </c>
      <c r="W296" s="256">
        <f t="shared" si="799"/>
        <v>13507.999999999998</v>
      </c>
      <c r="X296" s="550"/>
      <c r="Y296" s="551"/>
      <c r="Z296" s="551"/>
      <c r="AA296" s="552"/>
      <c r="AB296" s="178">
        <v>1019</v>
      </c>
      <c r="AC296" s="4"/>
      <c r="AD296" s="4"/>
      <c r="AE296" s="4"/>
      <c r="AF296" s="4"/>
      <c r="AG296" s="4"/>
      <c r="AH296" s="116"/>
      <c r="AI296" s="4"/>
      <c r="AJ296" s="4"/>
      <c r="AK296" s="4"/>
      <c r="AL296" s="4"/>
    </row>
    <row r="297" spans="1:38" ht="12.6" customHeight="1" x14ac:dyDescent="0.2">
      <c r="A297" s="17"/>
      <c r="B297" s="705" t="s">
        <v>933</v>
      </c>
      <c r="C297" s="706"/>
      <c r="D297" s="706"/>
      <c r="E297" s="706"/>
      <c r="F297" s="326">
        <f>3.18*X2</f>
        <v>4897.2</v>
      </c>
      <c r="G297" s="271">
        <f t="shared" si="791"/>
        <v>4897.2</v>
      </c>
      <c r="H297" s="527">
        <f>F297+800</f>
        <v>5697.2</v>
      </c>
      <c r="I297" s="255">
        <f>+H297*$X$1</f>
        <v>5697.2</v>
      </c>
      <c r="J297" s="527">
        <f>F297+600</f>
        <v>5497.2</v>
      </c>
      <c r="K297" s="255">
        <f>+J297*$X$1</f>
        <v>5497.2</v>
      </c>
      <c r="L297" s="527">
        <f>F297+500</f>
        <v>5397.2</v>
      </c>
      <c r="M297" s="255">
        <f t="shared" ref="M297" si="801">+L297*$X$1</f>
        <v>5397.2</v>
      </c>
      <c r="N297" s="527">
        <f>F297+450</f>
        <v>5347.2</v>
      </c>
      <c r="O297" s="255">
        <f t="shared" ref="O297" si="802">+N297*$X$1</f>
        <v>5347.2</v>
      </c>
      <c r="P297" s="527">
        <f>F297+360</f>
        <v>5257.2</v>
      </c>
      <c r="Q297" s="255">
        <f t="shared" ref="Q297" si="803">+P297*$X$1</f>
        <v>5257.2</v>
      </c>
      <c r="R297" s="527">
        <f>F297+330</f>
        <v>5227.2</v>
      </c>
      <c r="S297" s="255">
        <f t="shared" ref="S297" si="804">+R297*$X$1</f>
        <v>5227.2</v>
      </c>
      <c r="T297" s="93">
        <f>F297+300</f>
        <v>5197.2</v>
      </c>
      <c r="U297" s="234">
        <f t="shared" ref="U297" si="805">+T297*$X$1</f>
        <v>5197.2</v>
      </c>
      <c r="V297" s="93">
        <f>F297+260</f>
        <v>5157.2</v>
      </c>
      <c r="W297" s="234">
        <f t="shared" ref="W297" si="806">+V297*$X$1</f>
        <v>5157.2</v>
      </c>
      <c r="X297" s="135"/>
      <c r="Y297" s="135"/>
      <c r="Z297" s="135"/>
      <c r="AA297" s="135"/>
      <c r="AB297" s="178">
        <v>1021</v>
      </c>
    </row>
    <row r="298" spans="1:38" ht="12.6" customHeight="1" x14ac:dyDescent="0.2">
      <c r="A298" s="17"/>
      <c r="B298" s="670" t="s">
        <v>934</v>
      </c>
      <c r="C298" s="671"/>
      <c r="D298" s="671"/>
      <c r="E298" s="671"/>
      <c r="F298" s="570">
        <v>13260</v>
      </c>
      <c r="G298" s="300">
        <f t="shared" ref="G298" si="807">+F298*$X$1</f>
        <v>13260</v>
      </c>
      <c r="H298" s="536"/>
      <c r="I298" s="256"/>
      <c r="J298" s="536">
        <f>F298+600</f>
        <v>13860</v>
      </c>
      <c r="K298" s="256">
        <f>+J298*$X$1</f>
        <v>13860</v>
      </c>
      <c r="L298" s="536">
        <f>F298+500</f>
        <v>13760</v>
      </c>
      <c r="M298" s="256">
        <f t="shared" ref="M298:M299" si="808">+L298*$X$1</f>
        <v>13760</v>
      </c>
      <c r="N298" s="536">
        <f>F298+450</f>
        <v>13710</v>
      </c>
      <c r="O298" s="256">
        <f t="shared" ref="O298:O299" si="809">+N298*$X$1</f>
        <v>13710</v>
      </c>
      <c r="P298" s="536">
        <f>F298+360</f>
        <v>13620</v>
      </c>
      <c r="Q298" s="256">
        <f t="shared" ref="Q298:Q299" si="810">+P298*$X$1</f>
        <v>13620</v>
      </c>
      <c r="R298" s="536">
        <f>F298+330</f>
        <v>13590</v>
      </c>
      <c r="S298" s="256">
        <f t="shared" ref="S298:S299" si="811">+R298*$X$1</f>
        <v>13590</v>
      </c>
      <c r="T298" s="92">
        <f>F298+300</f>
        <v>13560</v>
      </c>
      <c r="U298" s="269">
        <f t="shared" ref="U298:U299" si="812">+T298*$X$1</f>
        <v>13560</v>
      </c>
      <c r="V298" s="92">
        <f>F298+260</f>
        <v>13520</v>
      </c>
      <c r="W298" s="269">
        <f t="shared" ref="W298:W299" si="813">+V298*$X$1</f>
        <v>13520</v>
      </c>
      <c r="X298" s="135"/>
      <c r="Y298" s="135"/>
      <c r="Z298" s="135"/>
      <c r="AA298" s="135"/>
      <c r="AB298" s="178">
        <v>1022</v>
      </c>
    </row>
    <row r="299" spans="1:38" ht="12.6" customHeight="1" x14ac:dyDescent="0.2">
      <c r="A299" s="17"/>
      <c r="B299" s="652" t="s">
        <v>875</v>
      </c>
      <c r="C299" s="698"/>
      <c r="D299" s="698"/>
      <c r="E299" s="698"/>
      <c r="F299" s="323">
        <v>7980</v>
      </c>
      <c r="G299" s="255">
        <f>+F299*$X$1</f>
        <v>7980</v>
      </c>
      <c r="H299" s="68">
        <f>F299+720</f>
        <v>8700</v>
      </c>
      <c r="I299" s="255">
        <f t="shared" ref="I299" si="814">+H299*$X$1</f>
        <v>8700</v>
      </c>
      <c r="J299" s="527">
        <f>F299+320</f>
        <v>8300</v>
      </c>
      <c r="K299" s="255">
        <f t="shared" ref="K299" si="815">+J299*$X$1</f>
        <v>8300</v>
      </c>
      <c r="L299" s="527">
        <f t="shared" ref="L299:L305" si="816">F299+260</f>
        <v>8240</v>
      </c>
      <c r="M299" s="255">
        <f t="shared" si="808"/>
        <v>8240</v>
      </c>
      <c r="N299" s="527">
        <f t="shared" ref="N299:N305" si="817">F299+220</f>
        <v>8200</v>
      </c>
      <c r="O299" s="255">
        <f t="shared" si="809"/>
        <v>8200</v>
      </c>
      <c r="P299" s="527">
        <f>F299+190</f>
        <v>8170</v>
      </c>
      <c r="Q299" s="255">
        <f t="shared" si="810"/>
        <v>8170</v>
      </c>
      <c r="R299" s="527">
        <f>F299+160</f>
        <v>8140</v>
      </c>
      <c r="S299" s="255">
        <f t="shared" si="811"/>
        <v>8140</v>
      </c>
      <c r="T299" s="527">
        <f>F299+130</f>
        <v>8110</v>
      </c>
      <c r="U299" s="255">
        <f t="shared" si="812"/>
        <v>8110</v>
      </c>
      <c r="V299" s="527">
        <f>F299+110</f>
        <v>8090</v>
      </c>
      <c r="W299" s="255">
        <f t="shared" si="813"/>
        <v>8090</v>
      </c>
      <c r="X299" s="714"/>
      <c r="Y299" s="715"/>
      <c r="Z299" s="715"/>
      <c r="AA299" s="716"/>
      <c r="AB299" s="178">
        <v>1023</v>
      </c>
    </row>
    <row r="300" spans="1:38" s="1" customFormat="1" ht="12.6" customHeight="1" x14ac:dyDescent="0.2">
      <c r="A300" s="18"/>
      <c r="B300" s="642" t="s">
        <v>805</v>
      </c>
      <c r="C300" s="680"/>
      <c r="D300" s="680"/>
      <c r="E300" s="681"/>
      <c r="F300" s="324">
        <f>2.5*X2</f>
        <v>3850</v>
      </c>
      <c r="G300" s="256">
        <f>+F300*$X$1</f>
        <v>3850</v>
      </c>
      <c r="H300" s="536">
        <f>F300+700</f>
        <v>4550</v>
      </c>
      <c r="I300" s="256">
        <f t="shared" ref="I300" si="818">+H300*$X$1</f>
        <v>4550</v>
      </c>
      <c r="J300" s="536">
        <f>F300+300</f>
        <v>4150</v>
      </c>
      <c r="K300" s="256">
        <f t="shared" ref="K300" si="819">+J300*$X$1</f>
        <v>4150</v>
      </c>
      <c r="L300" s="536">
        <f t="shared" si="816"/>
        <v>4110</v>
      </c>
      <c r="M300" s="256">
        <f t="shared" ref="M300:M307" si="820">+L300*$X$1</f>
        <v>4110</v>
      </c>
      <c r="N300" s="536">
        <f t="shared" si="817"/>
        <v>4070</v>
      </c>
      <c r="O300" s="256">
        <f t="shared" ref="O300:O307" si="821">+N300*$X$1</f>
        <v>4070</v>
      </c>
      <c r="P300" s="536">
        <f>F300+185</f>
        <v>4035</v>
      </c>
      <c r="Q300" s="256">
        <f t="shared" ref="Q300:Q307" si="822">+P300*$X$1</f>
        <v>4035</v>
      </c>
      <c r="R300" s="536">
        <f>F300+165</f>
        <v>4015</v>
      </c>
      <c r="S300" s="256">
        <f t="shared" ref="S300:S307" si="823">+R300*$X$1</f>
        <v>4015</v>
      </c>
      <c r="T300" s="92">
        <f>F300+145</f>
        <v>3995</v>
      </c>
      <c r="U300" s="269">
        <f t="shared" ref="U300:U307" si="824">+T300*$X$1</f>
        <v>3995</v>
      </c>
      <c r="V300" s="92">
        <f>F300+125</f>
        <v>3975</v>
      </c>
      <c r="W300" s="269">
        <f t="shared" ref="W300:W307" si="825">+V300*$X$1</f>
        <v>3975</v>
      </c>
      <c r="X300" s="467"/>
      <c r="Y300" s="469"/>
      <c r="Z300" s="469"/>
      <c r="AA300" s="468"/>
      <c r="AB300" s="178">
        <v>1024</v>
      </c>
      <c r="AC300" s="4"/>
      <c r="AD300" s="4"/>
      <c r="AE300" s="4"/>
      <c r="AF300" s="4"/>
      <c r="AG300" s="4"/>
      <c r="AH300" s="416"/>
      <c r="AI300" s="4"/>
      <c r="AJ300" s="4"/>
      <c r="AK300" s="4"/>
      <c r="AL300" s="4"/>
    </row>
    <row r="301" spans="1:38" s="1" customFormat="1" ht="12.6" customHeight="1" x14ac:dyDescent="0.2">
      <c r="A301" s="18"/>
      <c r="B301" s="683" t="s">
        <v>906</v>
      </c>
      <c r="C301" s="703"/>
      <c r="D301" s="703"/>
      <c r="E301" s="704"/>
      <c r="F301" s="323">
        <f>2.46*X2</f>
        <v>3788.4</v>
      </c>
      <c r="G301" s="255">
        <f>+F301*$X$1</f>
        <v>3788.4</v>
      </c>
      <c r="H301" s="527">
        <f>F301+700</f>
        <v>4488.3999999999996</v>
      </c>
      <c r="I301" s="255">
        <f t="shared" ref="I301:I302" si="826">+H301*$X$1</f>
        <v>4488.3999999999996</v>
      </c>
      <c r="J301" s="527">
        <f>F301+300</f>
        <v>4088.4</v>
      </c>
      <c r="K301" s="255">
        <f t="shared" ref="K301:K302" si="827">+J301*$X$1</f>
        <v>4088.4</v>
      </c>
      <c r="L301" s="527">
        <f t="shared" si="816"/>
        <v>4048.4</v>
      </c>
      <c r="M301" s="255">
        <f t="shared" ref="M301:M302" si="828">+L301*$X$1</f>
        <v>4048.4</v>
      </c>
      <c r="N301" s="527">
        <f t="shared" si="817"/>
        <v>4008.4</v>
      </c>
      <c r="O301" s="255">
        <f t="shared" ref="O301:O302" si="829">+N301*$X$1</f>
        <v>4008.4</v>
      </c>
      <c r="P301" s="527">
        <f>F301+185</f>
        <v>3973.4</v>
      </c>
      <c r="Q301" s="255">
        <f t="shared" ref="Q301:Q302" si="830">+P301*$X$1</f>
        <v>3973.4</v>
      </c>
      <c r="R301" s="527">
        <f>F301+165</f>
        <v>3953.4</v>
      </c>
      <c r="S301" s="255">
        <f t="shared" ref="S301:S302" si="831">+R301*$X$1</f>
        <v>3953.4</v>
      </c>
      <c r="T301" s="93">
        <f>F301+145</f>
        <v>3933.4</v>
      </c>
      <c r="U301" s="234">
        <f t="shared" ref="U301:U302" si="832">+T301*$X$1</f>
        <v>3933.4</v>
      </c>
      <c r="V301" s="93">
        <f>F301+125</f>
        <v>3913.4</v>
      </c>
      <c r="W301" s="234">
        <f t="shared" ref="W301:W302" si="833">+V301*$X$1</f>
        <v>3913.4</v>
      </c>
      <c r="X301" s="415"/>
      <c r="Y301" s="413"/>
      <c r="Z301" s="413"/>
      <c r="AA301" s="414"/>
      <c r="AB301" s="178">
        <v>1026</v>
      </c>
      <c r="AC301" s="4"/>
      <c r="AD301" s="4"/>
      <c r="AE301" s="4"/>
      <c r="AF301" s="4"/>
      <c r="AG301" s="4"/>
      <c r="AH301" s="416"/>
      <c r="AI301" s="4"/>
      <c r="AJ301" s="4"/>
      <c r="AK301" s="4"/>
      <c r="AL301" s="4"/>
    </row>
    <row r="302" spans="1:38" s="1" customFormat="1" ht="12.6" customHeight="1" x14ac:dyDescent="0.2">
      <c r="A302" s="18"/>
      <c r="B302" s="642" t="s">
        <v>538</v>
      </c>
      <c r="C302" s="680"/>
      <c r="D302" s="680"/>
      <c r="E302" s="681"/>
      <c r="F302" s="482">
        <f>12*X2</f>
        <v>18480</v>
      </c>
      <c r="G302" s="258">
        <f t="shared" ref="G302:G304" si="834">+F302*$X$1</f>
        <v>18480</v>
      </c>
      <c r="H302" s="82">
        <f>F302+720</f>
        <v>19200</v>
      </c>
      <c r="I302" s="256">
        <f t="shared" si="826"/>
        <v>19200</v>
      </c>
      <c r="J302" s="536">
        <f>F302+320</f>
        <v>18800</v>
      </c>
      <c r="K302" s="256">
        <f t="shared" si="827"/>
        <v>18800</v>
      </c>
      <c r="L302" s="536">
        <f t="shared" si="816"/>
        <v>18740</v>
      </c>
      <c r="M302" s="256">
        <f t="shared" si="828"/>
        <v>18740</v>
      </c>
      <c r="N302" s="536">
        <f t="shared" si="817"/>
        <v>18700</v>
      </c>
      <c r="O302" s="256">
        <f t="shared" si="829"/>
        <v>18700</v>
      </c>
      <c r="P302" s="536">
        <f>F302+190</f>
        <v>18670</v>
      </c>
      <c r="Q302" s="256">
        <f t="shared" si="830"/>
        <v>18670</v>
      </c>
      <c r="R302" s="536">
        <f>F302+160</f>
        <v>18640</v>
      </c>
      <c r="S302" s="256">
        <f t="shared" si="831"/>
        <v>18640</v>
      </c>
      <c r="T302" s="536">
        <f>F302+130</f>
        <v>18610</v>
      </c>
      <c r="U302" s="256">
        <f t="shared" si="832"/>
        <v>18610</v>
      </c>
      <c r="V302" s="536">
        <f>F302+110</f>
        <v>18590</v>
      </c>
      <c r="W302" s="256">
        <f t="shared" si="833"/>
        <v>18590</v>
      </c>
      <c r="X302" s="296"/>
      <c r="Y302" s="297"/>
      <c r="Z302" s="297"/>
      <c r="AA302" s="298"/>
      <c r="AB302" s="178">
        <v>1028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83" t="s">
        <v>755</v>
      </c>
      <c r="C303" s="703"/>
      <c r="D303" s="703"/>
      <c r="E303" s="704"/>
      <c r="F303" s="291">
        <v>4130</v>
      </c>
      <c r="G303" s="255">
        <f t="shared" ref="G303" si="835">+F303*$X$1</f>
        <v>4130</v>
      </c>
      <c r="H303" s="527"/>
      <c r="I303" s="255"/>
      <c r="J303" s="527"/>
      <c r="K303" s="255"/>
      <c r="L303" s="527">
        <f t="shared" si="816"/>
        <v>4390</v>
      </c>
      <c r="M303" s="255">
        <f t="shared" si="820"/>
        <v>4390</v>
      </c>
      <c r="N303" s="527">
        <f t="shared" si="817"/>
        <v>4350</v>
      </c>
      <c r="O303" s="255">
        <f t="shared" si="821"/>
        <v>4350</v>
      </c>
      <c r="P303" s="527">
        <f>F303+185</f>
        <v>4315</v>
      </c>
      <c r="Q303" s="255">
        <f t="shared" si="822"/>
        <v>4315</v>
      </c>
      <c r="R303" s="527">
        <f>F303+165</f>
        <v>4295</v>
      </c>
      <c r="S303" s="255">
        <f t="shared" si="823"/>
        <v>4295</v>
      </c>
      <c r="T303" s="93">
        <f>F303+145</f>
        <v>4275</v>
      </c>
      <c r="U303" s="234">
        <f t="shared" si="824"/>
        <v>4275</v>
      </c>
      <c r="V303" s="93">
        <f>F303+125</f>
        <v>4255</v>
      </c>
      <c r="W303" s="234">
        <f t="shared" si="825"/>
        <v>4255</v>
      </c>
      <c r="X303" s="421"/>
      <c r="Y303" s="422"/>
      <c r="Z303" s="422"/>
      <c r="AA303" s="423"/>
      <c r="AB303" s="178">
        <v>1029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42" t="s">
        <v>536</v>
      </c>
      <c r="C304" s="680"/>
      <c r="D304" s="680"/>
      <c r="E304" s="681"/>
      <c r="F304" s="290">
        <v>4130</v>
      </c>
      <c r="G304" s="256">
        <f t="shared" si="834"/>
        <v>4130</v>
      </c>
      <c r="H304" s="536"/>
      <c r="I304" s="256"/>
      <c r="J304" s="536"/>
      <c r="K304" s="256"/>
      <c r="L304" s="536">
        <f t="shared" si="816"/>
        <v>4390</v>
      </c>
      <c r="M304" s="256">
        <f t="shared" si="820"/>
        <v>4390</v>
      </c>
      <c r="N304" s="536">
        <f t="shared" si="817"/>
        <v>4350</v>
      </c>
      <c r="O304" s="256">
        <f t="shared" si="821"/>
        <v>4350</v>
      </c>
      <c r="P304" s="536">
        <f>F304+185</f>
        <v>4315</v>
      </c>
      <c r="Q304" s="256">
        <f t="shared" si="822"/>
        <v>4315</v>
      </c>
      <c r="R304" s="536">
        <f>F304+165</f>
        <v>4295</v>
      </c>
      <c r="S304" s="256">
        <f t="shared" si="823"/>
        <v>4295</v>
      </c>
      <c r="T304" s="92">
        <f>F304+145</f>
        <v>4275</v>
      </c>
      <c r="U304" s="269">
        <f t="shared" si="824"/>
        <v>4275</v>
      </c>
      <c r="V304" s="92">
        <f>F304+125</f>
        <v>4255</v>
      </c>
      <c r="W304" s="269">
        <f t="shared" si="825"/>
        <v>4255</v>
      </c>
      <c r="X304" s="286"/>
      <c r="Y304" s="284"/>
      <c r="Z304" s="284"/>
      <c r="AA304" s="285"/>
      <c r="AB304" s="178">
        <v>1030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83" t="s">
        <v>537</v>
      </c>
      <c r="C305" s="703"/>
      <c r="D305" s="703"/>
      <c r="E305" s="704"/>
      <c r="F305" s="291">
        <v>4130</v>
      </c>
      <c r="G305" s="255">
        <f t="shared" ref="G305:G306" si="836">+F305*$X$1</f>
        <v>4130</v>
      </c>
      <c r="H305" s="527"/>
      <c r="I305" s="255"/>
      <c r="J305" s="527"/>
      <c r="K305" s="255"/>
      <c r="L305" s="527">
        <f t="shared" si="816"/>
        <v>4390</v>
      </c>
      <c r="M305" s="255">
        <f t="shared" si="820"/>
        <v>4390</v>
      </c>
      <c r="N305" s="527">
        <f t="shared" si="817"/>
        <v>4350</v>
      </c>
      <c r="O305" s="255">
        <f t="shared" si="821"/>
        <v>4350</v>
      </c>
      <c r="P305" s="527">
        <f>F305+185</f>
        <v>4315</v>
      </c>
      <c r="Q305" s="255">
        <f t="shared" si="822"/>
        <v>4315</v>
      </c>
      <c r="R305" s="527">
        <f>F305+165</f>
        <v>4295</v>
      </c>
      <c r="S305" s="255">
        <f t="shared" si="823"/>
        <v>4295</v>
      </c>
      <c r="T305" s="93">
        <f>F305+145</f>
        <v>4275</v>
      </c>
      <c r="U305" s="234">
        <f t="shared" si="824"/>
        <v>4275</v>
      </c>
      <c r="V305" s="93">
        <f>F305+125</f>
        <v>4255</v>
      </c>
      <c r="W305" s="234">
        <f t="shared" si="825"/>
        <v>4255</v>
      </c>
      <c r="X305" s="292"/>
      <c r="Y305" s="293"/>
      <c r="Z305" s="293"/>
      <c r="AA305" s="294"/>
      <c r="AB305" s="178">
        <v>1031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42" t="s">
        <v>765</v>
      </c>
      <c r="C306" s="680"/>
      <c r="D306" s="680"/>
      <c r="E306" s="681"/>
      <c r="F306" s="324">
        <f>13.8*X2</f>
        <v>21252</v>
      </c>
      <c r="G306" s="256">
        <f t="shared" si="836"/>
        <v>21252</v>
      </c>
      <c r="H306" s="82">
        <f>F306+700</f>
        <v>21952</v>
      </c>
      <c r="I306" s="256">
        <f t="shared" ref="I306:I307" si="837">+H306*$X$1</f>
        <v>21952</v>
      </c>
      <c r="J306" s="536">
        <f>F306+300</f>
        <v>21552</v>
      </c>
      <c r="K306" s="256">
        <f t="shared" ref="K306:K307" si="838">+J306*$X$1</f>
        <v>21552</v>
      </c>
      <c r="L306" s="536">
        <f>F306+245</f>
        <v>21497</v>
      </c>
      <c r="M306" s="256">
        <f t="shared" si="820"/>
        <v>21497</v>
      </c>
      <c r="N306" s="536">
        <f>F306+200</f>
        <v>21452</v>
      </c>
      <c r="O306" s="256">
        <f t="shared" si="821"/>
        <v>21452</v>
      </c>
      <c r="P306" s="536">
        <f>F306+170</f>
        <v>21422</v>
      </c>
      <c r="Q306" s="256">
        <f t="shared" si="822"/>
        <v>21422</v>
      </c>
      <c r="R306" s="536">
        <f>F306+140</f>
        <v>21392</v>
      </c>
      <c r="S306" s="256">
        <f t="shared" si="823"/>
        <v>21392</v>
      </c>
      <c r="T306" s="536">
        <f>F306+110</f>
        <v>21362</v>
      </c>
      <c r="U306" s="256">
        <f t="shared" si="824"/>
        <v>21362</v>
      </c>
      <c r="V306" s="536">
        <f>F306+90</f>
        <v>21342</v>
      </c>
      <c r="W306" s="256">
        <f t="shared" si="825"/>
        <v>21342</v>
      </c>
      <c r="X306" s="228"/>
      <c r="Y306" s="229"/>
      <c r="Z306" s="229"/>
      <c r="AA306" s="230"/>
      <c r="AB306" s="178">
        <v>1032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s="1" customFormat="1" ht="12.6" customHeight="1" x14ac:dyDescent="0.2">
      <c r="A307" s="18"/>
      <c r="B307" s="683" t="s">
        <v>420</v>
      </c>
      <c r="C307" s="703"/>
      <c r="D307" s="703"/>
      <c r="E307" s="704"/>
      <c r="F307" s="323">
        <f>20.46*X2</f>
        <v>31508.400000000001</v>
      </c>
      <c r="G307" s="255">
        <f t="shared" ref="G307" si="839">+F307*$X$1</f>
        <v>31508.400000000001</v>
      </c>
      <c r="H307" s="68">
        <f>F307+720</f>
        <v>32228.400000000001</v>
      </c>
      <c r="I307" s="255">
        <f t="shared" si="837"/>
        <v>32228.400000000001</v>
      </c>
      <c r="J307" s="527">
        <f>F307+320</f>
        <v>31828.400000000001</v>
      </c>
      <c r="K307" s="255">
        <f t="shared" si="838"/>
        <v>31828.400000000001</v>
      </c>
      <c r="L307" s="527">
        <f>F307+260</f>
        <v>31768.400000000001</v>
      </c>
      <c r="M307" s="255">
        <f t="shared" si="820"/>
        <v>31768.400000000001</v>
      </c>
      <c r="N307" s="527">
        <f>F307+220</f>
        <v>31728.400000000001</v>
      </c>
      <c r="O307" s="255">
        <f t="shared" si="821"/>
        <v>31728.400000000001</v>
      </c>
      <c r="P307" s="527">
        <f>F307+190</f>
        <v>31698.400000000001</v>
      </c>
      <c r="Q307" s="255">
        <f t="shared" si="822"/>
        <v>31698.400000000001</v>
      </c>
      <c r="R307" s="527">
        <f>F307+160</f>
        <v>31668.400000000001</v>
      </c>
      <c r="S307" s="255">
        <f t="shared" si="823"/>
        <v>31668.400000000001</v>
      </c>
      <c r="T307" s="527">
        <f>F307+130</f>
        <v>31638.400000000001</v>
      </c>
      <c r="U307" s="255">
        <f t="shared" si="824"/>
        <v>31638.400000000001</v>
      </c>
      <c r="V307" s="527">
        <f>F307+110</f>
        <v>31618.400000000001</v>
      </c>
      <c r="W307" s="255">
        <f t="shared" si="825"/>
        <v>31618.400000000001</v>
      </c>
      <c r="X307" s="221"/>
      <c r="Y307" s="223"/>
      <c r="Z307" s="223"/>
      <c r="AA307" s="222"/>
      <c r="AB307" s="178">
        <v>1034</v>
      </c>
      <c r="AC307" s="4"/>
      <c r="AD307" s="4"/>
      <c r="AE307" s="4"/>
      <c r="AF307" s="4"/>
      <c r="AG307" s="4"/>
      <c r="AH307" s="116"/>
      <c r="AI307" s="4"/>
      <c r="AJ307" s="4"/>
      <c r="AK307" s="4"/>
      <c r="AL307" s="4"/>
    </row>
    <row r="308" spans="1:38" ht="12.6" customHeight="1" x14ac:dyDescent="0.2">
      <c r="A308" s="17"/>
      <c r="B308" s="657" t="s">
        <v>384</v>
      </c>
      <c r="C308" s="633"/>
      <c r="D308" s="633"/>
      <c r="E308" s="633"/>
      <c r="F308" s="290">
        <v>10230</v>
      </c>
      <c r="G308" s="256">
        <f>+F308*$X$1</f>
        <v>10230</v>
      </c>
      <c r="H308" s="82">
        <f>F308+700</f>
        <v>10930</v>
      </c>
      <c r="I308" s="256">
        <f t="shared" ref="I308:I313" si="840">+H308*$X$1</f>
        <v>10930</v>
      </c>
      <c r="J308" s="536">
        <f>F308+300</f>
        <v>10530</v>
      </c>
      <c r="K308" s="256">
        <f t="shared" ref="K308:K313" si="841">+J308*$X$1</f>
        <v>10530</v>
      </c>
      <c r="L308" s="536">
        <f>F308+245</f>
        <v>10475</v>
      </c>
      <c r="M308" s="256">
        <f t="shared" ref="M308:M310" si="842">+L308*$X$1</f>
        <v>10475</v>
      </c>
      <c r="N308" s="536">
        <f>F308+200</f>
        <v>10430</v>
      </c>
      <c r="O308" s="256">
        <f t="shared" ref="O308:O310" si="843">+N308*$X$1</f>
        <v>10430</v>
      </c>
      <c r="P308" s="536">
        <f>F308+170</f>
        <v>10400</v>
      </c>
      <c r="Q308" s="256">
        <f t="shared" ref="Q308:Q310" si="844">+P308*$X$1</f>
        <v>10400</v>
      </c>
      <c r="R308" s="536">
        <f>F308+140</f>
        <v>10370</v>
      </c>
      <c r="S308" s="256">
        <f t="shared" ref="S308:S310" si="845">+R308*$X$1</f>
        <v>10370</v>
      </c>
      <c r="T308" s="536">
        <f>F308+110</f>
        <v>10340</v>
      </c>
      <c r="U308" s="256">
        <f t="shared" ref="U308:U310" si="846">+T308*$X$1</f>
        <v>10340</v>
      </c>
      <c r="V308" s="536">
        <f>F308+90</f>
        <v>10320</v>
      </c>
      <c r="W308" s="256">
        <f t="shared" ref="W308:W310" si="847">+V308*$X$1</f>
        <v>10320</v>
      </c>
      <c r="X308" s="714"/>
      <c r="Y308" s="715"/>
      <c r="Z308" s="715"/>
      <c r="AA308" s="716"/>
      <c r="AB308" s="178">
        <v>1040</v>
      </c>
      <c r="AC308" s="61"/>
    </row>
    <row r="309" spans="1:38" ht="12.6" customHeight="1" x14ac:dyDescent="0.2">
      <c r="A309" s="17"/>
      <c r="B309" s="678" t="s">
        <v>691</v>
      </c>
      <c r="C309" s="679"/>
      <c r="D309" s="679"/>
      <c r="E309" s="679"/>
      <c r="F309" s="323">
        <f>19.97*X2</f>
        <v>30753.8</v>
      </c>
      <c r="G309" s="255">
        <f>+F309*$X$1</f>
        <v>30753.8</v>
      </c>
      <c r="H309" s="68">
        <f>F309+700</f>
        <v>31453.8</v>
      </c>
      <c r="I309" s="255">
        <f t="shared" si="840"/>
        <v>31453.8</v>
      </c>
      <c r="J309" s="527">
        <f>F309+300</f>
        <v>31053.8</v>
      </c>
      <c r="K309" s="255">
        <f t="shared" si="841"/>
        <v>31053.8</v>
      </c>
      <c r="L309" s="527">
        <f>F309+245</f>
        <v>30998.799999999999</v>
      </c>
      <c r="M309" s="255">
        <f t="shared" si="842"/>
        <v>30998.799999999999</v>
      </c>
      <c r="N309" s="527">
        <f>F309+200</f>
        <v>30953.8</v>
      </c>
      <c r="O309" s="255">
        <f t="shared" si="843"/>
        <v>30953.8</v>
      </c>
      <c r="P309" s="527">
        <f>F309+170</f>
        <v>30923.8</v>
      </c>
      <c r="Q309" s="255">
        <f t="shared" si="844"/>
        <v>30923.8</v>
      </c>
      <c r="R309" s="527">
        <f>F309+140</f>
        <v>30893.8</v>
      </c>
      <c r="S309" s="255">
        <f t="shared" si="845"/>
        <v>30893.8</v>
      </c>
      <c r="T309" s="527">
        <f>F309+110</f>
        <v>30863.8</v>
      </c>
      <c r="U309" s="255">
        <f t="shared" si="846"/>
        <v>30863.8</v>
      </c>
      <c r="V309" s="527">
        <f>F309+90</f>
        <v>30843.8</v>
      </c>
      <c r="W309" s="255">
        <f t="shared" si="847"/>
        <v>30843.8</v>
      </c>
      <c r="X309" s="714"/>
      <c r="Y309" s="715"/>
      <c r="Z309" s="715"/>
      <c r="AA309" s="716"/>
      <c r="AB309" s="178">
        <v>1041</v>
      </c>
      <c r="AC309" s="61"/>
    </row>
    <row r="310" spans="1:38" ht="12.6" customHeight="1" x14ac:dyDescent="0.2">
      <c r="A310" s="17"/>
      <c r="B310" s="657" t="s">
        <v>690</v>
      </c>
      <c r="C310" s="633"/>
      <c r="D310" s="633"/>
      <c r="E310" s="633"/>
      <c r="F310" s="324">
        <f>12.6*X2</f>
        <v>19404</v>
      </c>
      <c r="G310" s="256">
        <f t="shared" ref="G310" si="848">+F310*$X$1</f>
        <v>19404</v>
      </c>
      <c r="H310" s="82">
        <f>F310+720</f>
        <v>20124</v>
      </c>
      <c r="I310" s="256">
        <f t="shared" si="840"/>
        <v>20124</v>
      </c>
      <c r="J310" s="536">
        <f>F310+320</f>
        <v>19724</v>
      </c>
      <c r="K310" s="256">
        <f t="shared" si="841"/>
        <v>19724</v>
      </c>
      <c r="L310" s="536">
        <f>F310+260</f>
        <v>19664</v>
      </c>
      <c r="M310" s="256">
        <f t="shared" si="842"/>
        <v>19664</v>
      </c>
      <c r="N310" s="536">
        <f>F310+220</f>
        <v>19624</v>
      </c>
      <c r="O310" s="256">
        <f t="shared" si="843"/>
        <v>19624</v>
      </c>
      <c r="P310" s="536">
        <f>F310+190</f>
        <v>19594</v>
      </c>
      <c r="Q310" s="256">
        <f t="shared" si="844"/>
        <v>19594</v>
      </c>
      <c r="R310" s="536">
        <f>F310+160</f>
        <v>19564</v>
      </c>
      <c r="S310" s="256">
        <f t="shared" si="845"/>
        <v>19564</v>
      </c>
      <c r="T310" s="536">
        <f>F310+130</f>
        <v>19534</v>
      </c>
      <c r="U310" s="256">
        <f t="shared" si="846"/>
        <v>19534</v>
      </c>
      <c r="V310" s="536">
        <f>F310+110</f>
        <v>19514</v>
      </c>
      <c r="W310" s="256">
        <f t="shared" si="847"/>
        <v>19514</v>
      </c>
      <c r="X310" s="714"/>
      <c r="Y310" s="715"/>
      <c r="Z310" s="715"/>
      <c r="AA310" s="716"/>
      <c r="AB310" s="178">
        <v>1042</v>
      </c>
    </row>
    <row r="311" spans="1:38" ht="12.6" customHeight="1" x14ac:dyDescent="0.2">
      <c r="A311" s="17"/>
      <c r="B311" s="678" t="s">
        <v>469</v>
      </c>
      <c r="C311" s="679"/>
      <c r="D311" s="679"/>
      <c r="E311" s="679"/>
      <c r="F311" s="291">
        <v>19100</v>
      </c>
      <c r="G311" s="255">
        <f t="shared" ref="G311:G312" si="849">+F311*$X$1</f>
        <v>19100</v>
      </c>
      <c r="H311" s="68">
        <f t="shared" ref="H311:H313" si="850">F311+700</f>
        <v>19800</v>
      </c>
      <c r="I311" s="255">
        <f t="shared" si="840"/>
        <v>19800</v>
      </c>
      <c r="J311" s="527">
        <f t="shared" ref="J311:J313" si="851">F311+300</f>
        <v>19400</v>
      </c>
      <c r="K311" s="255">
        <f t="shared" si="841"/>
        <v>19400</v>
      </c>
      <c r="L311" s="527">
        <f t="shared" ref="L311:L313" si="852">F311+245</f>
        <v>19345</v>
      </c>
      <c r="M311" s="255">
        <f t="shared" ref="M311:M313" si="853">+L311*$X$1</f>
        <v>19345</v>
      </c>
      <c r="N311" s="527">
        <f t="shared" ref="N311:N313" si="854">F311+200</f>
        <v>19300</v>
      </c>
      <c r="O311" s="255">
        <f t="shared" ref="O311:O313" si="855">+N311*$X$1</f>
        <v>19300</v>
      </c>
      <c r="P311" s="527">
        <f t="shared" ref="P311:P313" si="856">F311+170</f>
        <v>19270</v>
      </c>
      <c r="Q311" s="255">
        <f t="shared" ref="Q311:Q313" si="857">+P311*$X$1</f>
        <v>19270</v>
      </c>
      <c r="R311" s="527">
        <f t="shared" ref="R311:R313" si="858">F311+140</f>
        <v>19240</v>
      </c>
      <c r="S311" s="255">
        <f t="shared" ref="S311:S313" si="859">+R311*$X$1</f>
        <v>19240</v>
      </c>
      <c r="T311" s="527">
        <f t="shared" ref="T311:T313" si="860">F311+110</f>
        <v>19210</v>
      </c>
      <c r="U311" s="255">
        <f t="shared" ref="U311:U313" si="861">+T311*$X$1</f>
        <v>19210</v>
      </c>
      <c r="V311" s="527">
        <f t="shared" ref="V311:V313" si="862">F311+90</f>
        <v>19190</v>
      </c>
      <c r="W311" s="255">
        <f t="shared" ref="W311:W313" si="863">+V311*$X$1</f>
        <v>19190</v>
      </c>
      <c r="X311" s="714"/>
      <c r="Y311" s="715"/>
      <c r="Z311" s="715"/>
      <c r="AA311" s="716"/>
      <c r="AB311" s="178">
        <v>1043</v>
      </c>
      <c r="AC311" s="61"/>
    </row>
    <row r="312" spans="1:38" ht="12.6" customHeight="1" x14ac:dyDescent="0.2">
      <c r="A312" s="17"/>
      <c r="B312" s="657" t="s">
        <v>883</v>
      </c>
      <c r="C312" s="633"/>
      <c r="D312" s="633"/>
      <c r="E312" s="633"/>
      <c r="F312" s="290">
        <v>22950</v>
      </c>
      <c r="G312" s="256">
        <f t="shared" si="849"/>
        <v>22950</v>
      </c>
      <c r="H312" s="82">
        <f t="shared" si="850"/>
        <v>23650</v>
      </c>
      <c r="I312" s="256">
        <f t="shared" si="840"/>
        <v>23650</v>
      </c>
      <c r="J312" s="536">
        <f t="shared" si="851"/>
        <v>23250</v>
      </c>
      <c r="K312" s="256">
        <f t="shared" si="841"/>
        <v>23250</v>
      </c>
      <c r="L312" s="536">
        <f t="shared" si="852"/>
        <v>23195</v>
      </c>
      <c r="M312" s="256">
        <f t="shared" si="853"/>
        <v>23195</v>
      </c>
      <c r="N312" s="536">
        <f t="shared" si="854"/>
        <v>23150</v>
      </c>
      <c r="O312" s="256">
        <f t="shared" si="855"/>
        <v>23150</v>
      </c>
      <c r="P312" s="536">
        <f t="shared" si="856"/>
        <v>23120</v>
      </c>
      <c r="Q312" s="256">
        <f t="shared" si="857"/>
        <v>23120</v>
      </c>
      <c r="R312" s="536">
        <f t="shared" si="858"/>
        <v>23090</v>
      </c>
      <c r="S312" s="256">
        <f t="shared" si="859"/>
        <v>23090</v>
      </c>
      <c r="T312" s="536">
        <f t="shared" si="860"/>
        <v>23060</v>
      </c>
      <c r="U312" s="256">
        <f t="shared" si="861"/>
        <v>23060</v>
      </c>
      <c r="V312" s="536">
        <f t="shared" si="862"/>
        <v>23040</v>
      </c>
      <c r="W312" s="256">
        <f t="shared" si="863"/>
        <v>23040</v>
      </c>
      <c r="X312" s="714"/>
      <c r="Y312" s="715"/>
      <c r="Z312" s="715"/>
      <c r="AA312" s="716"/>
      <c r="AB312" s="178">
        <v>1044</v>
      </c>
      <c r="AC312" s="61"/>
    </row>
    <row r="313" spans="1:38" ht="12.6" customHeight="1" x14ac:dyDescent="0.2">
      <c r="A313" s="17"/>
      <c r="B313" s="678" t="s">
        <v>720</v>
      </c>
      <c r="C313" s="679"/>
      <c r="D313" s="679"/>
      <c r="E313" s="679"/>
      <c r="F313" s="291">
        <v>19910</v>
      </c>
      <c r="G313" s="255">
        <f>+F313*$X$1</f>
        <v>19910</v>
      </c>
      <c r="H313" s="68">
        <f t="shared" si="850"/>
        <v>20610</v>
      </c>
      <c r="I313" s="255">
        <f t="shared" si="840"/>
        <v>20610</v>
      </c>
      <c r="J313" s="527">
        <f t="shared" si="851"/>
        <v>20210</v>
      </c>
      <c r="K313" s="255">
        <f t="shared" si="841"/>
        <v>20210</v>
      </c>
      <c r="L313" s="527">
        <f t="shared" si="852"/>
        <v>20155</v>
      </c>
      <c r="M313" s="255">
        <f t="shared" si="853"/>
        <v>20155</v>
      </c>
      <c r="N313" s="527">
        <f t="shared" si="854"/>
        <v>20110</v>
      </c>
      <c r="O313" s="255">
        <f t="shared" si="855"/>
        <v>20110</v>
      </c>
      <c r="P313" s="527">
        <f t="shared" si="856"/>
        <v>20080</v>
      </c>
      <c r="Q313" s="255">
        <f t="shared" si="857"/>
        <v>20080</v>
      </c>
      <c r="R313" s="527">
        <f t="shared" si="858"/>
        <v>20050</v>
      </c>
      <c r="S313" s="255">
        <f t="shared" si="859"/>
        <v>20050</v>
      </c>
      <c r="T313" s="527">
        <f t="shared" si="860"/>
        <v>20020</v>
      </c>
      <c r="U313" s="255">
        <f t="shared" si="861"/>
        <v>20020</v>
      </c>
      <c r="V313" s="527">
        <f t="shared" si="862"/>
        <v>20000</v>
      </c>
      <c r="W313" s="255">
        <f t="shared" si="863"/>
        <v>20000</v>
      </c>
      <c r="X313" s="715"/>
      <c r="Y313" s="715"/>
      <c r="Z313" s="715"/>
      <c r="AA313" s="716"/>
      <c r="AB313" s="178">
        <v>1045</v>
      </c>
      <c r="AC313" s="61"/>
    </row>
    <row r="314" spans="1:38" ht="12.6" customHeight="1" x14ac:dyDescent="0.2">
      <c r="A314" s="17"/>
      <c r="B314" s="657" t="s">
        <v>1039</v>
      </c>
      <c r="C314" s="633"/>
      <c r="D314" s="633"/>
      <c r="E314" s="633"/>
      <c r="F314" s="290">
        <v>17450</v>
      </c>
      <c r="G314" s="256">
        <f>+F314*$X$1</f>
        <v>17450</v>
      </c>
      <c r="H314" s="82">
        <f t="shared" ref="H314" si="864">F314+700</f>
        <v>18150</v>
      </c>
      <c r="I314" s="256">
        <f t="shared" ref="I314" si="865">+H314*$X$1</f>
        <v>18150</v>
      </c>
      <c r="J314" s="536">
        <f t="shared" ref="J314" si="866">F314+300</f>
        <v>17750</v>
      </c>
      <c r="K314" s="256">
        <f t="shared" ref="K314" si="867">+J314*$X$1</f>
        <v>17750</v>
      </c>
      <c r="L314" s="536">
        <f t="shared" ref="L314" si="868">F314+245</f>
        <v>17695</v>
      </c>
      <c r="M314" s="256">
        <f t="shared" ref="M314" si="869">+L314*$X$1</f>
        <v>17695</v>
      </c>
      <c r="N314" s="536">
        <f t="shared" ref="N314" si="870">F314+200</f>
        <v>17650</v>
      </c>
      <c r="O314" s="256">
        <f t="shared" ref="O314" si="871">+N314*$X$1</f>
        <v>17650</v>
      </c>
      <c r="P314" s="536">
        <f t="shared" ref="P314" si="872">F314+170</f>
        <v>17620</v>
      </c>
      <c r="Q314" s="256">
        <f t="shared" ref="Q314" si="873">+P314*$X$1</f>
        <v>17620</v>
      </c>
      <c r="R314" s="536">
        <f t="shared" ref="R314" si="874">F314+140</f>
        <v>17590</v>
      </c>
      <c r="S314" s="256">
        <f t="shared" ref="S314" si="875">+R314*$X$1</f>
        <v>17590</v>
      </c>
      <c r="T314" s="536">
        <f t="shared" ref="T314" si="876">F314+110</f>
        <v>17560</v>
      </c>
      <c r="U314" s="256">
        <f t="shared" ref="U314" si="877">+T314*$X$1</f>
        <v>17560</v>
      </c>
      <c r="V314" s="536">
        <f t="shared" ref="V314" si="878">F314+90</f>
        <v>17540</v>
      </c>
      <c r="W314" s="256">
        <f t="shared" ref="W314" si="879">+V314*$X$1</f>
        <v>17540</v>
      </c>
      <c r="X314" s="715"/>
      <c r="Y314" s="715"/>
      <c r="Z314" s="715"/>
      <c r="AA314" s="716"/>
      <c r="AB314" s="178">
        <v>1046</v>
      </c>
      <c r="AC314" s="61"/>
    </row>
    <row r="315" spans="1:38" ht="12.75" customHeight="1" x14ac:dyDescent="0.2">
      <c r="A315" s="17"/>
      <c r="B315" s="3"/>
      <c r="C315" s="3"/>
      <c r="D315" s="3"/>
      <c r="E315" s="3"/>
      <c r="F315" s="4"/>
      <c r="G315" s="4"/>
      <c r="H315" s="22"/>
      <c r="I315" s="2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62"/>
      <c r="C317" s="62"/>
      <c r="D317" s="62"/>
      <c r="E317" s="62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4.25" customHeight="1" x14ac:dyDescent="0.2">
      <c r="A318" s="17"/>
      <c r="B318" s="789" t="s">
        <v>11</v>
      </c>
      <c r="C318" s="775" t="s">
        <v>12</v>
      </c>
      <c r="D318" s="776"/>
      <c r="E318" s="776"/>
      <c r="F318" s="650" t="s">
        <v>13</v>
      </c>
      <c r="G318" s="650" t="s">
        <v>13</v>
      </c>
      <c r="H318" s="695" t="s">
        <v>723</v>
      </c>
      <c r="I318" s="695"/>
      <c r="J318" s="696"/>
      <c r="K318" s="696"/>
      <c r="L318" s="696"/>
      <c r="M318" s="696"/>
      <c r="N318" s="696"/>
      <c r="O318" s="696"/>
      <c r="P318" s="696"/>
      <c r="Q318" s="696"/>
      <c r="R318" s="696"/>
      <c r="S318" s="696"/>
      <c r="T318" s="696"/>
      <c r="U318" s="696"/>
      <c r="V318" s="696"/>
      <c r="W318" s="696"/>
      <c r="X318" s="739" t="s">
        <v>14</v>
      </c>
      <c r="Y318" s="740"/>
      <c r="Z318" s="740"/>
      <c r="AA318" s="741"/>
      <c r="AB318" s="638" t="s">
        <v>15</v>
      </c>
      <c r="AF318" s="640" t="s">
        <v>3</v>
      </c>
      <c r="AG318" s="641"/>
      <c r="AH318" s="641"/>
    </row>
    <row r="319" spans="1:38" ht="11.25" customHeight="1" x14ac:dyDescent="0.2">
      <c r="A319" s="17"/>
      <c r="B319" s="789"/>
      <c r="C319" s="776"/>
      <c r="D319" s="776"/>
      <c r="E319" s="776"/>
      <c r="F319" s="651"/>
      <c r="G319" s="651"/>
      <c r="H319" s="406"/>
      <c r="I319" s="398" t="s">
        <v>261</v>
      </c>
      <c r="J319" s="400"/>
      <c r="K319" s="398" t="s">
        <v>17</v>
      </c>
      <c r="L319" s="401"/>
      <c r="M319" s="401" t="s">
        <v>18</v>
      </c>
      <c r="N319" s="401"/>
      <c r="O319" s="398" t="s">
        <v>19</v>
      </c>
      <c r="P319" s="401"/>
      <c r="Q319" s="401" t="s">
        <v>262</v>
      </c>
      <c r="R319" s="401"/>
      <c r="S319" s="401" t="s">
        <v>20</v>
      </c>
      <c r="T319" s="401"/>
      <c r="U319" s="401" t="s">
        <v>21</v>
      </c>
      <c r="V319" s="401"/>
      <c r="W319" s="401" t="s">
        <v>22</v>
      </c>
      <c r="X319" s="742"/>
      <c r="Y319" s="743"/>
      <c r="Z319" s="743"/>
      <c r="AA319" s="744"/>
      <c r="AB319" s="639"/>
    </row>
    <row r="320" spans="1:38" ht="12.6" customHeight="1" x14ac:dyDescent="0.2">
      <c r="A320" s="17"/>
      <c r="B320" s="657" t="s">
        <v>501</v>
      </c>
      <c r="C320" s="633"/>
      <c r="D320" s="633"/>
      <c r="E320" s="633"/>
      <c r="F320" s="290">
        <v>11300</v>
      </c>
      <c r="G320" s="256">
        <f>+F320*$X$1</f>
        <v>11300</v>
      </c>
      <c r="H320" s="82">
        <f>F320+700</f>
        <v>12000</v>
      </c>
      <c r="I320" s="256">
        <f>+H320*$X$1</f>
        <v>12000</v>
      </c>
      <c r="J320" s="536">
        <f>F320+300</f>
        <v>11600</v>
      </c>
      <c r="K320" s="256">
        <f>+J320*$X$1</f>
        <v>11600</v>
      </c>
      <c r="L320" s="536">
        <f>F320+245</f>
        <v>11545</v>
      </c>
      <c r="M320" s="256">
        <f>+L320*$X$1</f>
        <v>11545</v>
      </c>
      <c r="N320" s="536">
        <f>F320+200</f>
        <v>11500</v>
      </c>
      <c r="O320" s="256">
        <f>+N320*$X$1</f>
        <v>11500</v>
      </c>
      <c r="P320" s="536">
        <f>F320+170</f>
        <v>11470</v>
      </c>
      <c r="Q320" s="256">
        <f>+P320*$X$1</f>
        <v>11470</v>
      </c>
      <c r="R320" s="536">
        <f>F320+140</f>
        <v>11440</v>
      </c>
      <c r="S320" s="256">
        <f>+R320*$X$1</f>
        <v>11440</v>
      </c>
      <c r="T320" s="536">
        <f>F320+110</f>
        <v>11410</v>
      </c>
      <c r="U320" s="256">
        <f>+T320*$X$1</f>
        <v>11410</v>
      </c>
      <c r="V320" s="536">
        <f>F320+90</f>
        <v>11390</v>
      </c>
      <c r="W320" s="256">
        <f>+V320*$X$1</f>
        <v>11390</v>
      </c>
      <c r="X320" s="714"/>
      <c r="Y320" s="715"/>
      <c r="Z320" s="715"/>
      <c r="AA320" s="716"/>
      <c r="AB320" s="178">
        <v>1048</v>
      </c>
      <c r="AC320" s="61"/>
    </row>
    <row r="321" spans="1:29" ht="12.6" customHeight="1" x14ac:dyDescent="0.2">
      <c r="A321" s="17"/>
      <c r="B321" s="678" t="s">
        <v>500</v>
      </c>
      <c r="C321" s="679"/>
      <c r="D321" s="679"/>
      <c r="E321" s="679"/>
      <c r="F321" s="291">
        <v>10290</v>
      </c>
      <c r="G321" s="255">
        <f>+F321*$X$1</f>
        <v>10290</v>
      </c>
      <c r="H321" s="68">
        <f>F321+700</f>
        <v>10990</v>
      </c>
      <c r="I321" s="255">
        <f>+H321*$X$1</f>
        <v>10990</v>
      </c>
      <c r="J321" s="527">
        <f>F321+300</f>
        <v>10590</v>
      </c>
      <c r="K321" s="255">
        <f>+J321*$X$1</f>
        <v>10590</v>
      </c>
      <c r="L321" s="527">
        <f>F321+245</f>
        <v>10535</v>
      </c>
      <c r="M321" s="255">
        <f>+L321*$X$1</f>
        <v>10535</v>
      </c>
      <c r="N321" s="527">
        <f>F321+200</f>
        <v>10490</v>
      </c>
      <c r="O321" s="255">
        <f>+N321*$X$1</f>
        <v>10490</v>
      </c>
      <c r="P321" s="527">
        <f>F321+170</f>
        <v>10460</v>
      </c>
      <c r="Q321" s="255">
        <f>+P321*$X$1</f>
        <v>10460</v>
      </c>
      <c r="R321" s="527">
        <f>F321+140</f>
        <v>10430</v>
      </c>
      <c r="S321" s="255">
        <f>+R321*$X$1</f>
        <v>10430</v>
      </c>
      <c r="T321" s="527">
        <f>F321+110</f>
        <v>10400</v>
      </c>
      <c r="U321" s="255">
        <f>+T321*$X$1</f>
        <v>10400</v>
      </c>
      <c r="V321" s="527">
        <f>F321+90</f>
        <v>10380</v>
      </c>
      <c r="W321" s="255">
        <f>+V321*$X$1</f>
        <v>10380</v>
      </c>
      <c r="X321" s="714"/>
      <c r="Y321" s="715"/>
      <c r="Z321" s="715"/>
      <c r="AA321" s="716"/>
      <c r="AB321" s="178">
        <v>1049</v>
      </c>
      <c r="AC321" s="61"/>
    </row>
    <row r="322" spans="1:29" ht="12.6" customHeight="1" x14ac:dyDescent="0.2">
      <c r="A322" s="17"/>
      <c r="B322" s="657" t="s">
        <v>502</v>
      </c>
      <c r="C322" s="633"/>
      <c r="D322" s="633"/>
      <c r="E322" s="633"/>
      <c r="F322" s="290">
        <v>10290</v>
      </c>
      <c r="G322" s="256">
        <f>+F322*$X$1</f>
        <v>10290</v>
      </c>
      <c r="H322" s="82">
        <f>F322+700</f>
        <v>10990</v>
      </c>
      <c r="I322" s="256">
        <f t="shared" ref="I322" si="880">+H322*$X$1</f>
        <v>10990</v>
      </c>
      <c r="J322" s="536">
        <f>F322+300</f>
        <v>10590</v>
      </c>
      <c r="K322" s="256">
        <f t="shared" ref="K322" si="881">+J322*$X$1</f>
        <v>10590</v>
      </c>
      <c r="L322" s="536">
        <f>F322+245</f>
        <v>10535</v>
      </c>
      <c r="M322" s="256">
        <f t="shared" ref="M322" si="882">+L322*$X$1</f>
        <v>10535</v>
      </c>
      <c r="N322" s="536">
        <f>F322+200</f>
        <v>10490</v>
      </c>
      <c r="O322" s="256">
        <f t="shared" ref="O322" si="883">+N322*$X$1</f>
        <v>10490</v>
      </c>
      <c r="P322" s="536">
        <f>F322+170</f>
        <v>10460</v>
      </c>
      <c r="Q322" s="256">
        <f t="shared" ref="Q322" si="884">+P322*$X$1</f>
        <v>10460</v>
      </c>
      <c r="R322" s="536">
        <f>F322+140</f>
        <v>10430</v>
      </c>
      <c r="S322" s="256">
        <f t="shared" ref="S322" si="885">+R322*$X$1</f>
        <v>10430</v>
      </c>
      <c r="T322" s="536">
        <f>F322+110</f>
        <v>10400</v>
      </c>
      <c r="U322" s="256">
        <f t="shared" ref="U322" si="886">+T322*$X$1</f>
        <v>10400</v>
      </c>
      <c r="V322" s="536">
        <f>F322+90</f>
        <v>10380</v>
      </c>
      <c r="W322" s="256">
        <f t="shared" ref="W322" si="887">+V322*$X$1</f>
        <v>10380</v>
      </c>
      <c r="X322" s="714"/>
      <c r="Y322" s="715"/>
      <c r="Z322" s="715"/>
      <c r="AA322" s="716"/>
      <c r="AB322" s="178">
        <v>1050</v>
      </c>
      <c r="AC322" s="61"/>
    </row>
    <row r="323" spans="1:29" ht="12.6" customHeight="1" x14ac:dyDescent="0.2">
      <c r="A323" s="17"/>
      <c r="B323" s="683" t="s">
        <v>721</v>
      </c>
      <c r="C323" s="763"/>
      <c r="D323" s="763"/>
      <c r="E323" s="764"/>
      <c r="F323" s="323">
        <f>10.05*X2</f>
        <v>15477.000000000002</v>
      </c>
      <c r="G323" s="255">
        <f t="shared" ref="G323" si="888">+F323*$X$1</f>
        <v>15477.000000000002</v>
      </c>
      <c r="H323" s="68">
        <f>F323+700</f>
        <v>16177.000000000002</v>
      </c>
      <c r="I323" s="255">
        <f>+H323*$X$1</f>
        <v>16177.000000000002</v>
      </c>
      <c r="J323" s="527">
        <f>F323+300</f>
        <v>15777.000000000002</v>
      </c>
      <c r="K323" s="255">
        <f>+J323*$X$1</f>
        <v>15777.000000000002</v>
      </c>
      <c r="L323" s="527">
        <f>F323+245</f>
        <v>15722.000000000002</v>
      </c>
      <c r="M323" s="255">
        <f>+L323*$X$1</f>
        <v>15722.000000000002</v>
      </c>
      <c r="N323" s="527">
        <f>F323+200</f>
        <v>15677.000000000002</v>
      </c>
      <c r="O323" s="255">
        <f>+N323*$X$1</f>
        <v>15677.000000000002</v>
      </c>
      <c r="P323" s="527">
        <f>F323+170</f>
        <v>15647.000000000002</v>
      </c>
      <c r="Q323" s="255">
        <f>+P323*$X$1</f>
        <v>15647.000000000002</v>
      </c>
      <c r="R323" s="527">
        <f>F323+140</f>
        <v>15617.000000000002</v>
      </c>
      <c r="S323" s="255">
        <f>+R323*$X$1</f>
        <v>15617.000000000002</v>
      </c>
      <c r="T323" s="527">
        <f>F323+110</f>
        <v>15587.000000000002</v>
      </c>
      <c r="U323" s="255">
        <f>+T323*$X$1</f>
        <v>15587.000000000002</v>
      </c>
      <c r="V323" s="527">
        <f>F323+90</f>
        <v>15567.000000000002</v>
      </c>
      <c r="W323" s="255">
        <f>+V323*$X$1</f>
        <v>15567.000000000002</v>
      </c>
      <c r="X323" s="714"/>
      <c r="Y323" s="715"/>
      <c r="Z323" s="715"/>
      <c r="AA323" s="716"/>
      <c r="AB323" s="178">
        <v>1052</v>
      </c>
      <c r="AC323" s="61"/>
    </row>
    <row r="324" spans="1:29" ht="12.6" customHeight="1" x14ac:dyDescent="0.2">
      <c r="A324" s="17"/>
      <c r="B324" s="642" t="s">
        <v>412</v>
      </c>
      <c r="C324" s="766"/>
      <c r="D324" s="766"/>
      <c r="E324" s="767"/>
      <c r="F324" s="324">
        <f>21.22*X2</f>
        <v>32678.799999999999</v>
      </c>
      <c r="G324" s="256">
        <f>+F324*$X$1</f>
        <v>32678.799999999999</v>
      </c>
      <c r="H324" s="82">
        <f t="shared" ref="H324:H331" si="889">F324+700</f>
        <v>33378.800000000003</v>
      </c>
      <c r="I324" s="256">
        <f t="shared" ref="I324:I332" si="890">+H324*$X$1</f>
        <v>33378.800000000003</v>
      </c>
      <c r="J324" s="536">
        <f t="shared" ref="J324:J331" si="891">F324+300</f>
        <v>32978.800000000003</v>
      </c>
      <c r="K324" s="256">
        <f t="shared" ref="K324:K332" si="892">+J324*$X$1</f>
        <v>32978.800000000003</v>
      </c>
      <c r="L324" s="536">
        <f t="shared" ref="L324:L331" si="893">F324+245</f>
        <v>32923.800000000003</v>
      </c>
      <c r="M324" s="256">
        <f t="shared" ref="M324:M332" si="894">+L324*$X$1</f>
        <v>32923.800000000003</v>
      </c>
      <c r="N324" s="536">
        <f t="shared" ref="N324:N331" si="895">F324+200</f>
        <v>32878.800000000003</v>
      </c>
      <c r="O324" s="256">
        <f t="shared" ref="O324:O332" si="896">+N324*$X$1</f>
        <v>32878.800000000003</v>
      </c>
      <c r="P324" s="536">
        <f t="shared" ref="P324:P331" si="897">F324+170</f>
        <v>32848.800000000003</v>
      </c>
      <c r="Q324" s="256">
        <f t="shared" ref="Q324:Q332" si="898">+P324*$X$1</f>
        <v>32848.800000000003</v>
      </c>
      <c r="R324" s="536">
        <f t="shared" ref="R324:R331" si="899">F324+140</f>
        <v>32818.800000000003</v>
      </c>
      <c r="S324" s="256">
        <f t="shared" ref="S324:S332" si="900">+R324*$X$1</f>
        <v>32818.800000000003</v>
      </c>
      <c r="T324" s="536">
        <f t="shared" ref="T324:T331" si="901">F324+110</f>
        <v>32788.800000000003</v>
      </c>
      <c r="U324" s="256">
        <f t="shared" ref="U324:U332" si="902">+T324*$X$1</f>
        <v>32788.800000000003</v>
      </c>
      <c r="V324" s="536">
        <f t="shared" ref="V324:V331" si="903">F324+90</f>
        <v>32768.800000000003</v>
      </c>
      <c r="W324" s="256">
        <f t="shared" ref="W324:W332" si="904">+V324*$X$1</f>
        <v>32768.800000000003</v>
      </c>
      <c r="X324" s="714"/>
      <c r="Y324" s="715"/>
      <c r="Z324" s="715"/>
      <c r="AA324" s="716"/>
      <c r="AB324" s="178">
        <v>1053</v>
      </c>
      <c r="AC324" s="61"/>
    </row>
    <row r="325" spans="1:29" ht="12.6" customHeight="1" x14ac:dyDescent="0.2">
      <c r="A325" s="17"/>
      <c r="B325" s="683" t="s">
        <v>770</v>
      </c>
      <c r="C325" s="763"/>
      <c r="D325" s="763"/>
      <c r="E325" s="764"/>
      <c r="F325" s="323">
        <f>7.55*X2</f>
        <v>11627</v>
      </c>
      <c r="G325" s="255">
        <f t="shared" ref="G325" si="905">+F325*$X$1</f>
        <v>11627</v>
      </c>
      <c r="H325" s="68">
        <f t="shared" si="889"/>
        <v>12327</v>
      </c>
      <c r="I325" s="255">
        <f t="shared" si="890"/>
        <v>12327</v>
      </c>
      <c r="J325" s="527">
        <f t="shared" si="891"/>
        <v>11927</v>
      </c>
      <c r="K325" s="255">
        <f t="shared" si="892"/>
        <v>11927</v>
      </c>
      <c r="L325" s="527">
        <f t="shared" si="893"/>
        <v>11872</v>
      </c>
      <c r="M325" s="255">
        <f t="shared" si="894"/>
        <v>11872</v>
      </c>
      <c r="N325" s="527">
        <f t="shared" si="895"/>
        <v>11827</v>
      </c>
      <c r="O325" s="255">
        <f t="shared" si="896"/>
        <v>11827</v>
      </c>
      <c r="P325" s="527">
        <f t="shared" si="897"/>
        <v>11797</v>
      </c>
      <c r="Q325" s="255">
        <f t="shared" si="898"/>
        <v>11797</v>
      </c>
      <c r="R325" s="527">
        <f t="shared" si="899"/>
        <v>11767</v>
      </c>
      <c r="S325" s="255">
        <f t="shared" si="900"/>
        <v>11767</v>
      </c>
      <c r="T325" s="527">
        <f t="shared" si="901"/>
        <v>11737</v>
      </c>
      <c r="U325" s="255">
        <f t="shared" si="902"/>
        <v>11737</v>
      </c>
      <c r="V325" s="527">
        <f t="shared" si="903"/>
        <v>11717</v>
      </c>
      <c r="W325" s="255">
        <f t="shared" si="904"/>
        <v>11717</v>
      </c>
      <c r="X325" s="714"/>
      <c r="Y325" s="715"/>
      <c r="Z325" s="715"/>
      <c r="AA325" s="716"/>
      <c r="AB325" s="178">
        <v>1054</v>
      </c>
      <c r="AC325" s="61"/>
    </row>
    <row r="326" spans="1:29" ht="12.6" customHeight="1" x14ac:dyDescent="0.2">
      <c r="A326" s="17"/>
      <c r="B326" s="642" t="s">
        <v>826</v>
      </c>
      <c r="C326" s="766"/>
      <c r="D326" s="766"/>
      <c r="E326" s="767"/>
      <c r="F326" s="324">
        <f>20.8*X2</f>
        <v>32032</v>
      </c>
      <c r="G326" s="256">
        <f t="shared" ref="G326" si="906">+F326*$X$1</f>
        <v>32032</v>
      </c>
      <c r="H326" s="82">
        <f t="shared" si="889"/>
        <v>32732</v>
      </c>
      <c r="I326" s="256">
        <f t="shared" si="890"/>
        <v>32732</v>
      </c>
      <c r="J326" s="536">
        <f t="shared" si="891"/>
        <v>32332</v>
      </c>
      <c r="K326" s="256">
        <f t="shared" si="892"/>
        <v>32332</v>
      </c>
      <c r="L326" s="536">
        <f t="shared" si="893"/>
        <v>32277</v>
      </c>
      <c r="M326" s="256">
        <f t="shared" si="894"/>
        <v>32277</v>
      </c>
      <c r="N326" s="536">
        <f t="shared" si="895"/>
        <v>32232</v>
      </c>
      <c r="O326" s="256">
        <f t="shared" si="896"/>
        <v>32232</v>
      </c>
      <c r="P326" s="536">
        <f t="shared" si="897"/>
        <v>32202</v>
      </c>
      <c r="Q326" s="256">
        <f t="shared" si="898"/>
        <v>32202</v>
      </c>
      <c r="R326" s="536">
        <f t="shared" si="899"/>
        <v>32172</v>
      </c>
      <c r="S326" s="256">
        <f t="shared" si="900"/>
        <v>32172</v>
      </c>
      <c r="T326" s="536">
        <f t="shared" si="901"/>
        <v>32142</v>
      </c>
      <c r="U326" s="256">
        <f t="shared" si="902"/>
        <v>32142</v>
      </c>
      <c r="V326" s="536">
        <f t="shared" si="903"/>
        <v>32122</v>
      </c>
      <c r="W326" s="256">
        <f t="shared" si="904"/>
        <v>32122</v>
      </c>
      <c r="X326" s="714"/>
      <c r="Y326" s="715"/>
      <c r="Z326" s="715"/>
      <c r="AA326" s="716"/>
      <c r="AB326" s="178">
        <v>1056</v>
      </c>
      <c r="AC326" s="61"/>
    </row>
    <row r="327" spans="1:29" ht="12.6" customHeight="1" x14ac:dyDescent="0.2">
      <c r="A327" s="17"/>
      <c r="B327" s="678" t="s">
        <v>546</v>
      </c>
      <c r="C327" s="679"/>
      <c r="D327" s="679"/>
      <c r="E327" s="679"/>
      <c r="F327" s="291">
        <v>19350</v>
      </c>
      <c r="G327" s="255">
        <f>+F327*$X$1</f>
        <v>19350</v>
      </c>
      <c r="H327" s="68">
        <f t="shared" si="889"/>
        <v>20050</v>
      </c>
      <c r="I327" s="255">
        <f t="shared" si="890"/>
        <v>20050</v>
      </c>
      <c r="J327" s="527">
        <f t="shared" si="891"/>
        <v>19650</v>
      </c>
      <c r="K327" s="255">
        <f t="shared" si="892"/>
        <v>19650</v>
      </c>
      <c r="L327" s="527">
        <f t="shared" si="893"/>
        <v>19595</v>
      </c>
      <c r="M327" s="255">
        <f t="shared" si="894"/>
        <v>19595</v>
      </c>
      <c r="N327" s="527">
        <f t="shared" si="895"/>
        <v>19550</v>
      </c>
      <c r="O327" s="255">
        <f t="shared" si="896"/>
        <v>19550</v>
      </c>
      <c r="P327" s="527">
        <f t="shared" si="897"/>
        <v>19520</v>
      </c>
      <c r="Q327" s="255">
        <f t="shared" si="898"/>
        <v>19520</v>
      </c>
      <c r="R327" s="527">
        <f t="shared" si="899"/>
        <v>19490</v>
      </c>
      <c r="S327" s="255">
        <f t="shared" si="900"/>
        <v>19490</v>
      </c>
      <c r="T327" s="527">
        <f t="shared" si="901"/>
        <v>19460</v>
      </c>
      <c r="U327" s="255">
        <f t="shared" si="902"/>
        <v>19460</v>
      </c>
      <c r="V327" s="527">
        <f t="shared" si="903"/>
        <v>19440</v>
      </c>
      <c r="W327" s="255">
        <f t="shared" si="904"/>
        <v>19440</v>
      </c>
      <c r="X327" s="714"/>
      <c r="Y327" s="715"/>
      <c r="Z327" s="715"/>
      <c r="AA327" s="716"/>
      <c r="AB327" s="178">
        <v>1057</v>
      </c>
    </row>
    <row r="328" spans="1:29" ht="12.6" customHeight="1" x14ac:dyDescent="0.2">
      <c r="A328" s="17"/>
      <c r="B328" s="662" t="s">
        <v>874</v>
      </c>
      <c r="C328" s="746"/>
      <c r="D328" s="746"/>
      <c r="E328" s="747"/>
      <c r="F328" s="324">
        <f>10.63*X2</f>
        <v>16370.2</v>
      </c>
      <c r="G328" s="256">
        <f t="shared" ref="G328:G329" si="907">+F328*$X$1</f>
        <v>16370.2</v>
      </c>
      <c r="H328" s="82">
        <f t="shared" si="889"/>
        <v>17070.2</v>
      </c>
      <c r="I328" s="256">
        <f t="shared" si="890"/>
        <v>17070.2</v>
      </c>
      <c r="J328" s="536">
        <f t="shared" si="891"/>
        <v>16670.2</v>
      </c>
      <c r="K328" s="256">
        <f t="shared" si="892"/>
        <v>16670.2</v>
      </c>
      <c r="L328" s="536">
        <f t="shared" si="893"/>
        <v>16615.2</v>
      </c>
      <c r="M328" s="256">
        <f t="shared" si="894"/>
        <v>16615.2</v>
      </c>
      <c r="N328" s="536">
        <f t="shared" si="895"/>
        <v>16570.2</v>
      </c>
      <c r="O328" s="256">
        <f t="shared" si="896"/>
        <v>16570.2</v>
      </c>
      <c r="P328" s="536">
        <f t="shared" si="897"/>
        <v>16540.2</v>
      </c>
      <c r="Q328" s="256">
        <f t="shared" si="898"/>
        <v>16540.2</v>
      </c>
      <c r="R328" s="536">
        <f t="shared" si="899"/>
        <v>16510.2</v>
      </c>
      <c r="S328" s="256">
        <f t="shared" si="900"/>
        <v>16510.2</v>
      </c>
      <c r="T328" s="536">
        <f t="shared" si="901"/>
        <v>16480.2</v>
      </c>
      <c r="U328" s="256">
        <f t="shared" si="902"/>
        <v>16480.2</v>
      </c>
      <c r="V328" s="536">
        <f t="shared" si="903"/>
        <v>16460.2</v>
      </c>
      <c r="W328" s="256">
        <f t="shared" si="904"/>
        <v>16460.2</v>
      </c>
      <c r="X328" s="714"/>
      <c r="Y328" s="715"/>
      <c r="Z328" s="715"/>
      <c r="AA328" s="716"/>
      <c r="AB328" s="178">
        <v>1059</v>
      </c>
      <c r="AC328" s="61"/>
    </row>
    <row r="329" spans="1:29" ht="12.6" customHeight="1" x14ac:dyDescent="0.2">
      <c r="A329" s="17"/>
      <c r="B329" s="662" t="s">
        <v>956</v>
      </c>
      <c r="C329" s="746"/>
      <c r="D329" s="746"/>
      <c r="E329" s="747"/>
      <c r="F329" s="323">
        <f>19.4*X2</f>
        <v>29875.999999999996</v>
      </c>
      <c r="G329" s="255">
        <f t="shared" si="907"/>
        <v>29875.999999999996</v>
      </c>
      <c r="H329" s="68">
        <f t="shared" si="889"/>
        <v>30575.999999999996</v>
      </c>
      <c r="I329" s="255">
        <f t="shared" si="890"/>
        <v>30575.999999999996</v>
      </c>
      <c r="J329" s="527">
        <f t="shared" si="891"/>
        <v>30175.999999999996</v>
      </c>
      <c r="K329" s="255">
        <f t="shared" si="892"/>
        <v>30175.999999999996</v>
      </c>
      <c r="L329" s="527">
        <f t="shared" si="893"/>
        <v>30120.999999999996</v>
      </c>
      <c r="M329" s="255">
        <f t="shared" si="894"/>
        <v>30120.999999999996</v>
      </c>
      <c r="N329" s="527">
        <f t="shared" si="895"/>
        <v>30075.999999999996</v>
      </c>
      <c r="O329" s="255">
        <f t="shared" si="896"/>
        <v>30075.999999999996</v>
      </c>
      <c r="P329" s="527">
        <f t="shared" si="897"/>
        <v>30045.999999999996</v>
      </c>
      <c r="Q329" s="255">
        <f t="shared" si="898"/>
        <v>30045.999999999996</v>
      </c>
      <c r="R329" s="527">
        <f t="shared" si="899"/>
        <v>30015.999999999996</v>
      </c>
      <c r="S329" s="255">
        <f t="shared" si="900"/>
        <v>30015.999999999996</v>
      </c>
      <c r="T329" s="527">
        <f t="shared" si="901"/>
        <v>29985.999999999996</v>
      </c>
      <c r="U329" s="255">
        <f t="shared" si="902"/>
        <v>29985.999999999996</v>
      </c>
      <c r="V329" s="527">
        <f t="shared" si="903"/>
        <v>29965.999999999996</v>
      </c>
      <c r="W329" s="255">
        <f t="shared" si="904"/>
        <v>29965.999999999996</v>
      </c>
      <c r="X329" s="714"/>
      <c r="Y329" s="715"/>
      <c r="Z329" s="715"/>
      <c r="AA329" s="716"/>
      <c r="AB329" s="178">
        <v>1062</v>
      </c>
      <c r="AC329" s="61"/>
    </row>
    <row r="330" spans="1:29" ht="12.6" customHeight="1" x14ac:dyDescent="0.2">
      <c r="A330" s="17"/>
      <c r="B330" s="657" t="s">
        <v>382</v>
      </c>
      <c r="C330" s="633"/>
      <c r="D330" s="633"/>
      <c r="E330" s="633"/>
      <c r="F330" s="325">
        <f>12.77*X2</f>
        <v>19665.8</v>
      </c>
      <c r="G330" s="280">
        <f t="shared" ref="G330:G331" si="908">+F330*$X$1</f>
        <v>19665.8</v>
      </c>
      <c r="H330" s="82">
        <f t="shared" si="889"/>
        <v>20365.8</v>
      </c>
      <c r="I330" s="256">
        <f t="shared" si="890"/>
        <v>20365.8</v>
      </c>
      <c r="J330" s="536">
        <f t="shared" si="891"/>
        <v>19965.8</v>
      </c>
      <c r="K330" s="256">
        <f t="shared" si="892"/>
        <v>19965.8</v>
      </c>
      <c r="L330" s="536">
        <f t="shared" si="893"/>
        <v>19910.8</v>
      </c>
      <c r="M330" s="256">
        <f t="shared" si="894"/>
        <v>19910.8</v>
      </c>
      <c r="N330" s="536">
        <f t="shared" si="895"/>
        <v>19865.8</v>
      </c>
      <c r="O330" s="256">
        <f t="shared" si="896"/>
        <v>19865.8</v>
      </c>
      <c r="P330" s="536">
        <f t="shared" si="897"/>
        <v>19835.8</v>
      </c>
      <c r="Q330" s="256">
        <f t="shared" si="898"/>
        <v>19835.8</v>
      </c>
      <c r="R330" s="536">
        <f t="shared" si="899"/>
        <v>19805.8</v>
      </c>
      <c r="S330" s="256">
        <f t="shared" si="900"/>
        <v>19805.8</v>
      </c>
      <c r="T330" s="536">
        <f t="shared" si="901"/>
        <v>19775.8</v>
      </c>
      <c r="U330" s="256">
        <f t="shared" si="902"/>
        <v>19775.8</v>
      </c>
      <c r="V330" s="536">
        <f t="shared" si="903"/>
        <v>19755.8</v>
      </c>
      <c r="W330" s="256">
        <f t="shared" si="904"/>
        <v>19755.8</v>
      </c>
      <c r="X330" s="714"/>
      <c r="Y330" s="715"/>
      <c r="Z330" s="715"/>
      <c r="AA330" s="716"/>
      <c r="AB330" s="178">
        <v>1064</v>
      </c>
      <c r="AC330" s="61"/>
    </row>
    <row r="331" spans="1:29" ht="12.6" customHeight="1" x14ac:dyDescent="0.2">
      <c r="A331" s="17"/>
      <c r="B331" s="683" t="s">
        <v>953</v>
      </c>
      <c r="C331" s="763"/>
      <c r="D331" s="763"/>
      <c r="E331" s="764"/>
      <c r="F331" s="323">
        <f>16.6*X2</f>
        <v>25564.000000000004</v>
      </c>
      <c r="G331" s="255">
        <f t="shared" si="908"/>
        <v>25564.000000000004</v>
      </c>
      <c r="H331" s="68">
        <f t="shared" si="889"/>
        <v>26264.000000000004</v>
      </c>
      <c r="I331" s="255">
        <f t="shared" si="890"/>
        <v>26264.000000000004</v>
      </c>
      <c r="J331" s="527">
        <f t="shared" si="891"/>
        <v>25864.000000000004</v>
      </c>
      <c r="K331" s="255">
        <f t="shared" si="892"/>
        <v>25864.000000000004</v>
      </c>
      <c r="L331" s="527">
        <f t="shared" si="893"/>
        <v>25809.000000000004</v>
      </c>
      <c r="M331" s="255">
        <f t="shared" si="894"/>
        <v>25809.000000000004</v>
      </c>
      <c r="N331" s="527">
        <f t="shared" si="895"/>
        <v>25764.000000000004</v>
      </c>
      <c r="O331" s="255">
        <f t="shared" si="896"/>
        <v>25764.000000000004</v>
      </c>
      <c r="P331" s="527">
        <f t="shared" si="897"/>
        <v>25734.000000000004</v>
      </c>
      <c r="Q331" s="255">
        <f t="shared" si="898"/>
        <v>25734.000000000004</v>
      </c>
      <c r="R331" s="527">
        <f t="shared" si="899"/>
        <v>25704.000000000004</v>
      </c>
      <c r="S331" s="255">
        <f t="shared" si="900"/>
        <v>25704.000000000004</v>
      </c>
      <c r="T331" s="527">
        <f t="shared" si="901"/>
        <v>25674.000000000004</v>
      </c>
      <c r="U331" s="255">
        <f t="shared" si="902"/>
        <v>25674.000000000004</v>
      </c>
      <c r="V331" s="527">
        <f t="shared" si="903"/>
        <v>25654.000000000004</v>
      </c>
      <c r="W331" s="255">
        <f t="shared" si="904"/>
        <v>25654.000000000004</v>
      </c>
      <c r="X331" s="714"/>
      <c r="Y331" s="715"/>
      <c r="Z331" s="715"/>
      <c r="AA331" s="716"/>
      <c r="AB331" s="178">
        <v>1065</v>
      </c>
      <c r="AC331" s="61"/>
    </row>
    <row r="332" spans="1:29" ht="12.6" customHeight="1" x14ac:dyDescent="0.2">
      <c r="A332" s="17"/>
      <c r="B332" s="783" t="s">
        <v>827</v>
      </c>
      <c r="C332" s="784"/>
      <c r="D332" s="784"/>
      <c r="E332" s="785"/>
      <c r="F332" s="455">
        <f>4.2*X2</f>
        <v>6468</v>
      </c>
      <c r="G332" s="451">
        <f>+F332*$X$1</f>
        <v>6468</v>
      </c>
      <c r="H332" s="453">
        <f>F332+720</f>
        <v>7188</v>
      </c>
      <c r="I332" s="451">
        <f t="shared" si="890"/>
        <v>7188</v>
      </c>
      <c r="J332" s="581">
        <f>F332+320</f>
        <v>6788</v>
      </c>
      <c r="K332" s="451">
        <f t="shared" si="892"/>
        <v>6788</v>
      </c>
      <c r="L332" s="581">
        <f>F332+260</f>
        <v>6728</v>
      </c>
      <c r="M332" s="451">
        <f t="shared" si="894"/>
        <v>6728</v>
      </c>
      <c r="N332" s="581">
        <f>F332+220</f>
        <v>6688</v>
      </c>
      <c r="O332" s="451">
        <f t="shared" si="896"/>
        <v>6688</v>
      </c>
      <c r="P332" s="581">
        <f>F332+190</f>
        <v>6658</v>
      </c>
      <c r="Q332" s="451">
        <f t="shared" si="898"/>
        <v>6658</v>
      </c>
      <c r="R332" s="581">
        <f>F332+160</f>
        <v>6628</v>
      </c>
      <c r="S332" s="451">
        <f t="shared" si="900"/>
        <v>6628</v>
      </c>
      <c r="T332" s="581">
        <f>F332+130</f>
        <v>6598</v>
      </c>
      <c r="U332" s="451">
        <f t="shared" si="902"/>
        <v>6598</v>
      </c>
      <c r="V332" s="581">
        <f>F332+110</f>
        <v>6578</v>
      </c>
      <c r="W332" s="451">
        <f t="shared" si="904"/>
        <v>6578</v>
      </c>
      <c r="X332" s="470"/>
      <c r="Y332" s="476"/>
      <c r="Z332" s="476"/>
      <c r="AA332" s="471"/>
      <c r="AB332" s="178">
        <v>1066</v>
      </c>
    </row>
    <row r="333" spans="1:29" ht="12.6" customHeight="1" x14ac:dyDescent="0.2">
      <c r="A333" s="17"/>
      <c r="B333" s="662" t="s">
        <v>952</v>
      </c>
      <c r="C333" s="746"/>
      <c r="D333" s="746"/>
      <c r="E333" s="747"/>
      <c r="F333" s="323">
        <f>21.21*X2</f>
        <v>32663.4</v>
      </c>
      <c r="G333" s="255">
        <f t="shared" ref="G333:G334" si="909">+F333*$X$1</f>
        <v>32663.4</v>
      </c>
      <c r="H333" s="68">
        <f>F333+700</f>
        <v>33363.4</v>
      </c>
      <c r="I333" s="255">
        <f t="shared" ref="I333:I335" si="910">+H333*$X$1</f>
        <v>33363.4</v>
      </c>
      <c r="J333" s="527">
        <f>F333+300</f>
        <v>32963.4</v>
      </c>
      <c r="K333" s="255">
        <f t="shared" ref="K333:K335" si="911">+J333*$X$1</f>
        <v>32963.4</v>
      </c>
      <c r="L333" s="527">
        <f>F333+245</f>
        <v>32908.400000000001</v>
      </c>
      <c r="M333" s="255">
        <f t="shared" ref="M333:M335" si="912">+L333*$X$1</f>
        <v>32908.400000000001</v>
      </c>
      <c r="N333" s="527">
        <f>F333+200</f>
        <v>32863.4</v>
      </c>
      <c r="O333" s="255">
        <f t="shared" ref="O333:O335" si="913">+N333*$X$1</f>
        <v>32863.4</v>
      </c>
      <c r="P333" s="527">
        <f>F333+170</f>
        <v>32833.4</v>
      </c>
      <c r="Q333" s="255">
        <f t="shared" ref="Q333:Q335" si="914">+P333*$X$1</f>
        <v>32833.4</v>
      </c>
      <c r="R333" s="527">
        <f>F333+140</f>
        <v>32803.4</v>
      </c>
      <c r="S333" s="255">
        <f t="shared" ref="S333:S335" si="915">+R333*$X$1</f>
        <v>32803.4</v>
      </c>
      <c r="T333" s="527">
        <f>F333+110</f>
        <v>32773.4</v>
      </c>
      <c r="U333" s="255">
        <f t="shared" ref="U333:U335" si="916">+T333*$X$1</f>
        <v>32773.4</v>
      </c>
      <c r="V333" s="527">
        <f>F333+90</f>
        <v>32753.4</v>
      </c>
      <c r="W333" s="255">
        <f t="shared" ref="W333:W335" si="917">+V333*$X$1</f>
        <v>32753.4</v>
      </c>
      <c r="X333" s="714"/>
      <c r="Y333" s="715"/>
      <c r="Z333" s="715"/>
      <c r="AA333" s="716"/>
      <c r="AB333" s="178">
        <v>1070</v>
      </c>
      <c r="AC333" s="61"/>
    </row>
    <row r="334" spans="1:29" ht="12.6" customHeight="1" x14ac:dyDescent="0.2">
      <c r="A334" s="17"/>
      <c r="B334" s="662" t="s">
        <v>954</v>
      </c>
      <c r="C334" s="746"/>
      <c r="D334" s="746"/>
      <c r="E334" s="747"/>
      <c r="F334" s="324">
        <f>23.7*X2</f>
        <v>36498</v>
      </c>
      <c r="G334" s="256">
        <f t="shared" si="909"/>
        <v>36498</v>
      </c>
      <c r="H334" s="82">
        <f>F334+700</f>
        <v>37198</v>
      </c>
      <c r="I334" s="256">
        <f t="shared" si="910"/>
        <v>37198</v>
      </c>
      <c r="J334" s="536">
        <f>F334+300</f>
        <v>36798</v>
      </c>
      <c r="K334" s="256">
        <f t="shared" si="911"/>
        <v>36798</v>
      </c>
      <c r="L334" s="536">
        <f>F334+245</f>
        <v>36743</v>
      </c>
      <c r="M334" s="256">
        <f t="shared" si="912"/>
        <v>36743</v>
      </c>
      <c r="N334" s="536">
        <f>F334+200</f>
        <v>36698</v>
      </c>
      <c r="O334" s="256">
        <f t="shared" si="913"/>
        <v>36698</v>
      </c>
      <c r="P334" s="536">
        <f>F334+170</f>
        <v>36668</v>
      </c>
      <c r="Q334" s="256">
        <f t="shared" si="914"/>
        <v>36668</v>
      </c>
      <c r="R334" s="536">
        <f>F334+140</f>
        <v>36638</v>
      </c>
      <c r="S334" s="256">
        <f t="shared" si="915"/>
        <v>36638</v>
      </c>
      <c r="T334" s="536">
        <f>F334+110</f>
        <v>36608</v>
      </c>
      <c r="U334" s="256">
        <f t="shared" si="916"/>
        <v>36608</v>
      </c>
      <c r="V334" s="536">
        <f>F334+90</f>
        <v>36588</v>
      </c>
      <c r="W334" s="256">
        <f t="shared" si="917"/>
        <v>36588</v>
      </c>
      <c r="X334" s="714"/>
      <c r="Y334" s="715"/>
      <c r="Z334" s="715"/>
      <c r="AA334" s="716"/>
      <c r="AB334" s="178">
        <v>1073</v>
      </c>
      <c r="AC334" s="61"/>
    </row>
    <row r="335" spans="1:29" ht="12.6" customHeight="1" x14ac:dyDescent="0.2">
      <c r="A335" s="17"/>
      <c r="B335" s="683" t="s">
        <v>192</v>
      </c>
      <c r="C335" s="703"/>
      <c r="D335" s="703"/>
      <c r="E335" s="704"/>
      <c r="F335" s="323">
        <f>12.16*X2</f>
        <v>18726.400000000001</v>
      </c>
      <c r="G335" s="255">
        <f>+F335*$X$1</f>
        <v>18726.400000000001</v>
      </c>
      <c r="H335" s="527">
        <f>F335+700</f>
        <v>19426.400000000001</v>
      </c>
      <c r="I335" s="255">
        <f t="shared" si="910"/>
        <v>19426.400000000001</v>
      </c>
      <c r="J335" s="527">
        <f>F335+300</f>
        <v>19026.400000000001</v>
      </c>
      <c r="K335" s="255">
        <f t="shared" si="911"/>
        <v>19026.400000000001</v>
      </c>
      <c r="L335" s="527">
        <f>F335+260</f>
        <v>18986.400000000001</v>
      </c>
      <c r="M335" s="255">
        <f t="shared" si="912"/>
        <v>18986.400000000001</v>
      </c>
      <c r="N335" s="527">
        <f>F335+220</f>
        <v>18946.400000000001</v>
      </c>
      <c r="O335" s="255">
        <f t="shared" si="913"/>
        <v>18946.400000000001</v>
      </c>
      <c r="P335" s="527">
        <f>F335+185</f>
        <v>18911.400000000001</v>
      </c>
      <c r="Q335" s="255">
        <f t="shared" si="914"/>
        <v>18911.400000000001</v>
      </c>
      <c r="R335" s="527">
        <f>F335+165</f>
        <v>18891.400000000001</v>
      </c>
      <c r="S335" s="255">
        <f t="shared" si="915"/>
        <v>18891.400000000001</v>
      </c>
      <c r="T335" s="93">
        <f>F335+145</f>
        <v>18871.400000000001</v>
      </c>
      <c r="U335" s="234">
        <f t="shared" si="916"/>
        <v>18871.400000000001</v>
      </c>
      <c r="V335" s="93">
        <f>F335+125</f>
        <v>18851.400000000001</v>
      </c>
      <c r="W335" s="234">
        <f t="shared" si="917"/>
        <v>18851.400000000001</v>
      </c>
      <c r="X335" s="165"/>
      <c r="Y335" s="168"/>
      <c r="Z335" s="168"/>
      <c r="AA335" s="167"/>
      <c r="AB335" s="178">
        <v>1075</v>
      </c>
    </row>
    <row r="336" spans="1:29" ht="12.6" customHeight="1" x14ac:dyDescent="0.2">
      <c r="A336" s="17"/>
      <c r="B336" s="657" t="s">
        <v>1033</v>
      </c>
      <c r="C336" s="694"/>
      <c r="D336" s="694"/>
      <c r="E336" s="694"/>
      <c r="F336" s="290">
        <v>9720</v>
      </c>
      <c r="G336" s="256">
        <f>+F336*$X$1</f>
        <v>9720</v>
      </c>
      <c r="H336" s="82"/>
      <c r="I336" s="256"/>
      <c r="J336" s="536">
        <f>F336+320</f>
        <v>10040</v>
      </c>
      <c r="K336" s="256">
        <f t="shared" ref="K336:K337" si="918">+J336*$X$1</f>
        <v>10040</v>
      </c>
      <c r="L336" s="536">
        <f>F336+260</f>
        <v>9980</v>
      </c>
      <c r="M336" s="256">
        <f t="shared" ref="M336" si="919">+L336*$X$1</f>
        <v>9980</v>
      </c>
      <c r="N336" s="536">
        <f>F336+220</f>
        <v>9940</v>
      </c>
      <c r="O336" s="256">
        <f t="shared" ref="O336" si="920">+N336*$X$1</f>
        <v>9940</v>
      </c>
      <c r="P336" s="536">
        <f>F336+190</f>
        <v>9910</v>
      </c>
      <c r="Q336" s="256">
        <f t="shared" ref="Q336" si="921">+P336*$X$1</f>
        <v>9910</v>
      </c>
      <c r="R336" s="536">
        <f>F336+160</f>
        <v>9880</v>
      </c>
      <c r="S336" s="256">
        <f t="shared" ref="S336" si="922">+R336*$X$1</f>
        <v>9880</v>
      </c>
      <c r="T336" s="536">
        <f>F336+130</f>
        <v>9850</v>
      </c>
      <c r="U336" s="256">
        <f t="shared" ref="U336" si="923">+T336*$X$1</f>
        <v>9850</v>
      </c>
      <c r="V336" s="536">
        <f>F336+110</f>
        <v>9830</v>
      </c>
      <c r="W336" s="256">
        <f t="shared" ref="W336" si="924">+V336*$X$1</f>
        <v>9830</v>
      </c>
      <c r="X336" s="714"/>
      <c r="Y336" s="715"/>
      <c r="Z336" s="715"/>
      <c r="AA336" s="716"/>
      <c r="AB336" s="178">
        <v>1076</v>
      </c>
    </row>
    <row r="337" spans="1:30" ht="12.6" customHeight="1" x14ac:dyDescent="0.2">
      <c r="A337" s="17"/>
      <c r="B337" s="652" t="s">
        <v>932</v>
      </c>
      <c r="C337" s="749"/>
      <c r="D337" s="749"/>
      <c r="E337" s="749"/>
      <c r="F337" s="326">
        <f>8.78*X2</f>
        <v>13521.199999999999</v>
      </c>
      <c r="G337" s="270">
        <f t="shared" ref="G337" si="925">+F337*$X$1</f>
        <v>13521.199999999999</v>
      </c>
      <c r="H337" s="68">
        <f>F337+720</f>
        <v>14241.199999999999</v>
      </c>
      <c r="I337" s="255">
        <f t="shared" ref="I337" si="926">+H337*$X$1</f>
        <v>14241.199999999999</v>
      </c>
      <c r="J337" s="527">
        <f>F337+320</f>
        <v>13841.199999999999</v>
      </c>
      <c r="K337" s="255">
        <f t="shared" si="918"/>
        <v>13841.199999999999</v>
      </c>
      <c r="L337" s="527">
        <f>F337+260</f>
        <v>13781.199999999999</v>
      </c>
      <c r="M337" s="255">
        <f t="shared" ref="M337" si="927">+L337*$X$1</f>
        <v>13781.199999999999</v>
      </c>
      <c r="N337" s="527">
        <f>F337+220</f>
        <v>13741.199999999999</v>
      </c>
      <c r="O337" s="255">
        <f t="shared" ref="O337" si="928">+N337*$X$1</f>
        <v>13741.199999999999</v>
      </c>
      <c r="P337" s="527">
        <f>F337+190</f>
        <v>13711.199999999999</v>
      </c>
      <c r="Q337" s="255">
        <f t="shared" ref="Q337" si="929">+P337*$X$1</f>
        <v>13711.199999999999</v>
      </c>
      <c r="R337" s="527">
        <f>F337+160</f>
        <v>13681.199999999999</v>
      </c>
      <c r="S337" s="255">
        <f t="shared" ref="S337" si="930">+R337*$X$1</f>
        <v>13681.199999999999</v>
      </c>
      <c r="T337" s="527">
        <f>F337+130</f>
        <v>13651.199999999999</v>
      </c>
      <c r="U337" s="255">
        <f t="shared" ref="U337" si="931">+T337*$X$1</f>
        <v>13651.199999999999</v>
      </c>
      <c r="V337" s="527">
        <f>F337+110</f>
        <v>13631.199999999999</v>
      </c>
      <c r="W337" s="255">
        <f t="shared" ref="W337" si="932">+V337*$X$1</f>
        <v>13631.199999999999</v>
      </c>
      <c r="X337" s="714"/>
      <c r="Y337" s="715"/>
      <c r="Z337" s="715"/>
      <c r="AA337" s="716"/>
      <c r="AB337" s="178">
        <v>1077</v>
      </c>
    </row>
    <row r="338" spans="1:30" ht="12.6" customHeight="1" x14ac:dyDescent="0.2">
      <c r="A338" s="17"/>
      <c r="B338" s="657" t="s">
        <v>345</v>
      </c>
      <c r="C338" s="694"/>
      <c r="D338" s="694"/>
      <c r="E338" s="694"/>
      <c r="F338" s="325">
        <f>6.03*X2</f>
        <v>9286.2000000000007</v>
      </c>
      <c r="G338" s="280">
        <f t="shared" ref="G338" si="933">+F338*$X$1</f>
        <v>9286.2000000000007</v>
      </c>
      <c r="H338" s="82">
        <f>F338+720</f>
        <v>10006.200000000001</v>
      </c>
      <c r="I338" s="256">
        <f t="shared" ref="I338:I343" si="934">+H338*$X$1</f>
        <v>10006.200000000001</v>
      </c>
      <c r="J338" s="536">
        <f>F338+320</f>
        <v>9606.2000000000007</v>
      </c>
      <c r="K338" s="256">
        <f t="shared" ref="K338:K343" si="935">+J338*$X$1</f>
        <v>9606.2000000000007</v>
      </c>
      <c r="L338" s="536">
        <f>F338+260</f>
        <v>9546.2000000000007</v>
      </c>
      <c r="M338" s="256">
        <f t="shared" ref="M338:M339" si="936">+L338*$X$1</f>
        <v>9546.2000000000007</v>
      </c>
      <c r="N338" s="536">
        <f>F338+220</f>
        <v>9506.2000000000007</v>
      </c>
      <c r="O338" s="256">
        <f t="shared" ref="O338:O339" si="937">+N338*$X$1</f>
        <v>9506.2000000000007</v>
      </c>
      <c r="P338" s="536">
        <f>F338+190</f>
        <v>9476.2000000000007</v>
      </c>
      <c r="Q338" s="256">
        <f t="shared" ref="Q338:Q339" si="938">+P338*$X$1</f>
        <v>9476.2000000000007</v>
      </c>
      <c r="R338" s="536">
        <f>F338+160</f>
        <v>9446.2000000000007</v>
      </c>
      <c r="S338" s="256">
        <f t="shared" ref="S338:S339" si="939">+R338*$X$1</f>
        <v>9446.2000000000007</v>
      </c>
      <c r="T338" s="536">
        <f>F338+130</f>
        <v>9416.2000000000007</v>
      </c>
      <c r="U338" s="256">
        <f t="shared" ref="U338:U339" si="940">+T338*$X$1</f>
        <v>9416.2000000000007</v>
      </c>
      <c r="V338" s="536">
        <f>F338+110</f>
        <v>9396.2000000000007</v>
      </c>
      <c r="W338" s="256">
        <f t="shared" ref="W338:W339" si="941">+V338*$X$1</f>
        <v>9396.2000000000007</v>
      </c>
      <c r="X338" s="714"/>
      <c r="Y338" s="715"/>
      <c r="Z338" s="715"/>
      <c r="AA338" s="716"/>
      <c r="AB338" s="178">
        <v>1078</v>
      </c>
    </row>
    <row r="339" spans="1:30" ht="12.6" customHeight="1" x14ac:dyDescent="0.2">
      <c r="A339" s="17"/>
      <c r="B339" s="745" t="s">
        <v>347</v>
      </c>
      <c r="C339" s="700"/>
      <c r="D339" s="700"/>
      <c r="E339" s="700"/>
      <c r="F339" s="326">
        <f>5.02*X2</f>
        <v>7730.7999999999993</v>
      </c>
      <c r="G339" s="270">
        <f t="shared" ref="G339" si="942">+F339*$X$1</f>
        <v>7730.7999999999993</v>
      </c>
      <c r="H339" s="68">
        <f>F339+720</f>
        <v>8450.7999999999993</v>
      </c>
      <c r="I339" s="255">
        <f t="shared" si="934"/>
        <v>8450.7999999999993</v>
      </c>
      <c r="J339" s="527">
        <f>F339+320</f>
        <v>8050.7999999999993</v>
      </c>
      <c r="K339" s="255">
        <f t="shared" si="935"/>
        <v>8050.7999999999993</v>
      </c>
      <c r="L339" s="527">
        <f>F339+260</f>
        <v>7990.7999999999993</v>
      </c>
      <c r="M339" s="255">
        <f t="shared" si="936"/>
        <v>7990.7999999999993</v>
      </c>
      <c r="N339" s="527">
        <f>F339+220</f>
        <v>7950.7999999999993</v>
      </c>
      <c r="O339" s="255">
        <f t="shared" si="937"/>
        <v>7950.7999999999993</v>
      </c>
      <c r="P339" s="527">
        <f>F339+190</f>
        <v>7920.7999999999993</v>
      </c>
      <c r="Q339" s="255">
        <f t="shared" si="938"/>
        <v>7920.7999999999993</v>
      </c>
      <c r="R339" s="527">
        <f>F339+160</f>
        <v>7890.7999999999993</v>
      </c>
      <c r="S339" s="255">
        <f t="shared" si="939"/>
        <v>7890.7999999999993</v>
      </c>
      <c r="T339" s="527">
        <f>F339+130</f>
        <v>7860.7999999999993</v>
      </c>
      <c r="U339" s="255">
        <f t="shared" si="940"/>
        <v>7860.7999999999993</v>
      </c>
      <c r="V339" s="527">
        <f>F339+110</f>
        <v>7840.7999999999993</v>
      </c>
      <c r="W339" s="255">
        <f t="shared" si="941"/>
        <v>7840.7999999999993</v>
      </c>
      <c r="X339" s="715"/>
      <c r="Y339" s="715"/>
      <c r="Z339" s="715"/>
      <c r="AA339" s="716"/>
      <c r="AB339" s="178">
        <v>1079</v>
      </c>
    </row>
    <row r="340" spans="1:30" ht="12.6" customHeight="1" x14ac:dyDescent="0.2">
      <c r="A340" s="17"/>
      <c r="B340" s="657" t="s">
        <v>467</v>
      </c>
      <c r="C340" s="633"/>
      <c r="D340" s="633"/>
      <c r="E340" s="633"/>
      <c r="F340" s="290">
        <v>16950</v>
      </c>
      <c r="G340" s="256">
        <f>+F340*$X$1</f>
        <v>16950</v>
      </c>
      <c r="H340" s="82">
        <f>F340+700</f>
        <v>17650</v>
      </c>
      <c r="I340" s="256">
        <f t="shared" si="934"/>
        <v>17650</v>
      </c>
      <c r="J340" s="536">
        <f>F340+300</f>
        <v>17250</v>
      </c>
      <c r="K340" s="256">
        <f t="shared" si="935"/>
        <v>17250</v>
      </c>
      <c r="L340" s="536">
        <f>F340+245</f>
        <v>17195</v>
      </c>
      <c r="M340" s="256">
        <f t="shared" ref="M340:M343" si="943">+L340*$X$1</f>
        <v>17195</v>
      </c>
      <c r="N340" s="536">
        <f>F340+200</f>
        <v>17150</v>
      </c>
      <c r="O340" s="256">
        <f t="shared" ref="O340:O343" si="944">+N340*$X$1</f>
        <v>17150</v>
      </c>
      <c r="P340" s="536">
        <f>F340+170</f>
        <v>17120</v>
      </c>
      <c r="Q340" s="256">
        <f t="shared" ref="Q340:Q343" si="945">+P340*$X$1</f>
        <v>17120</v>
      </c>
      <c r="R340" s="536">
        <f>F340+140</f>
        <v>17090</v>
      </c>
      <c r="S340" s="256">
        <f t="shared" ref="S340:S343" si="946">+R340*$X$1</f>
        <v>17090</v>
      </c>
      <c r="T340" s="536">
        <f>F340+110</f>
        <v>17060</v>
      </c>
      <c r="U340" s="256">
        <f t="shared" ref="U340:U343" si="947">+T340*$X$1</f>
        <v>17060</v>
      </c>
      <c r="V340" s="536">
        <f>F340+90</f>
        <v>17040</v>
      </c>
      <c r="W340" s="256">
        <f t="shared" ref="W340:W343" si="948">+V340*$X$1</f>
        <v>17040</v>
      </c>
      <c r="X340" s="715"/>
      <c r="Y340" s="715"/>
      <c r="Z340" s="715"/>
      <c r="AA340" s="716"/>
      <c r="AB340" s="178">
        <v>1080</v>
      </c>
      <c r="AC340" s="61"/>
    </row>
    <row r="341" spans="1:30" ht="12.6" customHeight="1" x14ac:dyDescent="0.2">
      <c r="A341" s="17"/>
      <c r="B341" s="678" t="s">
        <v>468</v>
      </c>
      <c r="C341" s="679"/>
      <c r="D341" s="679"/>
      <c r="E341" s="679"/>
      <c r="F341" s="291">
        <v>14910</v>
      </c>
      <c r="G341" s="255">
        <f>+F341*$X$1</f>
        <v>14910</v>
      </c>
      <c r="H341" s="68">
        <f>F341+700</f>
        <v>15610</v>
      </c>
      <c r="I341" s="255">
        <f t="shared" si="934"/>
        <v>15610</v>
      </c>
      <c r="J341" s="527">
        <f>F341+300</f>
        <v>15210</v>
      </c>
      <c r="K341" s="255">
        <f t="shared" si="935"/>
        <v>15210</v>
      </c>
      <c r="L341" s="527">
        <f>F341+245</f>
        <v>15155</v>
      </c>
      <c r="M341" s="255">
        <f t="shared" si="943"/>
        <v>15155</v>
      </c>
      <c r="N341" s="527">
        <f>F341+200</f>
        <v>15110</v>
      </c>
      <c r="O341" s="255">
        <f t="shared" si="944"/>
        <v>15110</v>
      </c>
      <c r="P341" s="527">
        <f>F341+170</f>
        <v>15080</v>
      </c>
      <c r="Q341" s="255">
        <f t="shared" si="945"/>
        <v>15080</v>
      </c>
      <c r="R341" s="527">
        <f>F341+140</f>
        <v>15050</v>
      </c>
      <c r="S341" s="255">
        <f t="shared" si="946"/>
        <v>15050</v>
      </c>
      <c r="T341" s="527">
        <f>F341+110</f>
        <v>15020</v>
      </c>
      <c r="U341" s="255">
        <f t="shared" si="947"/>
        <v>15020</v>
      </c>
      <c r="V341" s="527">
        <f>F341+90</f>
        <v>15000</v>
      </c>
      <c r="W341" s="255">
        <f t="shared" si="948"/>
        <v>15000</v>
      </c>
      <c r="X341" s="715"/>
      <c r="Y341" s="715"/>
      <c r="Z341" s="715"/>
      <c r="AA341" s="716"/>
      <c r="AB341" s="178">
        <v>1081</v>
      </c>
      <c r="AC341" s="61"/>
    </row>
    <row r="342" spans="1:30" ht="12.6" customHeight="1" x14ac:dyDescent="0.2">
      <c r="A342" s="17"/>
      <c r="B342" s="657" t="s">
        <v>386</v>
      </c>
      <c r="C342" s="633"/>
      <c r="D342" s="633"/>
      <c r="E342" s="633"/>
      <c r="F342" s="290">
        <v>14950</v>
      </c>
      <c r="G342" s="256">
        <f>+F342*$X$1</f>
        <v>14950</v>
      </c>
      <c r="H342" s="82">
        <f>F342+700</f>
        <v>15650</v>
      </c>
      <c r="I342" s="256">
        <f t="shared" si="934"/>
        <v>15650</v>
      </c>
      <c r="J342" s="536">
        <f>F342+300</f>
        <v>15250</v>
      </c>
      <c r="K342" s="256">
        <f t="shared" si="935"/>
        <v>15250</v>
      </c>
      <c r="L342" s="536">
        <f>F342+245</f>
        <v>15195</v>
      </c>
      <c r="M342" s="256">
        <f t="shared" si="943"/>
        <v>15195</v>
      </c>
      <c r="N342" s="536">
        <f>F342+200</f>
        <v>15150</v>
      </c>
      <c r="O342" s="256">
        <f t="shared" si="944"/>
        <v>15150</v>
      </c>
      <c r="P342" s="536">
        <f>F342+170</f>
        <v>15120</v>
      </c>
      <c r="Q342" s="256">
        <f t="shared" si="945"/>
        <v>15120</v>
      </c>
      <c r="R342" s="536">
        <f>F342+140</f>
        <v>15090</v>
      </c>
      <c r="S342" s="256">
        <f t="shared" si="946"/>
        <v>15090</v>
      </c>
      <c r="T342" s="536">
        <f>F342+110</f>
        <v>15060</v>
      </c>
      <c r="U342" s="256">
        <f t="shared" si="947"/>
        <v>15060</v>
      </c>
      <c r="V342" s="536">
        <f>F342+90</f>
        <v>15040</v>
      </c>
      <c r="W342" s="256">
        <f t="shared" si="948"/>
        <v>15040</v>
      </c>
      <c r="X342" s="715"/>
      <c r="Y342" s="715"/>
      <c r="Z342" s="715"/>
      <c r="AA342" s="716"/>
      <c r="AB342" s="178">
        <v>1083</v>
      </c>
      <c r="AC342" s="61"/>
    </row>
    <row r="343" spans="1:30" ht="12.6" customHeight="1" x14ac:dyDescent="0.2">
      <c r="A343" s="17"/>
      <c r="B343" s="652" t="s">
        <v>949</v>
      </c>
      <c r="C343" s="749"/>
      <c r="D343" s="749"/>
      <c r="E343" s="749"/>
      <c r="F343" s="326">
        <f>8.53*X2</f>
        <v>13136.199999999999</v>
      </c>
      <c r="G343" s="270">
        <f t="shared" ref="G343" si="949">+F343*$X$1</f>
        <v>13136.199999999999</v>
      </c>
      <c r="H343" s="68">
        <f>F343+720</f>
        <v>13856.199999999999</v>
      </c>
      <c r="I343" s="255">
        <f t="shared" si="934"/>
        <v>13856.199999999999</v>
      </c>
      <c r="J343" s="527">
        <f>F343+320</f>
        <v>13456.199999999999</v>
      </c>
      <c r="K343" s="255">
        <f t="shared" si="935"/>
        <v>13456.199999999999</v>
      </c>
      <c r="L343" s="527">
        <f>F343+260</f>
        <v>13396.199999999999</v>
      </c>
      <c r="M343" s="255">
        <f t="shared" si="943"/>
        <v>13396.199999999999</v>
      </c>
      <c r="N343" s="527">
        <f>F343+220</f>
        <v>13356.199999999999</v>
      </c>
      <c r="O343" s="255">
        <f t="shared" si="944"/>
        <v>13356.199999999999</v>
      </c>
      <c r="P343" s="527">
        <f>F343+190</f>
        <v>13326.199999999999</v>
      </c>
      <c r="Q343" s="255">
        <f t="shared" si="945"/>
        <v>13326.199999999999</v>
      </c>
      <c r="R343" s="527">
        <f>F343+160</f>
        <v>13296.199999999999</v>
      </c>
      <c r="S343" s="255">
        <f t="shared" si="946"/>
        <v>13296.199999999999</v>
      </c>
      <c r="T343" s="527">
        <f>F343+130</f>
        <v>13266.199999999999</v>
      </c>
      <c r="U343" s="255">
        <f t="shared" si="947"/>
        <v>13266.199999999999</v>
      </c>
      <c r="V343" s="527">
        <f>F343+110</f>
        <v>13246.199999999999</v>
      </c>
      <c r="W343" s="255">
        <f t="shared" si="948"/>
        <v>13246.199999999999</v>
      </c>
      <c r="X343" s="714"/>
      <c r="Y343" s="715"/>
      <c r="Z343" s="715"/>
      <c r="AA343" s="716"/>
      <c r="AB343" s="178">
        <v>1087</v>
      </c>
    </row>
    <row r="344" spans="1:30" ht="12.6" customHeight="1" x14ac:dyDescent="0.2">
      <c r="A344" s="17"/>
      <c r="B344" s="652" t="s">
        <v>950</v>
      </c>
      <c r="C344" s="749"/>
      <c r="D344" s="749"/>
      <c r="E344" s="749"/>
      <c r="F344" s="570">
        <v>43650</v>
      </c>
      <c r="G344" s="256">
        <f>+F344*$X$1</f>
        <v>43650</v>
      </c>
      <c r="H344" s="536">
        <f>F344+700</f>
        <v>44350</v>
      </c>
      <c r="I344" s="256">
        <f t="shared" ref="I344:I345" si="950">+H344*$X$1</f>
        <v>44350</v>
      </c>
      <c r="J344" s="536">
        <f>F344+350</f>
        <v>44000</v>
      </c>
      <c r="K344" s="256">
        <f t="shared" ref="K344:K345" si="951">+J344*$X$1</f>
        <v>44000</v>
      </c>
      <c r="L344" s="536">
        <f>F344+300</f>
        <v>43950</v>
      </c>
      <c r="M344" s="256">
        <f>+L344*$X$1</f>
        <v>43950</v>
      </c>
      <c r="N344" s="536">
        <f>F344+260</f>
        <v>43910</v>
      </c>
      <c r="O344" s="256">
        <f>+N344*$X$1</f>
        <v>43910</v>
      </c>
      <c r="P344" s="536">
        <f>F344+230</f>
        <v>43880</v>
      </c>
      <c r="Q344" s="256">
        <f>+P344*$X$1</f>
        <v>43880</v>
      </c>
      <c r="R344" s="536">
        <f>F344+210</f>
        <v>43860</v>
      </c>
      <c r="S344" s="256">
        <f>+R344*$X$1</f>
        <v>43860</v>
      </c>
      <c r="T344" s="92">
        <f>F344+190</f>
        <v>43840</v>
      </c>
      <c r="U344" s="269">
        <f>+T344*$X$1</f>
        <v>43840</v>
      </c>
      <c r="V344" s="92">
        <f>F344+160</f>
        <v>43810</v>
      </c>
      <c r="W344" s="256">
        <f>+V344*$X$1</f>
        <v>43810</v>
      </c>
      <c r="X344" s="714"/>
      <c r="Y344" s="715"/>
      <c r="Z344" s="715"/>
      <c r="AA344" s="716"/>
      <c r="AB344" s="178">
        <v>1107</v>
      </c>
    </row>
    <row r="345" spans="1:30" ht="12.6" customHeight="1" x14ac:dyDescent="0.2">
      <c r="A345" s="17"/>
      <c r="B345" s="745" t="s">
        <v>734</v>
      </c>
      <c r="C345" s="700"/>
      <c r="D345" s="700"/>
      <c r="E345" s="700"/>
      <c r="F345" s="323">
        <f>2.3*X2</f>
        <v>3541.9999999999995</v>
      </c>
      <c r="G345" s="255">
        <f t="shared" ref="G345" si="952">+F345*$X$1</f>
        <v>3541.9999999999995</v>
      </c>
      <c r="H345" s="527">
        <f t="shared" ref="H345" si="953">F345+700</f>
        <v>4242</v>
      </c>
      <c r="I345" s="255">
        <f t="shared" si="950"/>
        <v>4242</v>
      </c>
      <c r="J345" s="68">
        <f t="shared" ref="J345" si="954">F345+280</f>
        <v>3821.9999999999995</v>
      </c>
      <c r="K345" s="255">
        <f t="shared" si="951"/>
        <v>3821.9999999999995</v>
      </c>
      <c r="L345" s="527">
        <f t="shared" ref="L345" si="955">F345+210</f>
        <v>3751.9999999999995</v>
      </c>
      <c r="M345" s="255">
        <f t="shared" ref="M345" si="956">+L345*$X$1</f>
        <v>3751.9999999999995</v>
      </c>
      <c r="N345" s="527">
        <f t="shared" ref="N345" si="957">F345+160</f>
        <v>3701.9999999999995</v>
      </c>
      <c r="O345" s="255">
        <f t="shared" ref="O345" si="958">+N345*$X$1</f>
        <v>3701.9999999999995</v>
      </c>
      <c r="P345" s="527">
        <f t="shared" ref="P345" si="959">F345+130</f>
        <v>3671.9999999999995</v>
      </c>
      <c r="Q345" s="255">
        <f t="shared" ref="Q345" si="960">+P345*$X$1</f>
        <v>3671.9999999999995</v>
      </c>
      <c r="R345" s="527">
        <f t="shared" ref="R345" si="961">F345+110</f>
        <v>3651.9999999999995</v>
      </c>
      <c r="S345" s="255">
        <f t="shared" ref="S345" si="962">+R345*$X$1</f>
        <v>3651.9999999999995</v>
      </c>
      <c r="T345" s="527">
        <f t="shared" ref="T345" si="963">F345+90</f>
        <v>3631.9999999999995</v>
      </c>
      <c r="U345" s="255">
        <f t="shared" ref="U345" si="964">+T345*$X$1</f>
        <v>3631.9999999999995</v>
      </c>
      <c r="V345" s="527">
        <f t="shared" ref="V345" si="965">F345+70</f>
        <v>3611.9999999999995</v>
      </c>
      <c r="W345" s="255">
        <f t="shared" ref="W345" si="966">+V345*$X$1</f>
        <v>3611.9999999999995</v>
      </c>
      <c r="X345" s="796"/>
      <c r="Y345" s="797"/>
      <c r="Z345" s="797"/>
      <c r="AA345" s="798"/>
      <c r="AB345" s="338">
        <v>2130</v>
      </c>
      <c r="AC345" s="62"/>
    </row>
    <row r="346" spans="1:30" ht="12.6" customHeight="1" x14ac:dyDescent="0.2">
      <c r="A346" s="17"/>
      <c r="B346" s="670" t="s">
        <v>735</v>
      </c>
      <c r="C346" s="726"/>
      <c r="D346" s="726"/>
      <c r="E346" s="726"/>
      <c r="F346" s="324">
        <f>2*X2</f>
        <v>3080</v>
      </c>
      <c r="G346" s="256">
        <f t="shared" ref="G346" si="967">+F346*$X$1</f>
        <v>3080</v>
      </c>
      <c r="H346" s="536">
        <f>F346+700</f>
        <v>3780</v>
      </c>
      <c r="I346" s="256">
        <f t="shared" ref="I346" si="968">+H346*$X$1</f>
        <v>3780</v>
      </c>
      <c r="J346" s="82">
        <f>F346+280</f>
        <v>3360</v>
      </c>
      <c r="K346" s="256">
        <f t="shared" ref="K346" si="969">+J346*$X$1</f>
        <v>3360</v>
      </c>
      <c r="L346" s="536"/>
      <c r="M346" s="256"/>
      <c r="N346" s="536"/>
      <c r="O346" s="256"/>
      <c r="P346" s="536"/>
      <c r="Q346" s="256"/>
      <c r="R346" s="536"/>
      <c r="S346" s="256"/>
      <c r="T346" s="536"/>
      <c r="U346" s="256"/>
      <c r="V346" s="536"/>
      <c r="W346" s="256"/>
      <c r="X346" s="796"/>
      <c r="Y346" s="797"/>
      <c r="Z346" s="797"/>
      <c r="AA346" s="798"/>
      <c r="AB346" s="338">
        <v>2131</v>
      </c>
      <c r="AC346" s="62"/>
    </row>
    <row r="347" spans="1:30" ht="12.6" customHeight="1" x14ac:dyDescent="0.2">
      <c r="A347" s="94"/>
      <c r="B347" s="678" t="s">
        <v>193</v>
      </c>
      <c r="C347" s="679"/>
      <c r="D347" s="679"/>
      <c r="E347" s="679"/>
      <c r="F347" s="323">
        <f>0.41*X2</f>
        <v>631.4</v>
      </c>
      <c r="G347" s="255">
        <f t="shared" ref="G347:G348" si="970">+F347*$X$1</f>
        <v>631.4</v>
      </c>
      <c r="H347" s="251"/>
      <c r="I347" s="302"/>
      <c r="J347" s="527"/>
      <c r="K347" s="255"/>
      <c r="L347" s="527">
        <f>F347+200</f>
        <v>831.4</v>
      </c>
      <c r="M347" s="255">
        <f t="shared" ref="M347" si="971">+L347*$X$1</f>
        <v>831.4</v>
      </c>
      <c r="N347" s="527">
        <f>F347+120</f>
        <v>751.4</v>
      </c>
      <c r="O347" s="255">
        <f t="shared" ref="O347" si="972">+N347*$X$1</f>
        <v>751.4</v>
      </c>
      <c r="P347" s="527">
        <f>F347+80</f>
        <v>711.4</v>
      </c>
      <c r="Q347" s="255">
        <f t="shared" ref="Q347" si="973">+P347*$X$1</f>
        <v>711.4</v>
      </c>
      <c r="R347" s="527">
        <f>F347+67</f>
        <v>698.4</v>
      </c>
      <c r="S347" s="255">
        <f t="shared" ref="S347" si="974">+R347*$X$1</f>
        <v>698.4</v>
      </c>
      <c r="T347" s="93">
        <f>F347+53</f>
        <v>684.4</v>
      </c>
      <c r="U347" s="234">
        <f t="shared" ref="U347" si="975">+T347*$X$1</f>
        <v>684.4</v>
      </c>
      <c r="V347" s="93">
        <f>F347+40</f>
        <v>671.4</v>
      </c>
      <c r="W347" s="234">
        <f t="shared" ref="W347" si="976">+V347*$X$1</f>
        <v>671.4</v>
      </c>
      <c r="X347" s="121"/>
      <c r="Y347" s="119"/>
      <c r="Z347" s="119"/>
      <c r="AA347" s="119"/>
      <c r="AB347" s="338">
        <v>2145</v>
      </c>
      <c r="AC347" s="62"/>
    </row>
    <row r="348" spans="1:30" ht="12.6" customHeight="1" x14ac:dyDescent="0.25">
      <c r="A348" s="115"/>
      <c r="B348" s="657" t="s">
        <v>865</v>
      </c>
      <c r="C348" s="633"/>
      <c r="D348" s="633"/>
      <c r="E348" s="633"/>
      <c r="F348" s="324">
        <v>170</v>
      </c>
      <c r="G348" s="256">
        <f t="shared" si="970"/>
        <v>170</v>
      </c>
      <c r="H348" s="250"/>
      <c r="I348" s="303"/>
      <c r="J348" s="464"/>
      <c r="K348" s="256"/>
      <c r="L348" s="465"/>
      <c r="M348" s="256"/>
      <c r="N348" s="465"/>
      <c r="O348" s="466"/>
      <c r="P348" s="250"/>
      <c r="Q348" s="303"/>
      <c r="R348" s="465"/>
      <c r="S348" s="466"/>
      <c r="T348" s="465"/>
      <c r="U348" s="466"/>
      <c r="V348" s="465"/>
      <c r="W348" s="466"/>
      <c r="X348" s="119"/>
      <c r="Y348" s="119"/>
      <c r="Z348" s="119"/>
      <c r="AA348" s="119"/>
      <c r="AB348" s="178">
        <v>2147</v>
      </c>
    </row>
    <row r="349" spans="1:30" ht="12.6" customHeight="1" x14ac:dyDescent="0.2">
      <c r="A349" s="17"/>
      <c r="B349" s="678" t="s">
        <v>194</v>
      </c>
      <c r="C349" s="679"/>
      <c r="D349" s="679"/>
      <c r="E349" s="679"/>
      <c r="F349" s="323">
        <v>51</v>
      </c>
      <c r="G349" s="255">
        <f t="shared" ref="G349:G353" si="977">+F349*$X$1</f>
        <v>51</v>
      </c>
      <c r="H349" s="251"/>
      <c r="I349" s="302"/>
      <c r="J349" s="527">
        <f>F349+240</f>
        <v>291</v>
      </c>
      <c r="K349" s="255">
        <f t="shared" ref="K349" si="978">+J349*$X$1</f>
        <v>291</v>
      </c>
      <c r="L349" s="527">
        <f>F349+200</f>
        <v>251</v>
      </c>
      <c r="M349" s="255">
        <f t="shared" ref="M349" si="979">+L349*$X$1</f>
        <v>251</v>
      </c>
      <c r="N349" s="527">
        <f>F349+120</f>
        <v>171</v>
      </c>
      <c r="O349" s="255">
        <f t="shared" ref="O349" si="980">+N349*$X$1</f>
        <v>171</v>
      </c>
      <c r="P349" s="527">
        <f>F349+80</f>
        <v>131</v>
      </c>
      <c r="Q349" s="255">
        <f t="shared" ref="Q349" si="981">+P349*$X$1</f>
        <v>131</v>
      </c>
      <c r="R349" s="527">
        <f>F349+67</f>
        <v>118</v>
      </c>
      <c r="S349" s="255">
        <f t="shared" ref="S349" si="982">+R349*$X$1</f>
        <v>118</v>
      </c>
      <c r="T349" s="93">
        <f>F349+53</f>
        <v>104</v>
      </c>
      <c r="U349" s="234">
        <f t="shared" ref="U349" si="983">+T349*$X$1</f>
        <v>104</v>
      </c>
      <c r="V349" s="93">
        <f>F349+40</f>
        <v>91</v>
      </c>
      <c r="W349" s="234">
        <f t="shared" ref="W349" si="984">+V349*$X$1</f>
        <v>91</v>
      </c>
      <c r="X349" s="119"/>
      <c r="Y349" s="119"/>
      <c r="Z349" s="119"/>
      <c r="AA349" s="119"/>
      <c r="AB349" s="338">
        <v>2149</v>
      </c>
    </row>
    <row r="350" spans="1:30" ht="12.6" customHeight="1" x14ac:dyDescent="0.25">
      <c r="A350" s="115"/>
      <c r="B350" s="657" t="s">
        <v>195</v>
      </c>
      <c r="C350" s="633"/>
      <c r="D350" s="633"/>
      <c r="E350" s="633"/>
      <c r="F350" s="324">
        <f>0.85*X2</f>
        <v>1309</v>
      </c>
      <c r="G350" s="256">
        <f t="shared" si="977"/>
        <v>1309</v>
      </c>
      <c r="H350" s="250"/>
      <c r="I350" s="303"/>
      <c r="J350" s="464"/>
      <c r="K350" s="256"/>
      <c r="L350" s="465"/>
      <c r="M350" s="256"/>
      <c r="N350" s="465"/>
      <c r="O350" s="466"/>
      <c r="P350" s="250"/>
      <c r="Q350" s="303"/>
      <c r="R350" s="465"/>
      <c r="S350" s="466"/>
      <c r="T350" s="465"/>
      <c r="U350" s="466"/>
      <c r="V350" s="465"/>
      <c r="W350" s="466"/>
      <c r="X350" s="119"/>
      <c r="Y350" s="119"/>
      <c r="Z350" s="119"/>
      <c r="AA350" s="119"/>
      <c r="AB350" s="178">
        <v>2151</v>
      </c>
    </row>
    <row r="351" spans="1:30" ht="12.6" customHeight="1" x14ac:dyDescent="0.2">
      <c r="A351" s="17"/>
      <c r="B351" s="745" t="s">
        <v>196</v>
      </c>
      <c r="C351" s="782"/>
      <c r="D351" s="782"/>
      <c r="E351" s="782"/>
      <c r="F351" s="326">
        <f>0.5*X2</f>
        <v>770</v>
      </c>
      <c r="G351" s="270">
        <f t="shared" si="977"/>
        <v>770</v>
      </c>
      <c r="H351" s="407"/>
      <c r="I351" s="585"/>
      <c r="J351" s="93"/>
      <c r="K351" s="270"/>
      <c r="L351" s="527">
        <f>F351+200</f>
        <v>970</v>
      </c>
      <c r="M351" s="255">
        <f t="shared" ref="M351" si="985">+L351*$X$1</f>
        <v>970</v>
      </c>
      <c r="N351" s="527">
        <f>F351+120</f>
        <v>890</v>
      </c>
      <c r="O351" s="255">
        <f t="shared" ref="O351" si="986">+N351*$X$1</f>
        <v>890</v>
      </c>
      <c r="P351" s="527">
        <f>F351+80</f>
        <v>850</v>
      </c>
      <c r="Q351" s="255">
        <f t="shared" ref="Q351" si="987">+P351*$X$1</f>
        <v>850</v>
      </c>
      <c r="R351" s="527">
        <f>F351+67</f>
        <v>837</v>
      </c>
      <c r="S351" s="255">
        <f t="shared" ref="S351" si="988">+R351*$X$1</f>
        <v>837</v>
      </c>
      <c r="T351" s="93">
        <f>F351+53</f>
        <v>823</v>
      </c>
      <c r="U351" s="234">
        <f t="shared" ref="U351" si="989">+T351*$X$1</f>
        <v>823</v>
      </c>
      <c r="V351" s="93">
        <f>F351+40</f>
        <v>810</v>
      </c>
      <c r="W351" s="234">
        <f t="shared" ref="W351" si="990">+V351*$X$1</f>
        <v>810</v>
      </c>
      <c r="X351" s="119"/>
      <c r="Y351" s="119"/>
      <c r="Z351" s="119"/>
      <c r="AA351" s="119"/>
      <c r="AB351" s="352">
        <v>2153</v>
      </c>
      <c r="AC351" s="62"/>
    </row>
    <row r="352" spans="1:30" ht="12.6" customHeight="1" x14ac:dyDescent="0.2">
      <c r="A352" s="17"/>
      <c r="B352" s="657" t="s">
        <v>339</v>
      </c>
      <c r="C352" s="633"/>
      <c r="D352" s="633"/>
      <c r="E352" s="633"/>
      <c r="F352" s="324">
        <f>0.43*X2</f>
        <v>662.2</v>
      </c>
      <c r="G352" s="256">
        <f t="shared" si="977"/>
        <v>662.2</v>
      </c>
      <c r="H352" s="250"/>
      <c r="I352" s="303"/>
      <c r="J352" s="536"/>
      <c r="K352" s="256"/>
      <c r="L352" s="536">
        <f t="shared" ref="L352:L357" si="991">F352+200</f>
        <v>862.2</v>
      </c>
      <c r="M352" s="256">
        <f t="shared" ref="M352:M357" si="992">+L352*$X$1</f>
        <v>862.2</v>
      </c>
      <c r="N352" s="536">
        <f t="shared" ref="N352:N357" si="993">F352+120</f>
        <v>782.2</v>
      </c>
      <c r="O352" s="256">
        <f t="shared" ref="O352:O357" si="994">+N352*$X$1</f>
        <v>782.2</v>
      </c>
      <c r="P352" s="536">
        <f t="shared" ref="P352:P357" si="995">F352+80</f>
        <v>742.2</v>
      </c>
      <c r="Q352" s="256">
        <f t="shared" ref="Q352:Q357" si="996">+P352*$X$1</f>
        <v>742.2</v>
      </c>
      <c r="R352" s="536">
        <f t="shared" ref="R352:R357" si="997">F352+67</f>
        <v>729.2</v>
      </c>
      <c r="S352" s="256">
        <f t="shared" ref="S352:S357" si="998">+R352*$X$1</f>
        <v>729.2</v>
      </c>
      <c r="T352" s="92">
        <f t="shared" ref="T352:T357" si="999">F352+53</f>
        <v>715.2</v>
      </c>
      <c r="U352" s="269">
        <f t="shared" ref="U352:U357" si="1000">+T352*$X$1</f>
        <v>715.2</v>
      </c>
      <c r="V352" s="92">
        <f t="shared" ref="V352:V357" si="1001">F352+40</f>
        <v>702.2</v>
      </c>
      <c r="W352" s="269">
        <f t="shared" ref="W352:W357" si="1002">+V352*$X$1</f>
        <v>702.2</v>
      </c>
      <c r="X352" s="119"/>
      <c r="Y352" s="126"/>
      <c r="Z352" s="126"/>
      <c r="AA352" s="126"/>
      <c r="AB352" s="351">
        <v>2154</v>
      </c>
      <c r="AC352" s="21"/>
      <c r="AD352" s="21"/>
    </row>
    <row r="353" spans="1:34" ht="12.6" customHeight="1" x14ac:dyDescent="0.2">
      <c r="A353" s="17"/>
      <c r="B353" s="678" t="s">
        <v>340</v>
      </c>
      <c r="C353" s="679"/>
      <c r="D353" s="679"/>
      <c r="E353" s="679"/>
      <c r="F353" s="323">
        <f>0.503*X2</f>
        <v>774.62</v>
      </c>
      <c r="G353" s="255">
        <f t="shared" si="977"/>
        <v>774.62</v>
      </c>
      <c r="H353" s="251"/>
      <c r="I353" s="302"/>
      <c r="J353" s="527"/>
      <c r="K353" s="255"/>
      <c r="L353" s="527">
        <f t="shared" si="991"/>
        <v>974.62</v>
      </c>
      <c r="M353" s="255">
        <f t="shared" si="992"/>
        <v>974.62</v>
      </c>
      <c r="N353" s="527">
        <f t="shared" si="993"/>
        <v>894.62</v>
      </c>
      <c r="O353" s="255">
        <f t="shared" si="994"/>
        <v>894.62</v>
      </c>
      <c r="P353" s="527">
        <f t="shared" si="995"/>
        <v>854.62</v>
      </c>
      <c r="Q353" s="255">
        <f t="shared" si="996"/>
        <v>854.62</v>
      </c>
      <c r="R353" s="527">
        <f t="shared" si="997"/>
        <v>841.62</v>
      </c>
      <c r="S353" s="255">
        <f t="shared" si="998"/>
        <v>841.62</v>
      </c>
      <c r="T353" s="93">
        <f t="shared" si="999"/>
        <v>827.62</v>
      </c>
      <c r="U353" s="234">
        <f t="shared" si="1000"/>
        <v>827.62</v>
      </c>
      <c r="V353" s="93">
        <f t="shared" si="1001"/>
        <v>814.62</v>
      </c>
      <c r="W353" s="234">
        <f t="shared" si="1002"/>
        <v>814.62</v>
      </c>
      <c r="X353" s="138"/>
      <c r="Y353" s="119"/>
      <c r="Z353" s="126"/>
      <c r="AA353" s="126"/>
      <c r="AB353" s="351">
        <v>2156</v>
      </c>
      <c r="AC353" s="21"/>
      <c r="AD353" s="21"/>
    </row>
    <row r="354" spans="1:34" ht="12.6" customHeight="1" x14ac:dyDescent="0.2">
      <c r="A354" s="17"/>
      <c r="B354" s="642" t="s">
        <v>197</v>
      </c>
      <c r="C354" s="680"/>
      <c r="D354" s="680"/>
      <c r="E354" s="681"/>
      <c r="F354" s="324">
        <f>0.428*X2</f>
        <v>659.12</v>
      </c>
      <c r="G354" s="256">
        <f t="shared" ref="G354" si="1003">+F354*$X$1</f>
        <v>659.12</v>
      </c>
      <c r="H354" s="250"/>
      <c r="I354" s="303"/>
      <c r="J354" s="536"/>
      <c r="K354" s="256"/>
      <c r="L354" s="536">
        <f t="shared" si="991"/>
        <v>859.12</v>
      </c>
      <c r="M354" s="256">
        <f t="shared" si="992"/>
        <v>859.12</v>
      </c>
      <c r="N354" s="536">
        <f t="shared" si="993"/>
        <v>779.12</v>
      </c>
      <c r="O354" s="256">
        <f t="shared" si="994"/>
        <v>779.12</v>
      </c>
      <c r="P354" s="536">
        <f t="shared" si="995"/>
        <v>739.12</v>
      </c>
      <c r="Q354" s="256">
        <f t="shared" si="996"/>
        <v>739.12</v>
      </c>
      <c r="R354" s="536">
        <f t="shared" si="997"/>
        <v>726.12</v>
      </c>
      <c r="S354" s="256">
        <f t="shared" si="998"/>
        <v>726.12</v>
      </c>
      <c r="T354" s="92">
        <f t="shared" si="999"/>
        <v>712.12</v>
      </c>
      <c r="U354" s="269">
        <f t="shared" si="1000"/>
        <v>712.12</v>
      </c>
      <c r="V354" s="92">
        <f t="shared" si="1001"/>
        <v>699.12</v>
      </c>
      <c r="W354" s="269">
        <f t="shared" si="1002"/>
        <v>699.12</v>
      </c>
      <c r="X354" s="119"/>
      <c r="Y354" s="126"/>
      <c r="Z354" s="126"/>
      <c r="AA354" s="126"/>
      <c r="AB354" s="351">
        <v>2160</v>
      </c>
      <c r="AC354" s="21"/>
      <c r="AD354" s="21"/>
      <c r="AH354" s="61"/>
    </row>
    <row r="355" spans="1:34" ht="12.6" customHeight="1" x14ac:dyDescent="0.2">
      <c r="A355" s="88"/>
      <c r="B355" s="1171" t="s">
        <v>198</v>
      </c>
      <c r="C355" s="1172"/>
      <c r="D355" s="1172"/>
      <c r="E355" s="1173"/>
      <c r="F355" s="323">
        <f>0.466*X2</f>
        <v>717.64</v>
      </c>
      <c r="G355" s="234">
        <f t="shared" ref="G355" si="1004">+F355*$X$1</f>
        <v>717.64</v>
      </c>
      <c r="H355" s="527"/>
      <c r="I355" s="527"/>
      <c r="J355" s="110"/>
      <c r="K355" s="255"/>
      <c r="L355" s="527">
        <f t="shared" si="991"/>
        <v>917.64</v>
      </c>
      <c r="M355" s="255">
        <f t="shared" si="992"/>
        <v>917.64</v>
      </c>
      <c r="N355" s="527">
        <f t="shared" si="993"/>
        <v>837.64</v>
      </c>
      <c r="O355" s="255">
        <f t="shared" si="994"/>
        <v>837.64</v>
      </c>
      <c r="P355" s="527">
        <f t="shared" si="995"/>
        <v>797.64</v>
      </c>
      <c r="Q355" s="255">
        <f t="shared" si="996"/>
        <v>797.64</v>
      </c>
      <c r="R355" s="527">
        <f t="shared" si="997"/>
        <v>784.64</v>
      </c>
      <c r="S355" s="255">
        <f t="shared" si="998"/>
        <v>784.64</v>
      </c>
      <c r="T355" s="93">
        <f t="shared" si="999"/>
        <v>770.64</v>
      </c>
      <c r="U355" s="234">
        <f t="shared" si="1000"/>
        <v>770.64</v>
      </c>
      <c r="V355" s="93">
        <f t="shared" si="1001"/>
        <v>757.64</v>
      </c>
      <c r="W355" s="234">
        <f t="shared" si="1002"/>
        <v>757.64</v>
      </c>
      <c r="X355" s="119"/>
      <c r="Y355" s="126"/>
      <c r="Z355" s="126"/>
      <c r="AA355" s="126"/>
      <c r="AB355" s="338">
        <v>2174</v>
      </c>
      <c r="AC355" s="63"/>
      <c r="AD355" s="21"/>
    </row>
    <row r="356" spans="1:34" ht="12.6" customHeight="1" x14ac:dyDescent="0.2">
      <c r="A356" s="88"/>
      <c r="B356" s="786" t="s">
        <v>199</v>
      </c>
      <c r="C356" s="787"/>
      <c r="D356" s="787"/>
      <c r="E356" s="788"/>
      <c r="F356" s="324">
        <f>0.466*X2</f>
        <v>717.64</v>
      </c>
      <c r="G356" s="269">
        <f>+F356*$X$1</f>
        <v>717.64</v>
      </c>
      <c r="H356" s="536"/>
      <c r="I356" s="536"/>
      <c r="J356" s="109"/>
      <c r="K356" s="256"/>
      <c r="L356" s="536">
        <f t="shared" si="991"/>
        <v>917.64</v>
      </c>
      <c r="M356" s="256">
        <f t="shared" si="992"/>
        <v>917.64</v>
      </c>
      <c r="N356" s="536">
        <f t="shared" si="993"/>
        <v>837.64</v>
      </c>
      <c r="O356" s="256">
        <f t="shared" si="994"/>
        <v>837.64</v>
      </c>
      <c r="P356" s="536">
        <f t="shared" si="995"/>
        <v>797.64</v>
      </c>
      <c r="Q356" s="256">
        <f t="shared" si="996"/>
        <v>797.64</v>
      </c>
      <c r="R356" s="536">
        <f t="shared" si="997"/>
        <v>784.64</v>
      </c>
      <c r="S356" s="256">
        <f t="shared" si="998"/>
        <v>784.64</v>
      </c>
      <c r="T356" s="92">
        <f t="shared" si="999"/>
        <v>770.64</v>
      </c>
      <c r="U356" s="269">
        <f t="shared" si="1000"/>
        <v>770.64</v>
      </c>
      <c r="V356" s="92">
        <f t="shared" si="1001"/>
        <v>757.64</v>
      </c>
      <c r="W356" s="269">
        <f t="shared" si="1002"/>
        <v>757.64</v>
      </c>
      <c r="X356" s="119"/>
      <c r="Y356" s="126"/>
      <c r="Z356" s="126"/>
      <c r="AA356" s="126"/>
      <c r="AB356" s="338" t="s">
        <v>304</v>
      </c>
      <c r="AC356" s="63"/>
      <c r="AD356" s="21"/>
    </row>
    <row r="357" spans="1:34" ht="12.6" customHeight="1" x14ac:dyDescent="0.2">
      <c r="A357" s="88"/>
      <c r="B357" s="678" t="s">
        <v>616</v>
      </c>
      <c r="C357" s="679"/>
      <c r="D357" s="679"/>
      <c r="E357" s="679"/>
      <c r="F357" s="323">
        <f>0.484*X2</f>
        <v>745.36</v>
      </c>
      <c r="G357" s="234">
        <f>+F357*$X$1</f>
        <v>745.36</v>
      </c>
      <c r="H357" s="527"/>
      <c r="I357" s="527"/>
      <c r="J357" s="110"/>
      <c r="K357" s="255"/>
      <c r="L357" s="527">
        <f t="shared" si="991"/>
        <v>945.36</v>
      </c>
      <c r="M357" s="255">
        <f t="shared" si="992"/>
        <v>945.36</v>
      </c>
      <c r="N357" s="527">
        <f t="shared" si="993"/>
        <v>865.36</v>
      </c>
      <c r="O357" s="255">
        <f t="shared" si="994"/>
        <v>865.36</v>
      </c>
      <c r="P357" s="527">
        <f t="shared" si="995"/>
        <v>825.36</v>
      </c>
      <c r="Q357" s="255">
        <f t="shared" si="996"/>
        <v>825.36</v>
      </c>
      <c r="R357" s="527">
        <f t="shared" si="997"/>
        <v>812.36</v>
      </c>
      <c r="S357" s="255">
        <f t="shared" si="998"/>
        <v>812.36</v>
      </c>
      <c r="T357" s="93">
        <f t="shared" si="999"/>
        <v>798.36</v>
      </c>
      <c r="U357" s="234">
        <f t="shared" si="1000"/>
        <v>798.36</v>
      </c>
      <c r="V357" s="93">
        <f t="shared" si="1001"/>
        <v>785.36</v>
      </c>
      <c r="W357" s="234">
        <f t="shared" si="1002"/>
        <v>785.36</v>
      </c>
      <c r="X357" s="119"/>
      <c r="Y357" s="126"/>
      <c r="Z357" s="126"/>
      <c r="AA357" s="126"/>
      <c r="AB357" s="338">
        <v>2180</v>
      </c>
      <c r="AC357" s="21"/>
      <c r="AD357" s="21"/>
    </row>
    <row r="358" spans="1:34" ht="12" customHeight="1" x14ac:dyDescent="0.2">
      <c r="A358" s="170"/>
      <c r="B358" s="783" t="s">
        <v>200</v>
      </c>
      <c r="C358" s="1178"/>
      <c r="D358" s="1178"/>
      <c r="E358" s="1179"/>
      <c r="F358" s="455">
        <f>0.32*X2</f>
        <v>492.8</v>
      </c>
      <c r="G358" s="521">
        <f>+F358*$X$1</f>
        <v>492.8</v>
      </c>
      <c r="H358" s="581"/>
      <c r="I358" s="581"/>
      <c r="J358" s="584"/>
      <c r="K358" s="451"/>
      <c r="L358" s="581">
        <f>F358+200</f>
        <v>692.8</v>
      </c>
      <c r="M358" s="451">
        <f t="shared" ref="M358:M363" si="1005">+L358*$X$1</f>
        <v>692.8</v>
      </c>
      <c r="N358" s="581">
        <f>F358+120</f>
        <v>612.79999999999995</v>
      </c>
      <c r="O358" s="451">
        <f t="shared" ref="O358:O363" si="1006">+N358*$X$1</f>
        <v>612.79999999999995</v>
      </c>
      <c r="P358" s="581"/>
      <c r="Q358" s="451"/>
      <c r="R358" s="581"/>
      <c r="S358" s="451"/>
      <c r="T358" s="522"/>
      <c r="U358" s="521"/>
      <c r="V358" s="522"/>
      <c r="W358" s="521"/>
      <c r="X358" s="119"/>
      <c r="Y358" s="119"/>
      <c r="Z358" s="119"/>
      <c r="AA358" s="119"/>
      <c r="AB358" s="338">
        <v>2184</v>
      </c>
    </row>
    <row r="359" spans="1:34" ht="12" customHeight="1" x14ac:dyDescent="0.2">
      <c r="A359" s="170"/>
      <c r="B359" s="683" t="s">
        <v>201</v>
      </c>
      <c r="C359" s="703"/>
      <c r="D359" s="703"/>
      <c r="E359" s="704"/>
      <c r="F359" s="323">
        <f>0.633*X2</f>
        <v>974.82</v>
      </c>
      <c r="G359" s="234">
        <f>+F359*$X$1</f>
        <v>974.82</v>
      </c>
      <c r="H359" s="527"/>
      <c r="I359" s="527"/>
      <c r="J359" s="110"/>
      <c r="K359" s="255"/>
      <c r="L359" s="527">
        <f t="shared" ref="L359:L363" si="1007">F359+200</f>
        <v>1174.8200000000002</v>
      </c>
      <c r="M359" s="255">
        <f t="shared" si="1005"/>
        <v>1174.8200000000002</v>
      </c>
      <c r="N359" s="527">
        <f t="shared" ref="N359:N363" si="1008">F359+120</f>
        <v>1094.8200000000002</v>
      </c>
      <c r="O359" s="255">
        <f t="shared" si="1006"/>
        <v>1094.8200000000002</v>
      </c>
      <c r="P359" s="527">
        <f t="shared" ref="P359:P363" si="1009">F359+80</f>
        <v>1054.8200000000002</v>
      </c>
      <c r="Q359" s="255">
        <f t="shared" ref="Q359:Q363" si="1010">+P359*$X$1</f>
        <v>1054.8200000000002</v>
      </c>
      <c r="R359" s="527">
        <f t="shared" ref="R359:R363" si="1011">F359+67</f>
        <v>1041.8200000000002</v>
      </c>
      <c r="S359" s="255">
        <f t="shared" ref="S359:S363" si="1012">+R359*$X$1</f>
        <v>1041.8200000000002</v>
      </c>
      <c r="T359" s="93">
        <f t="shared" ref="T359:T363" si="1013">F359+53</f>
        <v>1027.8200000000002</v>
      </c>
      <c r="U359" s="234">
        <f t="shared" ref="U359:U363" si="1014">+T359*$X$1</f>
        <v>1027.8200000000002</v>
      </c>
      <c r="V359" s="93">
        <f t="shared" ref="V359:V363" si="1015">F359+40</f>
        <v>1014.82</v>
      </c>
      <c r="W359" s="234">
        <f t="shared" ref="W359:W363" si="1016">+V359*$X$1</f>
        <v>1014.82</v>
      </c>
      <c r="X359" s="119"/>
      <c r="Y359" s="119"/>
      <c r="Z359" s="119"/>
      <c r="AA359" s="119"/>
      <c r="AB359" s="338" t="s">
        <v>202</v>
      </c>
    </row>
    <row r="360" spans="1:34" ht="12" customHeight="1" x14ac:dyDescent="0.2">
      <c r="A360" s="88"/>
      <c r="B360" s="642" t="s">
        <v>203</v>
      </c>
      <c r="C360" s="680"/>
      <c r="D360" s="680"/>
      <c r="E360" s="681"/>
      <c r="F360" s="324">
        <f>0.335*X2</f>
        <v>515.9</v>
      </c>
      <c r="G360" s="269">
        <f>+F360*$X$1</f>
        <v>515.9</v>
      </c>
      <c r="H360" s="536"/>
      <c r="I360" s="536"/>
      <c r="J360" s="109"/>
      <c r="K360" s="256"/>
      <c r="L360" s="536">
        <f t="shared" si="1007"/>
        <v>715.9</v>
      </c>
      <c r="M360" s="256">
        <f t="shared" si="1005"/>
        <v>715.9</v>
      </c>
      <c r="N360" s="536">
        <f t="shared" si="1008"/>
        <v>635.9</v>
      </c>
      <c r="O360" s="256">
        <f t="shared" si="1006"/>
        <v>635.9</v>
      </c>
      <c r="P360" s="536">
        <f t="shared" si="1009"/>
        <v>595.9</v>
      </c>
      <c r="Q360" s="256">
        <f t="shared" si="1010"/>
        <v>595.9</v>
      </c>
      <c r="R360" s="536">
        <f t="shared" si="1011"/>
        <v>582.9</v>
      </c>
      <c r="S360" s="256">
        <f t="shared" si="1012"/>
        <v>582.9</v>
      </c>
      <c r="T360" s="92">
        <f t="shared" si="1013"/>
        <v>568.9</v>
      </c>
      <c r="U360" s="269">
        <f t="shared" si="1014"/>
        <v>568.9</v>
      </c>
      <c r="V360" s="92"/>
      <c r="W360" s="269"/>
      <c r="X360" s="119"/>
      <c r="Y360" s="119"/>
      <c r="Z360" s="119"/>
      <c r="AA360" s="119"/>
      <c r="AB360" s="338">
        <v>2189</v>
      </c>
    </row>
    <row r="361" spans="1:34" ht="12.6" customHeight="1" x14ac:dyDescent="0.2">
      <c r="A361" s="88"/>
      <c r="B361" s="683" t="s">
        <v>204</v>
      </c>
      <c r="C361" s="703"/>
      <c r="D361" s="703"/>
      <c r="E361" s="704"/>
      <c r="F361" s="323">
        <f>0.54*X2</f>
        <v>831.6</v>
      </c>
      <c r="G361" s="234">
        <f t="shared" ref="G361" si="1017">+F361*$X$1</f>
        <v>831.6</v>
      </c>
      <c r="H361" s="527"/>
      <c r="I361" s="527"/>
      <c r="J361" s="110"/>
      <c r="K361" s="255"/>
      <c r="L361" s="527">
        <f t="shared" si="1007"/>
        <v>1031.5999999999999</v>
      </c>
      <c r="M361" s="255">
        <f t="shared" si="1005"/>
        <v>1031.5999999999999</v>
      </c>
      <c r="N361" s="527">
        <f t="shared" si="1008"/>
        <v>951.6</v>
      </c>
      <c r="O361" s="255">
        <f t="shared" si="1006"/>
        <v>951.6</v>
      </c>
      <c r="P361" s="527">
        <f t="shared" si="1009"/>
        <v>911.6</v>
      </c>
      <c r="Q361" s="255">
        <f t="shared" si="1010"/>
        <v>911.6</v>
      </c>
      <c r="R361" s="527">
        <f t="shared" si="1011"/>
        <v>898.6</v>
      </c>
      <c r="S361" s="255">
        <f t="shared" si="1012"/>
        <v>898.6</v>
      </c>
      <c r="T361" s="93">
        <f t="shared" si="1013"/>
        <v>884.6</v>
      </c>
      <c r="U361" s="234">
        <f t="shared" si="1014"/>
        <v>884.6</v>
      </c>
      <c r="V361" s="93"/>
      <c r="W361" s="234"/>
      <c r="X361" s="119"/>
      <c r="Y361" s="119"/>
      <c r="Z361" s="119"/>
      <c r="AA361" s="119"/>
      <c r="AB361" s="338">
        <v>2190</v>
      </c>
    </row>
    <row r="362" spans="1:34" ht="12.6" customHeight="1" x14ac:dyDescent="0.2">
      <c r="A362" s="17"/>
      <c r="B362" s="657" t="s">
        <v>205</v>
      </c>
      <c r="C362" s="633"/>
      <c r="D362" s="633"/>
      <c r="E362" s="633"/>
      <c r="F362" s="324">
        <f>0.503*X2</f>
        <v>774.62</v>
      </c>
      <c r="G362" s="269">
        <f>+F362*$X$1</f>
        <v>774.62</v>
      </c>
      <c r="H362" s="536"/>
      <c r="I362" s="536"/>
      <c r="J362" s="109"/>
      <c r="K362" s="256"/>
      <c r="L362" s="536">
        <f t="shared" si="1007"/>
        <v>974.62</v>
      </c>
      <c r="M362" s="256">
        <f t="shared" si="1005"/>
        <v>974.62</v>
      </c>
      <c r="N362" s="536">
        <f t="shared" si="1008"/>
        <v>894.62</v>
      </c>
      <c r="O362" s="256">
        <f t="shared" si="1006"/>
        <v>894.62</v>
      </c>
      <c r="P362" s="536">
        <f t="shared" si="1009"/>
        <v>854.62</v>
      </c>
      <c r="Q362" s="256">
        <f t="shared" si="1010"/>
        <v>854.62</v>
      </c>
      <c r="R362" s="536">
        <f t="shared" si="1011"/>
        <v>841.62</v>
      </c>
      <c r="S362" s="256">
        <f t="shared" si="1012"/>
        <v>841.62</v>
      </c>
      <c r="T362" s="92">
        <f t="shared" si="1013"/>
        <v>827.62</v>
      </c>
      <c r="U362" s="269">
        <f t="shared" si="1014"/>
        <v>827.62</v>
      </c>
      <c r="V362" s="92">
        <f t="shared" si="1015"/>
        <v>814.62</v>
      </c>
      <c r="W362" s="269">
        <f t="shared" si="1016"/>
        <v>814.62</v>
      </c>
      <c r="X362" s="119"/>
      <c r="Y362" s="119"/>
      <c r="Z362" s="119"/>
      <c r="AA362" s="119"/>
      <c r="AB362" s="338">
        <v>2194</v>
      </c>
    </row>
    <row r="363" spans="1:34" ht="12.6" customHeight="1" x14ac:dyDescent="0.2">
      <c r="A363" s="17"/>
      <c r="B363" s="791" t="s">
        <v>206</v>
      </c>
      <c r="C363" s="792"/>
      <c r="D363" s="792"/>
      <c r="E363" s="793"/>
      <c r="F363" s="323">
        <f>0.596*X2</f>
        <v>917.83999999999992</v>
      </c>
      <c r="G363" s="234">
        <f>+F363*$X$1</f>
        <v>917.83999999999992</v>
      </c>
      <c r="H363" s="527"/>
      <c r="I363" s="527"/>
      <c r="J363" s="110"/>
      <c r="K363" s="255"/>
      <c r="L363" s="527">
        <f t="shared" si="1007"/>
        <v>1117.8399999999999</v>
      </c>
      <c r="M363" s="255">
        <f t="shared" si="1005"/>
        <v>1117.8399999999999</v>
      </c>
      <c r="N363" s="527">
        <f t="shared" si="1008"/>
        <v>1037.8399999999999</v>
      </c>
      <c r="O363" s="255">
        <f t="shared" si="1006"/>
        <v>1037.8399999999999</v>
      </c>
      <c r="P363" s="527">
        <f t="shared" si="1009"/>
        <v>997.83999999999992</v>
      </c>
      <c r="Q363" s="255">
        <f t="shared" si="1010"/>
        <v>997.83999999999992</v>
      </c>
      <c r="R363" s="527">
        <f t="shared" si="1011"/>
        <v>984.83999999999992</v>
      </c>
      <c r="S363" s="255">
        <f t="shared" si="1012"/>
        <v>984.83999999999992</v>
      </c>
      <c r="T363" s="93">
        <f t="shared" si="1013"/>
        <v>970.83999999999992</v>
      </c>
      <c r="U363" s="234">
        <f t="shared" si="1014"/>
        <v>970.83999999999992</v>
      </c>
      <c r="V363" s="93">
        <f t="shared" si="1015"/>
        <v>957.83999999999992</v>
      </c>
      <c r="W363" s="234">
        <f t="shared" si="1016"/>
        <v>957.83999999999992</v>
      </c>
      <c r="X363" s="119"/>
      <c r="Y363" s="119"/>
      <c r="Z363" s="119"/>
      <c r="AA363" s="119"/>
      <c r="AB363" s="338">
        <v>2195</v>
      </c>
    </row>
    <row r="364" spans="1:34" ht="12.6" customHeight="1" x14ac:dyDescent="0.2">
      <c r="A364" s="17"/>
      <c r="B364" s="630" t="s">
        <v>207</v>
      </c>
      <c r="C364" s="631"/>
      <c r="D364" s="631"/>
      <c r="E364" s="631"/>
      <c r="F364" s="455">
        <f>0.3*X2</f>
        <v>462</v>
      </c>
      <c r="G364" s="521">
        <f>+F364*$X$1</f>
        <v>462</v>
      </c>
      <c r="H364" s="581"/>
      <c r="I364" s="581"/>
      <c r="J364" s="581"/>
      <c r="K364" s="451"/>
      <c r="L364" s="581">
        <f t="shared" ref="L364:L373" si="1018">F364+200</f>
        <v>662</v>
      </c>
      <c r="M364" s="451">
        <f t="shared" ref="M364:M373" si="1019">+L364*$X$1</f>
        <v>662</v>
      </c>
      <c r="N364" s="581">
        <f t="shared" ref="N364:N373" si="1020">F364+120</f>
        <v>582</v>
      </c>
      <c r="O364" s="451">
        <f t="shared" ref="O364:O373" si="1021">+N364*$X$1</f>
        <v>582</v>
      </c>
      <c r="P364" s="581">
        <f t="shared" ref="P364:P373" si="1022">F364+80</f>
        <v>542</v>
      </c>
      <c r="Q364" s="451">
        <f t="shared" ref="Q364:Q373" si="1023">+P364*$X$1</f>
        <v>542</v>
      </c>
      <c r="R364" s="581"/>
      <c r="S364" s="451"/>
      <c r="T364" s="522"/>
      <c r="U364" s="521"/>
      <c r="V364" s="522"/>
      <c r="W364" s="521"/>
      <c r="X364" s="119"/>
      <c r="Y364" s="119"/>
      <c r="Z364" s="119"/>
      <c r="AA364" s="119"/>
      <c r="AB364" s="338">
        <v>2198</v>
      </c>
    </row>
    <row r="365" spans="1:34" ht="12.6" customHeight="1" x14ac:dyDescent="0.2">
      <c r="A365" s="94"/>
      <c r="B365" s="678" t="s">
        <v>295</v>
      </c>
      <c r="C365" s="682"/>
      <c r="D365" s="682"/>
      <c r="E365" s="682"/>
      <c r="F365" s="323">
        <f>0.37*X2</f>
        <v>569.79999999999995</v>
      </c>
      <c r="G365" s="234">
        <f>+F365*$X$1</f>
        <v>569.79999999999995</v>
      </c>
      <c r="H365" s="527"/>
      <c r="I365" s="527"/>
      <c r="J365" s="527"/>
      <c r="K365" s="255"/>
      <c r="L365" s="527">
        <f t="shared" si="1018"/>
        <v>769.8</v>
      </c>
      <c r="M365" s="255">
        <f t="shared" si="1019"/>
        <v>769.8</v>
      </c>
      <c r="N365" s="527">
        <f t="shared" si="1020"/>
        <v>689.8</v>
      </c>
      <c r="O365" s="255">
        <f t="shared" si="1021"/>
        <v>689.8</v>
      </c>
      <c r="P365" s="527">
        <f t="shared" si="1022"/>
        <v>649.79999999999995</v>
      </c>
      <c r="Q365" s="255">
        <f t="shared" si="1023"/>
        <v>649.79999999999995</v>
      </c>
      <c r="R365" s="527">
        <f t="shared" ref="R365:R373" si="1024">F365+67</f>
        <v>636.79999999999995</v>
      </c>
      <c r="S365" s="255">
        <f t="shared" ref="S365:S373" si="1025">+R365*$X$1</f>
        <v>636.79999999999995</v>
      </c>
      <c r="T365" s="93">
        <f t="shared" ref="T365:T373" si="1026">F365+53</f>
        <v>622.79999999999995</v>
      </c>
      <c r="U365" s="234">
        <f t="shared" ref="U365:U373" si="1027">+T365*$X$1</f>
        <v>622.79999999999995</v>
      </c>
      <c r="V365" s="93">
        <f t="shared" ref="V365:V373" si="1028">F365+40</f>
        <v>609.79999999999995</v>
      </c>
      <c r="W365" s="234">
        <f t="shared" ref="W365:W373" si="1029">+V365*$X$1</f>
        <v>609.79999999999995</v>
      </c>
      <c r="X365" s="140"/>
      <c r="Y365" s="119"/>
      <c r="Z365" s="119"/>
      <c r="AA365" s="119"/>
      <c r="AB365" s="338">
        <v>2202</v>
      </c>
    </row>
    <row r="366" spans="1:34" ht="12.6" customHeight="1" x14ac:dyDescent="0.2">
      <c r="A366" s="94"/>
      <c r="B366" s="657" t="s">
        <v>296</v>
      </c>
      <c r="C366" s="658"/>
      <c r="D366" s="658"/>
      <c r="E366" s="658"/>
      <c r="F366" s="324">
        <f>0.37*X2</f>
        <v>569.79999999999995</v>
      </c>
      <c r="G366" s="269">
        <f t="shared" ref="G366:G370" si="1030">+F366*$X$1</f>
        <v>569.79999999999995</v>
      </c>
      <c r="H366" s="536"/>
      <c r="I366" s="536"/>
      <c r="J366" s="536"/>
      <c r="K366" s="256"/>
      <c r="L366" s="536">
        <f t="shared" si="1018"/>
        <v>769.8</v>
      </c>
      <c r="M366" s="256">
        <f t="shared" si="1019"/>
        <v>769.8</v>
      </c>
      <c r="N366" s="536">
        <f t="shared" si="1020"/>
        <v>689.8</v>
      </c>
      <c r="O366" s="256">
        <f t="shared" si="1021"/>
        <v>689.8</v>
      </c>
      <c r="P366" s="536">
        <f t="shared" si="1022"/>
        <v>649.79999999999995</v>
      </c>
      <c r="Q366" s="256">
        <f t="shared" si="1023"/>
        <v>649.79999999999995</v>
      </c>
      <c r="R366" s="536">
        <f t="shared" si="1024"/>
        <v>636.79999999999995</v>
      </c>
      <c r="S366" s="256">
        <f t="shared" si="1025"/>
        <v>636.79999999999995</v>
      </c>
      <c r="T366" s="92">
        <f t="shared" si="1026"/>
        <v>622.79999999999995</v>
      </c>
      <c r="U366" s="269">
        <f t="shared" si="1027"/>
        <v>622.79999999999995</v>
      </c>
      <c r="V366" s="92">
        <f t="shared" si="1028"/>
        <v>609.79999999999995</v>
      </c>
      <c r="W366" s="269">
        <f t="shared" si="1029"/>
        <v>609.79999999999995</v>
      </c>
      <c r="X366" s="119"/>
      <c r="Y366" s="119"/>
      <c r="Z366" s="119"/>
      <c r="AA366" s="119"/>
      <c r="AB366" s="338" t="s">
        <v>208</v>
      </c>
    </row>
    <row r="367" spans="1:34" ht="12.6" customHeight="1" x14ac:dyDescent="0.2">
      <c r="A367" s="94"/>
      <c r="B367" s="678" t="s">
        <v>297</v>
      </c>
      <c r="C367" s="682"/>
      <c r="D367" s="682"/>
      <c r="E367" s="682"/>
      <c r="F367" s="323">
        <f>0.37*X2</f>
        <v>569.79999999999995</v>
      </c>
      <c r="G367" s="234">
        <f t="shared" ref="G367:G371" si="1031">+F367*$X$1</f>
        <v>569.79999999999995</v>
      </c>
      <c r="H367" s="527"/>
      <c r="I367" s="527"/>
      <c r="J367" s="527"/>
      <c r="K367" s="270"/>
      <c r="L367" s="527">
        <f t="shared" si="1018"/>
        <v>769.8</v>
      </c>
      <c r="M367" s="255">
        <f t="shared" si="1019"/>
        <v>769.8</v>
      </c>
      <c r="N367" s="527">
        <f t="shared" si="1020"/>
        <v>689.8</v>
      </c>
      <c r="O367" s="255">
        <f t="shared" si="1021"/>
        <v>689.8</v>
      </c>
      <c r="P367" s="527">
        <f t="shared" si="1022"/>
        <v>649.79999999999995</v>
      </c>
      <c r="Q367" s="255">
        <f t="shared" si="1023"/>
        <v>649.79999999999995</v>
      </c>
      <c r="R367" s="527">
        <f t="shared" si="1024"/>
        <v>636.79999999999995</v>
      </c>
      <c r="S367" s="255">
        <f t="shared" si="1025"/>
        <v>636.79999999999995</v>
      </c>
      <c r="T367" s="93">
        <f t="shared" si="1026"/>
        <v>622.79999999999995</v>
      </c>
      <c r="U367" s="234">
        <f t="shared" si="1027"/>
        <v>622.79999999999995</v>
      </c>
      <c r="V367" s="93">
        <f t="shared" si="1028"/>
        <v>609.79999999999995</v>
      </c>
      <c r="W367" s="234">
        <f t="shared" si="1029"/>
        <v>609.79999999999995</v>
      </c>
      <c r="X367" s="119"/>
      <c r="Y367" s="119"/>
      <c r="Z367" s="119"/>
      <c r="AA367" s="119"/>
      <c r="AB367" s="338" t="s">
        <v>209</v>
      </c>
    </row>
    <row r="368" spans="1:34" ht="12.6" customHeight="1" x14ac:dyDescent="0.2">
      <c r="A368" s="94"/>
      <c r="B368" s="657" t="s">
        <v>764</v>
      </c>
      <c r="C368" s="658"/>
      <c r="D368" s="658"/>
      <c r="E368" s="658"/>
      <c r="F368" s="324">
        <f>0.37*X2</f>
        <v>569.79999999999995</v>
      </c>
      <c r="G368" s="269">
        <f t="shared" ref="G368" si="1032">+F368*$X$1</f>
        <v>569.79999999999995</v>
      </c>
      <c r="H368" s="536"/>
      <c r="I368" s="536"/>
      <c r="J368" s="536"/>
      <c r="K368" s="280"/>
      <c r="L368" s="536">
        <f t="shared" si="1018"/>
        <v>769.8</v>
      </c>
      <c r="M368" s="256">
        <f t="shared" si="1019"/>
        <v>769.8</v>
      </c>
      <c r="N368" s="536">
        <f t="shared" si="1020"/>
        <v>689.8</v>
      </c>
      <c r="O368" s="256">
        <f t="shared" si="1021"/>
        <v>689.8</v>
      </c>
      <c r="P368" s="536">
        <f t="shared" si="1022"/>
        <v>649.79999999999995</v>
      </c>
      <c r="Q368" s="256">
        <f t="shared" si="1023"/>
        <v>649.79999999999995</v>
      </c>
      <c r="R368" s="536">
        <f t="shared" si="1024"/>
        <v>636.79999999999995</v>
      </c>
      <c r="S368" s="256">
        <f t="shared" si="1025"/>
        <v>636.79999999999995</v>
      </c>
      <c r="T368" s="92">
        <f t="shared" si="1026"/>
        <v>622.79999999999995</v>
      </c>
      <c r="U368" s="269">
        <f t="shared" si="1027"/>
        <v>622.79999999999995</v>
      </c>
      <c r="V368" s="92">
        <f t="shared" si="1028"/>
        <v>609.79999999999995</v>
      </c>
      <c r="W368" s="269">
        <f t="shared" si="1029"/>
        <v>609.79999999999995</v>
      </c>
      <c r="X368" s="119"/>
      <c r="Y368" s="119"/>
      <c r="Z368" s="119"/>
      <c r="AA368" s="119"/>
      <c r="AB368" s="436" t="s">
        <v>763</v>
      </c>
    </row>
    <row r="369" spans="1:31" ht="12.6" customHeight="1" x14ac:dyDescent="0.2">
      <c r="A369" s="94"/>
      <c r="B369" s="710" t="s">
        <v>576</v>
      </c>
      <c r="C369" s="727"/>
      <c r="D369" s="727"/>
      <c r="E369" s="728"/>
      <c r="F369" s="323">
        <f>0.47*X2</f>
        <v>723.8</v>
      </c>
      <c r="G369" s="234">
        <f t="shared" si="1031"/>
        <v>723.8</v>
      </c>
      <c r="H369" s="527"/>
      <c r="I369" s="527"/>
      <c r="J369" s="527"/>
      <c r="K369" s="255"/>
      <c r="L369" s="527">
        <f t="shared" si="1018"/>
        <v>923.8</v>
      </c>
      <c r="M369" s="255">
        <f t="shared" si="1019"/>
        <v>923.8</v>
      </c>
      <c r="N369" s="527">
        <f t="shared" si="1020"/>
        <v>843.8</v>
      </c>
      <c r="O369" s="255">
        <f t="shared" si="1021"/>
        <v>843.8</v>
      </c>
      <c r="P369" s="527">
        <f t="shared" si="1022"/>
        <v>803.8</v>
      </c>
      <c r="Q369" s="255">
        <f t="shared" si="1023"/>
        <v>803.8</v>
      </c>
      <c r="R369" s="527">
        <f t="shared" si="1024"/>
        <v>790.8</v>
      </c>
      <c r="S369" s="255">
        <f t="shared" si="1025"/>
        <v>790.8</v>
      </c>
      <c r="T369" s="93">
        <f t="shared" si="1026"/>
        <v>776.8</v>
      </c>
      <c r="U369" s="234">
        <f t="shared" si="1027"/>
        <v>776.8</v>
      </c>
      <c r="V369" s="93">
        <f t="shared" si="1028"/>
        <v>763.8</v>
      </c>
      <c r="W369" s="234">
        <f t="shared" si="1029"/>
        <v>763.8</v>
      </c>
      <c r="X369" s="667"/>
      <c r="Y369" s="667"/>
      <c r="Z369" s="667"/>
      <c r="AA369" s="669"/>
      <c r="AB369" s="338" t="s">
        <v>580</v>
      </c>
      <c r="AC369" s="62"/>
      <c r="AE369" s="80"/>
    </row>
    <row r="370" spans="1:31" ht="12.6" customHeight="1" x14ac:dyDescent="0.2">
      <c r="A370" s="94"/>
      <c r="B370" s="719" t="s">
        <v>210</v>
      </c>
      <c r="C370" s="794"/>
      <c r="D370" s="794"/>
      <c r="E370" s="795"/>
      <c r="F370" s="324">
        <f>0.55*X2</f>
        <v>847.00000000000011</v>
      </c>
      <c r="G370" s="269">
        <f t="shared" si="1030"/>
        <v>847.00000000000011</v>
      </c>
      <c r="H370" s="536"/>
      <c r="I370" s="536"/>
      <c r="J370" s="536"/>
      <c r="K370" s="256"/>
      <c r="L370" s="536">
        <f t="shared" si="1018"/>
        <v>1047</v>
      </c>
      <c r="M370" s="256">
        <f t="shared" si="1019"/>
        <v>1047</v>
      </c>
      <c r="N370" s="536">
        <f t="shared" si="1020"/>
        <v>967.00000000000011</v>
      </c>
      <c r="O370" s="256">
        <f t="shared" si="1021"/>
        <v>967.00000000000011</v>
      </c>
      <c r="P370" s="536">
        <f t="shared" si="1022"/>
        <v>927.00000000000011</v>
      </c>
      <c r="Q370" s="256">
        <f t="shared" si="1023"/>
        <v>927.00000000000011</v>
      </c>
      <c r="R370" s="536">
        <f t="shared" si="1024"/>
        <v>914.00000000000011</v>
      </c>
      <c r="S370" s="256">
        <f t="shared" si="1025"/>
        <v>914.00000000000011</v>
      </c>
      <c r="T370" s="92">
        <f t="shared" si="1026"/>
        <v>900.00000000000011</v>
      </c>
      <c r="U370" s="269">
        <f t="shared" si="1027"/>
        <v>900.00000000000011</v>
      </c>
      <c r="V370" s="92">
        <f t="shared" si="1028"/>
        <v>887.00000000000011</v>
      </c>
      <c r="W370" s="269">
        <f t="shared" si="1029"/>
        <v>887.00000000000011</v>
      </c>
      <c r="X370" s="667"/>
      <c r="Y370" s="667"/>
      <c r="Z370" s="667"/>
      <c r="AA370" s="669"/>
      <c r="AB370" s="338" t="s">
        <v>211</v>
      </c>
      <c r="AC370" s="62"/>
      <c r="AE370" s="80"/>
    </row>
    <row r="371" spans="1:31" ht="12.6" customHeight="1" x14ac:dyDescent="0.2">
      <c r="A371" s="88"/>
      <c r="B371" s="710" t="s">
        <v>212</v>
      </c>
      <c r="C371" s="780"/>
      <c r="D371" s="780"/>
      <c r="E371" s="781"/>
      <c r="F371" s="323">
        <f>0.596*X2</f>
        <v>917.83999999999992</v>
      </c>
      <c r="G371" s="234">
        <f t="shared" si="1031"/>
        <v>917.83999999999992</v>
      </c>
      <c r="H371" s="527"/>
      <c r="I371" s="527"/>
      <c r="J371" s="527"/>
      <c r="K371" s="255"/>
      <c r="L371" s="527">
        <f t="shared" si="1018"/>
        <v>1117.8399999999999</v>
      </c>
      <c r="M371" s="255">
        <f t="shared" si="1019"/>
        <v>1117.8399999999999</v>
      </c>
      <c r="N371" s="527">
        <f t="shared" si="1020"/>
        <v>1037.8399999999999</v>
      </c>
      <c r="O371" s="255">
        <f t="shared" si="1021"/>
        <v>1037.8399999999999</v>
      </c>
      <c r="P371" s="527">
        <f t="shared" si="1022"/>
        <v>997.83999999999992</v>
      </c>
      <c r="Q371" s="255">
        <f t="shared" si="1023"/>
        <v>997.83999999999992</v>
      </c>
      <c r="R371" s="527">
        <f t="shared" si="1024"/>
        <v>984.83999999999992</v>
      </c>
      <c r="S371" s="255">
        <f t="shared" si="1025"/>
        <v>984.83999999999992</v>
      </c>
      <c r="T371" s="93">
        <f t="shared" si="1026"/>
        <v>970.83999999999992</v>
      </c>
      <c r="U371" s="234">
        <f t="shared" si="1027"/>
        <v>970.83999999999992</v>
      </c>
      <c r="V371" s="93">
        <f t="shared" si="1028"/>
        <v>957.83999999999992</v>
      </c>
      <c r="W371" s="234">
        <f t="shared" si="1029"/>
        <v>957.83999999999992</v>
      </c>
      <c r="X371" s="156"/>
      <c r="Y371" s="119"/>
      <c r="Z371" s="119"/>
      <c r="AA371" s="119"/>
      <c r="AB371" s="338">
        <v>2203</v>
      </c>
      <c r="AC371" s="210"/>
    </row>
    <row r="372" spans="1:31" ht="12.6" customHeight="1" x14ac:dyDescent="0.2">
      <c r="A372" s="88"/>
      <c r="B372" s="636" t="s">
        <v>213</v>
      </c>
      <c r="C372" s="1177"/>
      <c r="D372" s="1177"/>
      <c r="E372" s="1177"/>
      <c r="F372" s="324">
        <f>0.708*X2</f>
        <v>1090.32</v>
      </c>
      <c r="G372" s="269">
        <f>+F372*$X$1</f>
        <v>1090.32</v>
      </c>
      <c r="H372" s="536"/>
      <c r="I372" s="536"/>
      <c r="J372" s="536"/>
      <c r="K372" s="256"/>
      <c r="L372" s="536">
        <f t="shared" si="1018"/>
        <v>1290.32</v>
      </c>
      <c r="M372" s="256">
        <f t="shared" si="1019"/>
        <v>1290.32</v>
      </c>
      <c r="N372" s="536">
        <f t="shared" si="1020"/>
        <v>1210.32</v>
      </c>
      <c r="O372" s="256">
        <f t="shared" si="1021"/>
        <v>1210.32</v>
      </c>
      <c r="P372" s="536">
        <f t="shared" si="1022"/>
        <v>1170.32</v>
      </c>
      <c r="Q372" s="256">
        <f t="shared" si="1023"/>
        <v>1170.32</v>
      </c>
      <c r="R372" s="536">
        <f t="shared" si="1024"/>
        <v>1157.32</v>
      </c>
      <c r="S372" s="256">
        <f t="shared" si="1025"/>
        <v>1157.32</v>
      </c>
      <c r="T372" s="92">
        <f t="shared" si="1026"/>
        <v>1143.32</v>
      </c>
      <c r="U372" s="269">
        <f t="shared" si="1027"/>
        <v>1143.32</v>
      </c>
      <c r="V372" s="92"/>
      <c r="W372" s="269"/>
      <c r="X372" s="157"/>
      <c r="Y372" s="122"/>
      <c r="Z372" s="122"/>
      <c r="AA372" s="125"/>
      <c r="AB372" s="338">
        <v>2205</v>
      </c>
      <c r="AC372" s="62"/>
    </row>
    <row r="373" spans="1:31" ht="12.6" customHeight="1" x14ac:dyDescent="0.2">
      <c r="A373" s="88"/>
      <c r="B373" s="678" t="s">
        <v>214</v>
      </c>
      <c r="C373" s="682"/>
      <c r="D373" s="682"/>
      <c r="E373" s="682"/>
      <c r="F373" s="323">
        <f>0.428*X2</f>
        <v>659.12</v>
      </c>
      <c r="G373" s="234">
        <f>+F373*$X$1</f>
        <v>659.12</v>
      </c>
      <c r="H373" s="527"/>
      <c r="I373" s="527"/>
      <c r="J373" s="527"/>
      <c r="K373" s="255"/>
      <c r="L373" s="527">
        <f t="shared" si="1018"/>
        <v>859.12</v>
      </c>
      <c r="M373" s="255">
        <f t="shared" si="1019"/>
        <v>859.12</v>
      </c>
      <c r="N373" s="527">
        <f t="shared" si="1020"/>
        <v>779.12</v>
      </c>
      <c r="O373" s="255">
        <f t="shared" si="1021"/>
        <v>779.12</v>
      </c>
      <c r="P373" s="527">
        <f t="shared" si="1022"/>
        <v>739.12</v>
      </c>
      <c r="Q373" s="255">
        <f t="shared" si="1023"/>
        <v>739.12</v>
      </c>
      <c r="R373" s="527">
        <f t="shared" si="1024"/>
        <v>726.12</v>
      </c>
      <c r="S373" s="255">
        <f t="shared" si="1025"/>
        <v>726.12</v>
      </c>
      <c r="T373" s="93">
        <f t="shared" si="1026"/>
        <v>712.12</v>
      </c>
      <c r="U373" s="234">
        <f t="shared" si="1027"/>
        <v>712.12</v>
      </c>
      <c r="V373" s="93">
        <f t="shared" si="1028"/>
        <v>699.12</v>
      </c>
      <c r="W373" s="234">
        <f t="shared" si="1029"/>
        <v>699.12</v>
      </c>
      <c r="X373" s="122"/>
      <c r="Y373" s="122"/>
      <c r="Z373" s="122"/>
      <c r="AA373" s="125"/>
      <c r="AB373" s="338">
        <v>2207</v>
      </c>
    </row>
    <row r="374" spans="1:31" ht="12.6" customHeight="1" x14ac:dyDescent="0.2">
      <c r="A374" s="94"/>
      <c r="B374" s="630" t="s">
        <v>325</v>
      </c>
      <c r="C374" s="631"/>
      <c r="D374" s="631"/>
      <c r="E374" s="631"/>
      <c r="F374" s="455">
        <v>1350</v>
      </c>
      <c r="G374" s="451">
        <f>+F374*$X$1</f>
        <v>1350</v>
      </c>
      <c r="H374" s="581">
        <f t="shared" ref="H374" si="1033">F374+600</f>
        <v>1950</v>
      </c>
      <c r="I374" s="451">
        <f t="shared" ref="I374" si="1034">+H374*$X$1</f>
        <v>1950</v>
      </c>
      <c r="J374" s="581">
        <f t="shared" ref="J374" si="1035">F374+200</f>
        <v>1550</v>
      </c>
      <c r="K374" s="451">
        <f t="shared" ref="K374" si="1036">+J374*$X$1</f>
        <v>1550</v>
      </c>
      <c r="L374" s="581">
        <f>F374+150</f>
        <v>1500</v>
      </c>
      <c r="M374" s="451">
        <f t="shared" ref="M374:M375" si="1037">+L374*$X$1</f>
        <v>1500</v>
      </c>
      <c r="N374" s="581">
        <f>F374+110</f>
        <v>1460</v>
      </c>
      <c r="O374" s="451">
        <f>+N374*$X$1</f>
        <v>1460</v>
      </c>
      <c r="P374" s="453"/>
      <c r="Q374" s="777" t="s">
        <v>138</v>
      </c>
      <c r="R374" s="778"/>
      <c r="S374" s="778"/>
      <c r="T374" s="778"/>
      <c r="U374" s="778"/>
      <c r="V374" s="778"/>
      <c r="W374" s="779"/>
      <c r="X374" s="693"/>
      <c r="Y374" s="667"/>
      <c r="Z374" s="667"/>
      <c r="AA374" s="669"/>
      <c r="AB374" s="338">
        <v>2222</v>
      </c>
    </row>
    <row r="375" spans="1:31" ht="12.6" customHeight="1" x14ac:dyDescent="0.2">
      <c r="A375" s="17"/>
      <c r="B375" s="710" t="s">
        <v>622</v>
      </c>
      <c r="C375" s="711"/>
      <c r="D375" s="711"/>
      <c r="E375" s="712"/>
      <c r="F375" s="326">
        <f>0.501*X2</f>
        <v>771.54</v>
      </c>
      <c r="G375" s="255">
        <f t="shared" ref="G375" si="1038">+F375*$X$1</f>
        <v>771.54</v>
      </c>
      <c r="H375" s="251"/>
      <c r="I375" s="251"/>
      <c r="J375" s="527"/>
      <c r="K375" s="527"/>
      <c r="L375" s="527">
        <f t="shared" ref="L375" si="1039">F375+200</f>
        <v>971.54</v>
      </c>
      <c r="M375" s="255">
        <f t="shared" si="1037"/>
        <v>971.54</v>
      </c>
      <c r="N375" s="527">
        <f t="shared" ref="N375" si="1040">F375+120</f>
        <v>891.54</v>
      </c>
      <c r="O375" s="255">
        <f t="shared" ref="O375" si="1041">+N375*$X$1</f>
        <v>891.54</v>
      </c>
      <c r="P375" s="527">
        <f t="shared" ref="P375" si="1042">F375+80</f>
        <v>851.54</v>
      </c>
      <c r="Q375" s="255">
        <f t="shared" ref="Q375" si="1043">+P375*$X$1</f>
        <v>851.54</v>
      </c>
      <c r="R375" s="527">
        <f t="shared" ref="R375" si="1044">F375+67</f>
        <v>838.54</v>
      </c>
      <c r="S375" s="255">
        <f t="shared" ref="S375" si="1045">+R375*$X$1</f>
        <v>838.54</v>
      </c>
      <c r="T375" s="93">
        <f t="shared" ref="T375" si="1046">F375+53</f>
        <v>824.54</v>
      </c>
      <c r="U375" s="234">
        <f t="shared" ref="U375" si="1047">+T375*$X$1</f>
        <v>824.54</v>
      </c>
      <c r="V375" s="93">
        <f t="shared" ref="V375" si="1048">F375+40</f>
        <v>811.54</v>
      </c>
      <c r="W375" s="234">
        <f t="shared" ref="W375" si="1049">+V375*$X$1</f>
        <v>811.54</v>
      </c>
      <c r="X375" s="376"/>
      <c r="Y375" s="375"/>
      <c r="Z375" s="375"/>
      <c r="AA375" s="376"/>
      <c r="AB375" s="338">
        <v>2231</v>
      </c>
      <c r="AC375" s="62"/>
    </row>
    <row r="376" spans="1:31" ht="12.6" customHeight="1" x14ac:dyDescent="0.2">
      <c r="A376" s="17"/>
      <c r="B376" s="719" t="s">
        <v>633</v>
      </c>
      <c r="C376" s="720"/>
      <c r="D376" s="720"/>
      <c r="E376" s="721"/>
      <c r="F376" s="325">
        <f>0.536*X2</f>
        <v>825.44</v>
      </c>
      <c r="G376" s="256">
        <f t="shared" ref="G376" si="1050">+F376*$X$1</f>
        <v>825.44</v>
      </c>
      <c r="H376" s="250"/>
      <c r="I376" s="250"/>
      <c r="J376" s="536"/>
      <c r="K376" s="536"/>
      <c r="L376" s="536">
        <f t="shared" ref="L376:L377" si="1051">F376+200</f>
        <v>1025.44</v>
      </c>
      <c r="M376" s="256">
        <f t="shared" ref="M376:M377" si="1052">+L376*$X$1</f>
        <v>1025.44</v>
      </c>
      <c r="N376" s="536">
        <f t="shared" ref="N376:N377" si="1053">F376+120</f>
        <v>945.44</v>
      </c>
      <c r="O376" s="256">
        <f t="shared" ref="O376:O377" si="1054">+N376*$X$1</f>
        <v>945.44</v>
      </c>
      <c r="P376" s="536">
        <f t="shared" ref="P376:P377" si="1055">F376+80</f>
        <v>905.44</v>
      </c>
      <c r="Q376" s="256">
        <f t="shared" ref="Q376:Q377" si="1056">+P376*$X$1</f>
        <v>905.44</v>
      </c>
      <c r="R376" s="536">
        <f t="shared" ref="R376:R377" si="1057">F376+67</f>
        <v>892.44</v>
      </c>
      <c r="S376" s="256">
        <f t="shared" ref="S376:S377" si="1058">+R376*$X$1</f>
        <v>892.44</v>
      </c>
      <c r="T376" s="92">
        <f t="shared" ref="T376:T377" si="1059">F376+53</f>
        <v>878.44</v>
      </c>
      <c r="U376" s="269">
        <f t="shared" ref="U376:U377" si="1060">+T376*$X$1</f>
        <v>878.44</v>
      </c>
      <c r="V376" s="92">
        <f t="shared" ref="V376:V377" si="1061">F376+40</f>
        <v>865.44</v>
      </c>
      <c r="W376" s="269">
        <f t="shared" ref="W376:W377" si="1062">+V376*$X$1</f>
        <v>865.44</v>
      </c>
      <c r="X376" s="381"/>
      <c r="Y376" s="380"/>
      <c r="Z376" s="380"/>
      <c r="AA376" s="381"/>
      <c r="AB376" s="338">
        <v>2232</v>
      </c>
      <c r="AC376" s="62"/>
    </row>
    <row r="377" spans="1:31" ht="12.6" customHeight="1" x14ac:dyDescent="0.2">
      <c r="A377" s="17"/>
      <c r="B377" s="710" t="s">
        <v>696</v>
      </c>
      <c r="C377" s="711"/>
      <c r="D377" s="711"/>
      <c r="E377" s="712"/>
      <c r="F377" s="326">
        <f>0.98*X2</f>
        <v>1509.2</v>
      </c>
      <c r="G377" s="255">
        <f t="shared" ref="G377" si="1063">+F377*$X$1</f>
        <v>1509.2</v>
      </c>
      <c r="H377" s="251"/>
      <c r="I377" s="251"/>
      <c r="J377" s="527"/>
      <c r="K377" s="527"/>
      <c r="L377" s="527">
        <f t="shared" si="1051"/>
        <v>1709.2</v>
      </c>
      <c r="M377" s="255">
        <f t="shared" si="1052"/>
        <v>1709.2</v>
      </c>
      <c r="N377" s="527">
        <f t="shared" si="1053"/>
        <v>1629.2</v>
      </c>
      <c r="O377" s="255">
        <f t="shared" si="1054"/>
        <v>1629.2</v>
      </c>
      <c r="P377" s="527">
        <f t="shared" si="1055"/>
        <v>1589.2</v>
      </c>
      <c r="Q377" s="255">
        <f t="shared" si="1056"/>
        <v>1589.2</v>
      </c>
      <c r="R377" s="527">
        <f t="shared" si="1057"/>
        <v>1576.2</v>
      </c>
      <c r="S377" s="255">
        <f t="shared" si="1058"/>
        <v>1576.2</v>
      </c>
      <c r="T377" s="93">
        <f t="shared" si="1059"/>
        <v>1562.2</v>
      </c>
      <c r="U377" s="234">
        <f t="shared" si="1060"/>
        <v>1562.2</v>
      </c>
      <c r="V377" s="93">
        <f t="shared" si="1061"/>
        <v>1549.2</v>
      </c>
      <c r="W377" s="234">
        <f t="shared" si="1062"/>
        <v>1549.2</v>
      </c>
      <c r="X377" s="381"/>
      <c r="Y377" s="380"/>
      <c r="Z377" s="380"/>
      <c r="AA377" s="381"/>
      <c r="AB377" s="338">
        <v>2233</v>
      </c>
      <c r="AC377" s="62"/>
    </row>
    <row r="378" spans="1:31" ht="12.6" customHeight="1" x14ac:dyDescent="0.2">
      <c r="A378" s="88"/>
      <c r="B378" s="630" t="s">
        <v>697</v>
      </c>
      <c r="C378" s="790"/>
      <c r="D378" s="790"/>
      <c r="E378" s="790"/>
      <c r="F378" s="455">
        <f>0.25*X2</f>
        <v>385</v>
      </c>
      <c r="G378" s="451">
        <f t="shared" ref="G378:G388" si="1064">+F378*$X$1</f>
        <v>385</v>
      </c>
      <c r="H378" s="581"/>
      <c r="I378" s="451"/>
      <c r="J378" s="581"/>
      <c r="K378" s="451"/>
      <c r="L378" s="581">
        <f>F378+300</f>
        <v>685</v>
      </c>
      <c r="M378" s="451">
        <f t="shared" ref="M378" si="1065">+L378*$X$1</f>
        <v>685</v>
      </c>
      <c r="N378" s="581">
        <f>F378+180</f>
        <v>565</v>
      </c>
      <c r="O378" s="451">
        <f t="shared" ref="O378" si="1066">+N378*$X$1</f>
        <v>565</v>
      </c>
      <c r="P378" s="581">
        <f>F378+120</f>
        <v>505</v>
      </c>
      <c r="Q378" s="451">
        <f t="shared" ref="Q378" si="1067">+P378*$X$1</f>
        <v>505</v>
      </c>
      <c r="R378" s="581">
        <f>F378+100</f>
        <v>485</v>
      </c>
      <c r="S378" s="451">
        <f t="shared" ref="S378" si="1068">+R378*$X$1</f>
        <v>485</v>
      </c>
      <c r="T378" s="522">
        <f>F378+80</f>
        <v>465</v>
      </c>
      <c r="U378" s="521">
        <f t="shared" ref="U378" si="1069">+T378*$X$1</f>
        <v>465</v>
      </c>
      <c r="V378" s="522">
        <f>F378+60</f>
        <v>445</v>
      </c>
      <c r="W378" s="521">
        <f t="shared" ref="W378" si="1070">+V378*$X$1</f>
        <v>445</v>
      </c>
      <c r="X378" s="126"/>
      <c r="Y378" s="122"/>
      <c r="Z378" s="122"/>
      <c r="AA378" s="125"/>
      <c r="AB378" s="338">
        <v>2234</v>
      </c>
    </row>
    <row r="379" spans="1:31" ht="12.6" customHeight="1" x14ac:dyDescent="0.2">
      <c r="A379" s="88"/>
      <c r="B379" s="678" t="s">
        <v>698</v>
      </c>
      <c r="C379" s="774"/>
      <c r="D379" s="774"/>
      <c r="E379" s="774"/>
      <c r="F379" s="323">
        <f>0.447*X2</f>
        <v>688.38</v>
      </c>
      <c r="G379" s="255">
        <f t="shared" si="1064"/>
        <v>688.38</v>
      </c>
      <c r="H379" s="251"/>
      <c r="I379" s="302"/>
      <c r="J379" s="527"/>
      <c r="K379" s="255"/>
      <c r="L379" s="527">
        <f>F379+300</f>
        <v>988.38</v>
      </c>
      <c r="M379" s="255">
        <f t="shared" ref="M379" si="1071">+L379*$X$1</f>
        <v>988.38</v>
      </c>
      <c r="N379" s="527">
        <f>F379+180</f>
        <v>868.38</v>
      </c>
      <c r="O379" s="255">
        <f t="shared" ref="O379" si="1072">+N379*$X$1</f>
        <v>868.38</v>
      </c>
      <c r="P379" s="527">
        <f>F379+120</f>
        <v>808.38</v>
      </c>
      <c r="Q379" s="255">
        <f t="shared" ref="Q379" si="1073">+P379*$X$1</f>
        <v>808.38</v>
      </c>
      <c r="R379" s="527">
        <f>F379+100</f>
        <v>788.38</v>
      </c>
      <c r="S379" s="255">
        <f t="shared" ref="S379" si="1074">+R379*$X$1</f>
        <v>788.38</v>
      </c>
      <c r="T379" s="93">
        <f>F379+80</f>
        <v>768.38</v>
      </c>
      <c r="U379" s="234">
        <f t="shared" ref="U379" si="1075">+T379*$X$1</f>
        <v>768.38</v>
      </c>
      <c r="V379" s="93">
        <f>F379+60</f>
        <v>748.38</v>
      </c>
      <c r="W379" s="234">
        <f t="shared" ref="W379" si="1076">+V379*$X$1</f>
        <v>748.38</v>
      </c>
      <c r="X379" s="126"/>
      <c r="Y379" s="122"/>
      <c r="Z379" s="122"/>
      <c r="AA379" s="125"/>
      <c r="AB379" s="338" t="s">
        <v>215</v>
      </c>
    </row>
    <row r="380" spans="1:31" ht="12.6" customHeight="1" x14ac:dyDescent="0.2">
      <c r="A380" s="17"/>
      <c r="B380" s="719" t="s">
        <v>730</v>
      </c>
      <c r="C380" s="720"/>
      <c r="D380" s="720"/>
      <c r="E380" s="721"/>
      <c r="F380" s="325">
        <f>0.34*X2</f>
        <v>523.6</v>
      </c>
      <c r="G380" s="256">
        <f t="shared" si="1064"/>
        <v>523.6</v>
      </c>
      <c r="H380" s="250"/>
      <c r="I380" s="250"/>
      <c r="J380" s="536"/>
      <c r="K380" s="536"/>
      <c r="L380" s="536">
        <f t="shared" ref="L380" si="1077">F380+200</f>
        <v>723.6</v>
      </c>
      <c r="M380" s="256">
        <f t="shared" ref="M380" si="1078">+L380*$X$1</f>
        <v>723.6</v>
      </c>
      <c r="N380" s="536">
        <f t="shared" ref="N380" si="1079">F380+120</f>
        <v>643.6</v>
      </c>
      <c r="O380" s="256">
        <f t="shared" ref="O380" si="1080">+N380*$X$1</f>
        <v>643.6</v>
      </c>
      <c r="P380" s="536">
        <f t="shared" ref="P380" si="1081">F380+80</f>
        <v>603.6</v>
      </c>
      <c r="Q380" s="256">
        <f t="shared" ref="Q380" si="1082">+P380*$X$1</f>
        <v>603.6</v>
      </c>
      <c r="R380" s="536">
        <f t="shared" ref="R380" si="1083">F380+67</f>
        <v>590.6</v>
      </c>
      <c r="S380" s="256">
        <f t="shared" ref="S380" si="1084">+R380*$X$1</f>
        <v>590.6</v>
      </c>
      <c r="T380" s="92">
        <f t="shared" ref="T380" si="1085">F380+53</f>
        <v>576.6</v>
      </c>
      <c r="U380" s="269">
        <f t="shared" ref="U380" si="1086">+T380*$X$1</f>
        <v>576.6</v>
      </c>
      <c r="V380" s="92">
        <f t="shared" ref="V380" si="1087">F380+40</f>
        <v>563.6</v>
      </c>
      <c r="W380" s="269">
        <f t="shared" ref="W380" si="1088">+V380*$X$1</f>
        <v>563.6</v>
      </c>
      <c r="X380" s="395"/>
      <c r="Y380" s="396"/>
      <c r="Z380" s="396"/>
      <c r="AA380" s="395"/>
      <c r="AB380" s="338">
        <v>2235</v>
      </c>
      <c r="AC380" s="62"/>
    </row>
    <row r="381" spans="1:31" ht="12.6" customHeight="1" x14ac:dyDescent="0.2">
      <c r="A381" s="17"/>
      <c r="B381" s="710" t="s">
        <v>761</v>
      </c>
      <c r="C381" s="711"/>
      <c r="D381" s="711"/>
      <c r="E381" s="712"/>
      <c r="F381" s="326">
        <f>0.667*X2</f>
        <v>1027.18</v>
      </c>
      <c r="G381" s="255">
        <f t="shared" ref="G381" si="1089">+F381*$X$1</f>
        <v>1027.18</v>
      </c>
      <c r="H381" s="251"/>
      <c r="I381" s="251"/>
      <c r="J381" s="527"/>
      <c r="K381" s="527"/>
      <c r="L381" s="527">
        <f t="shared" ref="L381:L394" si="1090">F381+200</f>
        <v>1227.18</v>
      </c>
      <c r="M381" s="255">
        <f t="shared" ref="M381:M394" si="1091">+L381*$X$1</f>
        <v>1227.18</v>
      </c>
      <c r="N381" s="527">
        <f t="shared" ref="N381:N394" si="1092">F381+120</f>
        <v>1147.18</v>
      </c>
      <c r="O381" s="255">
        <f t="shared" ref="O381:O394" si="1093">+N381*$X$1</f>
        <v>1147.18</v>
      </c>
      <c r="P381" s="527">
        <f t="shared" ref="P381:P394" si="1094">F381+80</f>
        <v>1107.18</v>
      </c>
      <c r="Q381" s="255">
        <f t="shared" ref="Q381:Q394" si="1095">+P381*$X$1</f>
        <v>1107.18</v>
      </c>
      <c r="R381" s="527">
        <f t="shared" ref="R381:R394" si="1096">F381+67</f>
        <v>1094.18</v>
      </c>
      <c r="S381" s="255">
        <f t="shared" ref="S381:S394" si="1097">+R381*$X$1</f>
        <v>1094.18</v>
      </c>
      <c r="T381" s="93">
        <f t="shared" ref="T381:T394" si="1098">F381+53</f>
        <v>1080.18</v>
      </c>
      <c r="U381" s="234">
        <f t="shared" ref="U381:U394" si="1099">+T381*$X$1</f>
        <v>1080.18</v>
      </c>
      <c r="V381" s="93">
        <f t="shared" ref="V381:V394" si="1100">F381+40</f>
        <v>1067.18</v>
      </c>
      <c r="W381" s="234">
        <f t="shared" ref="W381:W394" si="1101">+V381*$X$1</f>
        <v>1067.18</v>
      </c>
      <c r="X381" s="433"/>
      <c r="Y381" s="434"/>
      <c r="Z381" s="434"/>
      <c r="AA381" s="433"/>
      <c r="AB381" s="338">
        <v>2236</v>
      </c>
      <c r="AC381" s="62"/>
    </row>
    <row r="382" spans="1:31" ht="12.6" customHeight="1" x14ac:dyDescent="0.2">
      <c r="A382" s="88"/>
      <c r="B382" s="657" t="s">
        <v>216</v>
      </c>
      <c r="C382" s="633"/>
      <c r="D382" s="633"/>
      <c r="E382" s="633"/>
      <c r="F382" s="324">
        <f>0.34*X2</f>
        <v>523.6</v>
      </c>
      <c r="G382" s="256">
        <f t="shared" si="1064"/>
        <v>523.6</v>
      </c>
      <c r="H382" s="250"/>
      <c r="I382" s="303"/>
      <c r="J382" s="536"/>
      <c r="K382" s="256"/>
      <c r="L382" s="536">
        <f t="shared" si="1090"/>
        <v>723.6</v>
      </c>
      <c r="M382" s="256">
        <f t="shared" si="1091"/>
        <v>723.6</v>
      </c>
      <c r="N382" s="536">
        <f t="shared" si="1092"/>
        <v>643.6</v>
      </c>
      <c r="O382" s="256">
        <f t="shared" si="1093"/>
        <v>643.6</v>
      </c>
      <c r="P382" s="536">
        <f t="shared" si="1094"/>
        <v>603.6</v>
      </c>
      <c r="Q382" s="256">
        <f t="shared" si="1095"/>
        <v>603.6</v>
      </c>
      <c r="R382" s="536">
        <f t="shared" si="1096"/>
        <v>590.6</v>
      </c>
      <c r="S382" s="256">
        <f t="shared" si="1097"/>
        <v>590.6</v>
      </c>
      <c r="T382" s="92">
        <f t="shared" si="1098"/>
        <v>576.6</v>
      </c>
      <c r="U382" s="269">
        <f t="shared" si="1099"/>
        <v>576.6</v>
      </c>
      <c r="V382" s="92">
        <f t="shared" si="1100"/>
        <v>563.6</v>
      </c>
      <c r="W382" s="269">
        <f t="shared" si="1101"/>
        <v>563.6</v>
      </c>
      <c r="X382" s="126"/>
      <c r="Y382" s="122"/>
      <c r="Z382" s="122"/>
      <c r="AA382" s="125"/>
      <c r="AB382" s="338">
        <v>2238</v>
      </c>
    </row>
    <row r="383" spans="1:31" ht="12.6" customHeight="1" x14ac:dyDescent="0.2">
      <c r="A383" s="94"/>
      <c r="B383" s="683" t="s">
        <v>217</v>
      </c>
      <c r="C383" s="703"/>
      <c r="D383" s="703"/>
      <c r="E383" s="704"/>
      <c r="F383" s="323">
        <f>0.391*X2</f>
        <v>602.14</v>
      </c>
      <c r="G383" s="255">
        <f t="shared" si="1064"/>
        <v>602.14</v>
      </c>
      <c r="H383" s="251"/>
      <c r="I383" s="302"/>
      <c r="J383" s="527"/>
      <c r="K383" s="255"/>
      <c r="L383" s="527">
        <f t="shared" si="1090"/>
        <v>802.14</v>
      </c>
      <c r="M383" s="255">
        <f t="shared" si="1091"/>
        <v>802.14</v>
      </c>
      <c r="N383" s="527">
        <f t="shared" si="1092"/>
        <v>722.14</v>
      </c>
      <c r="O383" s="255">
        <f t="shared" si="1093"/>
        <v>722.14</v>
      </c>
      <c r="P383" s="527">
        <f t="shared" si="1094"/>
        <v>682.14</v>
      </c>
      <c r="Q383" s="255">
        <f t="shared" si="1095"/>
        <v>682.14</v>
      </c>
      <c r="R383" s="527">
        <f t="shared" si="1096"/>
        <v>669.14</v>
      </c>
      <c r="S383" s="255">
        <f t="shared" si="1097"/>
        <v>669.14</v>
      </c>
      <c r="T383" s="93">
        <f t="shared" si="1098"/>
        <v>655.14</v>
      </c>
      <c r="U383" s="234">
        <f t="shared" si="1099"/>
        <v>655.14</v>
      </c>
      <c r="V383" s="93">
        <f t="shared" si="1100"/>
        <v>642.14</v>
      </c>
      <c r="W383" s="234">
        <f t="shared" si="1101"/>
        <v>642.14</v>
      </c>
      <c r="X383" s="126"/>
      <c r="Y383" s="122"/>
      <c r="Z383" s="122"/>
      <c r="AA383" s="125"/>
      <c r="AB383" s="338">
        <v>2239</v>
      </c>
    </row>
    <row r="384" spans="1:31" ht="12.6" customHeight="1" x14ac:dyDescent="0.2">
      <c r="A384" s="17"/>
      <c r="B384" s="657" t="s">
        <v>857</v>
      </c>
      <c r="C384" s="633"/>
      <c r="D384" s="633"/>
      <c r="E384" s="633"/>
      <c r="F384" s="324">
        <f>0.35*X2</f>
        <v>539</v>
      </c>
      <c r="G384" s="256">
        <f t="shared" si="1064"/>
        <v>539</v>
      </c>
      <c r="H384" s="250"/>
      <c r="I384" s="303"/>
      <c r="J384" s="536"/>
      <c r="K384" s="256"/>
      <c r="L384" s="536">
        <f t="shared" si="1090"/>
        <v>739</v>
      </c>
      <c r="M384" s="256">
        <f t="shared" si="1091"/>
        <v>739</v>
      </c>
      <c r="N384" s="536">
        <f t="shared" si="1092"/>
        <v>659</v>
      </c>
      <c r="O384" s="256">
        <f t="shared" si="1093"/>
        <v>659</v>
      </c>
      <c r="P384" s="536">
        <f t="shared" si="1094"/>
        <v>619</v>
      </c>
      <c r="Q384" s="256">
        <f t="shared" si="1095"/>
        <v>619</v>
      </c>
      <c r="R384" s="536">
        <f t="shared" si="1096"/>
        <v>606</v>
      </c>
      <c r="S384" s="256">
        <f t="shared" si="1097"/>
        <v>606</v>
      </c>
      <c r="T384" s="92">
        <f t="shared" si="1098"/>
        <v>592</v>
      </c>
      <c r="U384" s="269">
        <f t="shared" si="1099"/>
        <v>592</v>
      </c>
      <c r="V384" s="92">
        <f t="shared" si="1100"/>
        <v>579</v>
      </c>
      <c r="W384" s="269">
        <f t="shared" si="1101"/>
        <v>579</v>
      </c>
      <c r="X384" s="126"/>
      <c r="Y384" s="122"/>
      <c r="Z384" s="122"/>
      <c r="AA384" s="125"/>
      <c r="AB384" s="338">
        <v>2240</v>
      </c>
    </row>
    <row r="385" spans="1:34" ht="12.6" customHeight="1" x14ac:dyDescent="0.2">
      <c r="A385" s="17"/>
      <c r="B385" s="678" t="s">
        <v>791</v>
      </c>
      <c r="C385" s="679"/>
      <c r="D385" s="679"/>
      <c r="E385" s="679"/>
      <c r="F385" s="323">
        <f>0.333*X2</f>
        <v>512.82000000000005</v>
      </c>
      <c r="G385" s="255">
        <f t="shared" ref="G385" si="1102">+F385*$X$1</f>
        <v>512.82000000000005</v>
      </c>
      <c r="H385" s="251"/>
      <c r="I385" s="302"/>
      <c r="J385" s="527"/>
      <c r="K385" s="255"/>
      <c r="L385" s="527">
        <f t="shared" si="1090"/>
        <v>712.82</v>
      </c>
      <c r="M385" s="255">
        <f t="shared" si="1091"/>
        <v>712.82</v>
      </c>
      <c r="N385" s="527">
        <f t="shared" si="1092"/>
        <v>632.82000000000005</v>
      </c>
      <c r="O385" s="255">
        <f t="shared" si="1093"/>
        <v>632.82000000000005</v>
      </c>
      <c r="P385" s="527">
        <f t="shared" si="1094"/>
        <v>592.82000000000005</v>
      </c>
      <c r="Q385" s="255">
        <f t="shared" si="1095"/>
        <v>592.82000000000005</v>
      </c>
      <c r="R385" s="527">
        <f t="shared" si="1096"/>
        <v>579.82000000000005</v>
      </c>
      <c r="S385" s="255">
        <f t="shared" si="1097"/>
        <v>579.82000000000005</v>
      </c>
      <c r="T385" s="93">
        <f t="shared" si="1098"/>
        <v>565.82000000000005</v>
      </c>
      <c r="U385" s="234">
        <f t="shared" si="1099"/>
        <v>565.82000000000005</v>
      </c>
      <c r="V385" s="93">
        <f t="shared" si="1100"/>
        <v>552.82000000000005</v>
      </c>
      <c r="W385" s="234">
        <f t="shared" si="1101"/>
        <v>552.82000000000005</v>
      </c>
      <c r="X385" s="126"/>
      <c r="Y385" s="122"/>
      <c r="Z385" s="122"/>
      <c r="AA385" s="125"/>
      <c r="AB385" s="338" t="s">
        <v>800</v>
      </c>
    </row>
    <row r="386" spans="1:34" ht="12.6" customHeight="1" x14ac:dyDescent="0.2">
      <c r="A386" s="17"/>
      <c r="B386" s="657" t="s">
        <v>736</v>
      </c>
      <c r="C386" s="633"/>
      <c r="D386" s="633"/>
      <c r="E386" s="633"/>
      <c r="F386" s="324">
        <f>0.15*X2</f>
        <v>231</v>
      </c>
      <c r="G386" s="256">
        <f t="shared" ref="G386:G387" si="1103">+F386*$X$1</f>
        <v>231</v>
      </c>
      <c r="H386" s="250"/>
      <c r="I386" s="303"/>
      <c r="J386" s="536"/>
      <c r="K386" s="256"/>
      <c r="L386" s="536">
        <f t="shared" si="1090"/>
        <v>431</v>
      </c>
      <c r="M386" s="256">
        <f t="shared" si="1091"/>
        <v>431</v>
      </c>
      <c r="N386" s="536">
        <f t="shared" si="1092"/>
        <v>351</v>
      </c>
      <c r="O386" s="256">
        <f t="shared" si="1093"/>
        <v>351</v>
      </c>
      <c r="P386" s="536">
        <f t="shared" si="1094"/>
        <v>311</v>
      </c>
      <c r="Q386" s="256">
        <f t="shared" si="1095"/>
        <v>311</v>
      </c>
      <c r="R386" s="536">
        <f t="shared" si="1096"/>
        <v>298</v>
      </c>
      <c r="S386" s="256">
        <f t="shared" si="1097"/>
        <v>298</v>
      </c>
      <c r="T386" s="92">
        <f t="shared" si="1098"/>
        <v>284</v>
      </c>
      <c r="U386" s="269">
        <f t="shared" si="1099"/>
        <v>284</v>
      </c>
      <c r="V386" s="92">
        <f t="shared" si="1100"/>
        <v>271</v>
      </c>
      <c r="W386" s="269">
        <f t="shared" si="1101"/>
        <v>271</v>
      </c>
      <c r="X386" s="126"/>
      <c r="Y386" s="122"/>
      <c r="Z386" s="122"/>
      <c r="AA386" s="125"/>
      <c r="AB386" s="338">
        <v>2241</v>
      </c>
    </row>
    <row r="387" spans="1:34" ht="12.6" customHeight="1" x14ac:dyDescent="0.2">
      <c r="A387" s="17"/>
      <c r="B387" s="678" t="s">
        <v>878</v>
      </c>
      <c r="C387" s="679"/>
      <c r="D387" s="679"/>
      <c r="E387" s="679"/>
      <c r="F387" s="323">
        <f>0.22*X2</f>
        <v>338.8</v>
      </c>
      <c r="G387" s="255">
        <f t="shared" si="1103"/>
        <v>338.8</v>
      </c>
      <c r="H387" s="251"/>
      <c r="I387" s="302"/>
      <c r="J387" s="527"/>
      <c r="K387" s="255"/>
      <c r="L387" s="527">
        <f t="shared" si="1090"/>
        <v>538.79999999999995</v>
      </c>
      <c r="M387" s="255">
        <f t="shared" si="1091"/>
        <v>538.79999999999995</v>
      </c>
      <c r="N387" s="527">
        <f t="shared" si="1092"/>
        <v>458.8</v>
      </c>
      <c r="O387" s="255">
        <f t="shared" si="1093"/>
        <v>458.8</v>
      </c>
      <c r="P387" s="527">
        <f t="shared" si="1094"/>
        <v>418.8</v>
      </c>
      <c r="Q387" s="255">
        <f t="shared" si="1095"/>
        <v>418.8</v>
      </c>
      <c r="R387" s="527">
        <f t="shared" si="1096"/>
        <v>405.8</v>
      </c>
      <c r="S387" s="255">
        <f t="shared" si="1097"/>
        <v>405.8</v>
      </c>
      <c r="T387" s="93">
        <f t="shared" si="1098"/>
        <v>391.8</v>
      </c>
      <c r="U387" s="234">
        <f t="shared" si="1099"/>
        <v>391.8</v>
      </c>
      <c r="V387" s="93">
        <f t="shared" si="1100"/>
        <v>378.8</v>
      </c>
      <c r="W387" s="234">
        <f t="shared" si="1101"/>
        <v>378.8</v>
      </c>
      <c r="X387" s="126"/>
      <c r="Y387" s="122"/>
      <c r="Z387" s="122"/>
      <c r="AA387" s="125"/>
      <c r="AB387" s="338">
        <v>2242</v>
      </c>
    </row>
    <row r="388" spans="1:34" ht="12.6" customHeight="1" x14ac:dyDescent="0.2">
      <c r="A388" s="88"/>
      <c r="B388" s="657" t="s">
        <v>218</v>
      </c>
      <c r="C388" s="633"/>
      <c r="D388" s="633"/>
      <c r="E388" s="633"/>
      <c r="F388" s="324">
        <f>0.22*X2</f>
        <v>338.8</v>
      </c>
      <c r="G388" s="256">
        <f t="shared" si="1064"/>
        <v>338.8</v>
      </c>
      <c r="H388" s="250"/>
      <c r="I388" s="303"/>
      <c r="J388" s="536"/>
      <c r="K388" s="256"/>
      <c r="L388" s="536">
        <f t="shared" si="1090"/>
        <v>538.79999999999995</v>
      </c>
      <c r="M388" s="256">
        <f t="shared" si="1091"/>
        <v>538.79999999999995</v>
      </c>
      <c r="N388" s="536">
        <f t="shared" si="1092"/>
        <v>458.8</v>
      </c>
      <c r="O388" s="256">
        <f t="shared" si="1093"/>
        <v>458.8</v>
      </c>
      <c r="P388" s="536">
        <f t="shared" si="1094"/>
        <v>418.8</v>
      </c>
      <c r="Q388" s="256">
        <f t="shared" si="1095"/>
        <v>418.8</v>
      </c>
      <c r="R388" s="536">
        <f t="shared" si="1096"/>
        <v>405.8</v>
      </c>
      <c r="S388" s="256">
        <f t="shared" si="1097"/>
        <v>405.8</v>
      </c>
      <c r="T388" s="92">
        <f t="shared" si="1098"/>
        <v>391.8</v>
      </c>
      <c r="U388" s="269">
        <f t="shared" si="1099"/>
        <v>391.8</v>
      </c>
      <c r="V388" s="92">
        <f t="shared" si="1100"/>
        <v>378.8</v>
      </c>
      <c r="W388" s="269">
        <f t="shared" si="1101"/>
        <v>378.8</v>
      </c>
      <c r="X388" s="126"/>
      <c r="Y388" s="122"/>
      <c r="Z388" s="122"/>
      <c r="AA388" s="125"/>
      <c r="AB388" s="338">
        <v>2244</v>
      </c>
    </row>
    <row r="389" spans="1:34" ht="12.6" customHeight="1" x14ac:dyDescent="0.2">
      <c r="A389" s="17"/>
      <c r="B389" s="678" t="s">
        <v>739</v>
      </c>
      <c r="C389" s="679"/>
      <c r="D389" s="679"/>
      <c r="E389" s="679"/>
      <c r="F389" s="323">
        <f>0.235*X2</f>
        <v>361.9</v>
      </c>
      <c r="G389" s="255">
        <f t="shared" ref="G389:G390" si="1104">+F389*$X$1</f>
        <v>361.9</v>
      </c>
      <c r="H389" s="251"/>
      <c r="I389" s="302"/>
      <c r="J389" s="527"/>
      <c r="K389" s="255"/>
      <c r="L389" s="527">
        <f t="shared" si="1090"/>
        <v>561.9</v>
      </c>
      <c r="M389" s="255">
        <f t="shared" si="1091"/>
        <v>561.9</v>
      </c>
      <c r="N389" s="527">
        <f t="shared" si="1092"/>
        <v>481.9</v>
      </c>
      <c r="O389" s="255">
        <f t="shared" si="1093"/>
        <v>481.9</v>
      </c>
      <c r="P389" s="527">
        <f t="shared" si="1094"/>
        <v>441.9</v>
      </c>
      <c r="Q389" s="255">
        <f t="shared" si="1095"/>
        <v>441.9</v>
      </c>
      <c r="R389" s="527">
        <f t="shared" si="1096"/>
        <v>428.9</v>
      </c>
      <c r="S389" s="255">
        <f t="shared" si="1097"/>
        <v>428.9</v>
      </c>
      <c r="T389" s="93">
        <f t="shared" si="1098"/>
        <v>414.9</v>
      </c>
      <c r="U389" s="234">
        <f t="shared" si="1099"/>
        <v>414.9</v>
      </c>
      <c r="V389" s="93">
        <f t="shared" si="1100"/>
        <v>401.9</v>
      </c>
      <c r="W389" s="234">
        <f t="shared" si="1101"/>
        <v>401.9</v>
      </c>
      <c r="X389" s="126"/>
      <c r="Y389" s="122"/>
      <c r="Z389" s="122"/>
      <c r="AA389" s="125"/>
      <c r="AB389" s="338">
        <v>2245</v>
      </c>
    </row>
    <row r="390" spans="1:34" ht="12.6" customHeight="1" x14ac:dyDescent="0.2">
      <c r="A390" s="17"/>
      <c r="B390" s="657" t="s">
        <v>738</v>
      </c>
      <c r="C390" s="633"/>
      <c r="D390" s="633"/>
      <c r="E390" s="633"/>
      <c r="F390" s="324">
        <f>0.245*X2</f>
        <v>377.3</v>
      </c>
      <c r="G390" s="256">
        <f t="shared" si="1104"/>
        <v>377.3</v>
      </c>
      <c r="H390" s="250"/>
      <c r="I390" s="303"/>
      <c r="J390" s="536"/>
      <c r="K390" s="256"/>
      <c r="L390" s="536">
        <f t="shared" si="1090"/>
        <v>577.29999999999995</v>
      </c>
      <c r="M390" s="256">
        <f t="shared" si="1091"/>
        <v>577.29999999999995</v>
      </c>
      <c r="N390" s="536">
        <f t="shared" si="1092"/>
        <v>497.3</v>
      </c>
      <c r="O390" s="256">
        <f t="shared" si="1093"/>
        <v>497.3</v>
      </c>
      <c r="P390" s="536">
        <f t="shared" si="1094"/>
        <v>457.3</v>
      </c>
      <c r="Q390" s="256">
        <f t="shared" si="1095"/>
        <v>457.3</v>
      </c>
      <c r="R390" s="536">
        <f t="shared" si="1096"/>
        <v>444.3</v>
      </c>
      <c r="S390" s="256">
        <f t="shared" si="1097"/>
        <v>444.3</v>
      </c>
      <c r="T390" s="92">
        <f t="shared" si="1098"/>
        <v>430.3</v>
      </c>
      <c r="U390" s="269">
        <f t="shared" si="1099"/>
        <v>430.3</v>
      </c>
      <c r="V390" s="92">
        <f t="shared" si="1100"/>
        <v>417.3</v>
      </c>
      <c r="W390" s="269">
        <f t="shared" si="1101"/>
        <v>417.3</v>
      </c>
      <c r="X390" s="126"/>
      <c r="Y390" s="122"/>
      <c r="Z390" s="122"/>
      <c r="AA390" s="125"/>
      <c r="AB390" s="338" t="s">
        <v>737</v>
      </c>
    </row>
    <row r="391" spans="1:34" ht="12.6" customHeight="1" x14ac:dyDescent="0.2">
      <c r="A391" s="88"/>
      <c r="B391" s="678" t="s">
        <v>470</v>
      </c>
      <c r="C391" s="679"/>
      <c r="D391" s="679"/>
      <c r="E391" s="679"/>
      <c r="F391" s="291">
        <v>1490</v>
      </c>
      <c r="G391" s="255">
        <f>+F391*$X$1</f>
        <v>1490</v>
      </c>
      <c r="H391" s="251"/>
      <c r="I391" s="302"/>
      <c r="J391" s="527"/>
      <c r="K391" s="255"/>
      <c r="L391" s="527">
        <f t="shared" si="1090"/>
        <v>1690</v>
      </c>
      <c r="M391" s="255">
        <f t="shared" si="1091"/>
        <v>1690</v>
      </c>
      <c r="N391" s="527">
        <f t="shared" si="1092"/>
        <v>1610</v>
      </c>
      <c r="O391" s="255">
        <f t="shared" si="1093"/>
        <v>1610</v>
      </c>
      <c r="P391" s="527">
        <f t="shared" si="1094"/>
        <v>1570</v>
      </c>
      <c r="Q391" s="255">
        <f t="shared" si="1095"/>
        <v>1570</v>
      </c>
      <c r="R391" s="527">
        <f t="shared" si="1096"/>
        <v>1557</v>
      </c>
      <c r="S391" s="255">
        <f t="shared" si="1097"/>
        <v>1557</v>
      </c>
      <c r="T391" s="93">
        <f t="shared" si="1098"/>
        <v>1543</v>
      </c>
      <c r="U391" s="234">
        <f t="shared" si="1099"/>
        <v>1543</v>
      </c>
      <c r="V391" s="93">
        <f t="shared" si="1100"/>
        <v>1530</v>
      </c>
      <c r="W391" s="234">
        <f t="shared" si="1101"/>
        <v>1530</v>
      </c>
      <c r="X391" s="126"/>
      <c r="Y391" s="122"/>
      <c r="Z391" s="122"/>
      <c r="AA391" s="125"/>
      <c r="AB391" s="338">
        <v>2246</v>
      </c>
    </row>
    <row r="392" spans="1:34" ht="12.6" customHeight="1" x14ac:dyDescent="0.2">
      <c r="A392" s="17"/>
      <c r="B392" s="657" t="s">
        <v>743</v>
      </c>
      <c r="C392" s="633"/>
      <c r="D392" s="633"/>
      <c r="E392" s="633"/>
      <c r="F392" s="503">
        <f>1.98*X2</f>
        <v>3049.2</v>
      </c>
      <c r="G392" s="256">
        <f t="shared" ref="G392" si="1105">+F392*$X$1</f>
        <v>3049.2</v>
      </c>
      <c r="H392" s="250"/>
      <c r="I392" s="303"/>
      <c r="J392" s="536">
        <f>F392+240</f>
        <v>3289.2</v>
      </c>
      <c r="K392" s="256">
        <f t="shared" ref="K392" si="1106">+J392*$X$1</f>
        <v>3289.2</v>
      </c>
      <c r="L392" s="536">
        <f t="shared" si="1090"/>
        <v>3249.2</v>
      </c>
      <c r="M392" s="256">
        <f t="shared" si="1091"/>
        <v>3249.2</v>
      </c>
      <c r="N392" s="536">
        <f t="shared" si="1092"/>
        <v>3169.2</v>
      </c>
      <c r="O392" s="256">
        <f t="shared" si="1093"/>
        <v>3169.2</v>
      </c>
      <c r="P392" s="536">
        <f t="shared" si="1094"/>
        <v>3129.2</v>
      </c>
      <c r="Q392" s="256">
        <f t="shared" si="1095"/>
        <v>3129.2</v>
      </c>
      <c r="R392" s="536">
        <f t="shared" si="1096"/>
        <v>3116.2</v>
      </c>
      <c r="S392" s="256">
        <f t="shared" si="1097"/>
        <v>3116.2</v>
      </c>
      <c r="T392" s="92">
        <f t="shared" si="1098"/>
        <v>3102.2</v>
      </c>
      <c r="U392" s="269">
        <f t="shared" si="1099"/>
        <v>3102.2</v>
      </c>
      <c r="V392" s="92">
        <f t="shared" si="1100"/>
        <v>3089.2</v>
      </c>
      <c r="W392" s="269">
        <f t="shared" si="1101"/>
        <v>3089.2</v>
      </c>
      <c r="X392" s="126"/>
      <c r="Y392" s="122"/>
      <c r="Z392" s="122"/>
      <c r="AA392" s="125"/>
      <c r="AB392" s="338">
        <v>2247</v>
      </c>
    </row>
    <row r="393" spans="1:34" ht="12.6" customHeight="1" x14ac:dyDescent="0.2">
      <c r="A393" s="17"/>
      <c r="B393" s="683" t="s">
        <v>425</v>
      </c>
      <c r="C393" s="763"/>
      <c r="D393" s="763"/>
      <c r="E393" s="764"/>
      <c r="F393" s="326">
        <f>0.35*X2</f>
        <v>539</v>
      </c>
      <c r="G393" s="255">
        <f t="shared" ref="G393" si="1107">+F393*$X$1</f>
        <v>539</v>
      </c>
      <c r="H393" s="251"/>
      <c r="I393" s="302"/>
      <c r="J393" s="527"/>
      <c r="K393" s="255"/>
      <c r="L393" s="527">
        <f t="shared" si="1090"/>
        <v>739</v>
      </c>
      <c r="M393" s="255">
        <f t="shared" si="1091"/>
        <v>739</v>
      </c>
      <c r="N393" s="527">
        <f t="shared" si="1092"/>
        <v>659</v>
      </c>
      <c r="O393" s="255">
        <f t="shared" si="1093"/>
        <v>659</v>
      </c>
      <c r="P393" s="527">
        <f t="shared" si="1094"/>
        <v>619</v>
      </c>
      <c r="Q393" s="255">
        <f t="shared" si="1095"/>
        <v>619</v>
      </c>
      <c r="R393" s="527">
        <f t="shared" si="1096"/>
        <v>606</v>
      </c>
      <c r="S393" s="255">
        <f t="shared" si="1097"/>
        <v>606</v>
      </c>
      <c r="T393" s="93">
        <f t="shared" si="1098"/>
        <v>592</v>
      </c>
      <c r="U393" s="234">
        <f t="shared" si="1099"/>
        <v>592</v>
      </c>
      <c r="V393" s="93">
        <f t="shared" si="1100"/>
        <v>579</v>
      </c>
      <c r="W393" s="234">
        <f t="shared" si="1101"/>
        <v>579</v>
      </c>
      <c r="X393" s="119"/>
      <c r="Y393" s="119"/>
      <c r="Z393" s="119"/>
      <c r="AA393" s="119"/>
      <c r="AB393" s="352">
        <v>2251</v>
      </c>
    </row>
    <row r="394" spans="1:34" ht="12.6" customHeight="1" x14ac:dyDescent="0.2">
      <c r="A394" s="17"/>
      <c r="B394" s="642" t="s">
        <v>615</v>
      </c>
      <c r="C394" s="766"/>
      <c r="D394" s="766"/>
      <c r="E394" s="767"/>
      <c r="F394" s="325">
        <f>0.35*X2</f>
        <v>539</v>
      </c>
      <c r="G394" s="256">
        <f>+F394*$X$1</f>
        <v>539</v>
      </c>
      <c r="H394" s="250"/>
      <c r="I394" s="303"/>
      <c r="J394" s="536"/>
      <c r="K394" s="256"/>
      <c r="L394" s="536">
        <f t="shared" si="1090"/>
        <v>739</v>
      </c>
      <c r="M394" s="256">
        <f t="shared" si="1091"/>
        <v>739</v>
      </c>
      <c r="N394" s="536">
        <f t="shared" si="1092"/>
        <v>659</v>
      </c>
      <c r="O394" s="256">
        <f t="shared" si="1093"/>
        <v>659</v>
      </c>
      <c r="P394" s="536">
        <f t="shared" si="1094"/>
        <v>619</v>
      </c>
      <c r="Q394" s="256">
        <f t="shared" si="1095"/>
        <v>619</v>
      </c>
      <c r="R394" s="536">
        <f t="shared" si="1096"/>
        <v>606</v>
      </c>
      <c r="S394" s="256">
        <f t="shared" si="1097"/>
        <v>606</v>
      </c>
      <c r="T394" s="92">
        <f t="shared" si="1098"/>
        <v>592</v>
      </c>
      <c r="U394" s="269">
        <f t="shared" si="1099"/>
        <v>592</v>
      </c>
      <c r="V394" s="92">
        <f t="shared" si="1100"/>
        <v>579</v>
      </c>
      <c r="W394" s="269">
        <f t="shared" si="1101"/>
        <v>579</v>
      </c>
      <c r="X394" s="119"/>
      <c r="Y394" s="119"/>
      <c r="Z394" s="119"/>
      <c r="AA394" s="119"/>
      <c r="AB394" s="338">
        <v>2252</v>
      </c>
    </row>
    <row r="395" spans="1:34" s="4" customFormat="1" ht="12.6" customHeight="1" x14ac:dyDescent="0.2">
      <c r="A395" s="18"/>
      <c r="B395" s="16"/>
      <c r="C395" s="12"/>
      <c r="D395" s="12"/>
      <c r="E395" s="12"/>
      <c r="F395" s="55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7"/>
      <c r="B398" s="789" t="s">
        <v>11</v>
      </c>
      <c r="C398" s="775" t="s">
        <v>12</v>
      </c>
      <c r="D398" s="776"/>
      <c r="E398" s="776"/>
      <c r="F398" s="650" t="s">
        <v>13</v>
      </c>
      <c r="G398" s="650" t="s">
        <v>13</v>
      </c>
      <c r="H398" s="695" t="s">
        <v>723</v>
      </c>
      <c r="I398" s="695"/>
      <c r="J398" s="696"/>
      <c r="K398" s="696"/>
      <c r="L398" s="696"/>
      <c r="M398" s="696"/>
      <c r="N398" s="696"/>
      <c r="O398" s="696"/>
      <c r="P398" s="696"/>
      <c r="Q398" s="696"/>
      <c r="R398" s="696"/>
      <c r="S398" s="696"/>
      <c r="T398" s="696"/>
      <c r="U398" s="696"/>
      <c r="V398" s="696"/>
      <c r="W398" s="696"/>
      <c r="X398" s="771" t="s">
        <v>14</v>
      </c>
      <c r="Y398" s="771"/>
      <c r="Z398" s="771"/>
      <c r="AA398" s="771"/>
      <c r="AB398" s="638" t="s">
        <v>15</v>
      </c>
      <c r="AE398" s="61"/>
      <c r="AF398" s="640" t="s">
        <v>3</v>
      </c>
      <c r="AG398" s="641"/>
      <c r="AH398" s="641"/>
    </row>
    <row r="399" spans="1:34" ht="12" customHeight="1" x14ac:dyDescent="0.2">
      <c r="A399" s="17"/>
      <c r="B399" s="789"/>
      <c r="C399" s="776"/>
      <c r="D399" s="776"/>
      <c r="E399" s="776"/>
      <c r="F399" s="651"/>
      <c r="G399" s="651"/>
      <c r="H399" s="406"/>
      <c r="I399" s="398" t="s">
        <v>261</v>
      </c>
      <c r="J399" s="400"/>
      <c r="K399" s="398" t="s">
        <v>17</v>
      </c>
      <c r="L399" s="401"/>
      <c r="M399" s="401" t="s">
        <v>18</v>
      </c>
      <c r="N399" s="401"/>
      <c r="O399" s="398" t="s">
        <v>19</v>
      </c>
      <c r="P399" s="401"/>
      <c r="Q399" s="401" t="s">
        <v>262</v>
      </c>
      <c r="R399" s="401"/>
      <c r="S399" s="401" t="s">
        <v>20</v>
      </c>
      <c r="T399" s="401"/>
      <c r="U399" s="401" t="s">
        <v>21</v>
      </c>
      <c r="V399" s="401"/>
      <c r="W399" s="401" t="s">
        <v>22</v>
      </c>
      <c r="X399" s="771"/>
      <c r="Y399" s="771"/>
      <c r="Z399" s="771"/>
      <c r="AA399" s="771"/>
      <c r="AB399" s="639"/>
    </row>
    <row r="400" spans="1:34" ht="12.6" customHeight="1" x14ac:dyDescent="0.2">
      <c r="A400" s="94"/>
      <c r="B400" s="642" t="s">
        <v>219</v>
      </c>
      <c r="C400" s="643"/>
      <c r="D400" s="643"/>
      <c r="E400" s="644"/>
      <c r="F400" s="324">
        <f>0.3*X2</f>
        <v>462</v>
      </c>
      <c r="G400" s="256">
        <f>+F400*$X$1</f>
        <v>462</v>
      </c>
      <c r="H400" s="250"/>
      <c r="I400" s="303"/>
      <c r="J400" s="536"/>
      <c r="K400" s="256"/>
      <c r="L400" s="536">
        <f>F400+200</f>
        <v>662</v>
      </c>
      <c r="M400" s="256">
        <f>+L400*$X$1</f>
        <v>662</v>
      </c>
      <c r="N400" s="536">
        <f>F400+120</f>
        <v>582</v>
      </c>
      <c r="O400" s="256">
        <f>+N400*$X$1</f>
        <v>582</v>
      </c>
      <c r="P400" s="536">
        <f>F400+80</f>
        <v>542</v>
      </c>
      <c r="Q400" s="256">
        <f>+P400*$X$1</f>
        <v>542</v>
      </c>
      <c r="R400" s="536">
        <f>F400+67</f>
        <v>529</v>
      </c>
      <c r="S400" s="256">
        <f>+R400*$X$1</f>
        <v>529</v>
      </c>
      <c r="T400" s="92">
        <f>F400+53</f>
        <v>515</v>
      </c>
      <c r="U400" s="269">
        <f>+T400*$X$1</f>
        <v>515</v>
      </c>
      <c r="V400" s="92">
        <f>F400+40</f>
        <v>502</v>
      </c>
      <c r="W400" s="269">
        <f>+V400*$X$1</f>
        <v>502</v>
      </c>
      <c r="X400" s="156"/>
      <c r="Y400" s="119"/>
      <c r="Z400" s="119"/>
      <c r="AA400" s="135"/>
      <c r="AB400" s="338">
        <v>2254</v>
      </c>
      <c r="AC400" s="62"/>
    </row>
    <row r="401" spans="1:29" ht="12.6" customHeight="1" x14ac:dyDescent="0.2">
      <c r="A401" s="94"/>
      <c r="B401" s="683" t="s">
        <v>437</v>
      </c>
      <c r="C401" s="684"/>
      <c r="D401" s="684"/>
      <c r="E401" s="685"/>
      <c r="F401" s="323">
        <f>0.3*X2</f>
        <v>462</v>
      </c>
      <c r="G401" s="255">
        <f>+F401*$X$1</f>
        <v>462</v>
      </c>
      <c r="H401" s="251"/>
      <c r="I401" s="302"/>
      <c r="J401" s="527"/>
      <c r="K401" s="255"/>
      <c r="L401" s="527">
        <f>F401+200</f>
        <v>662</v>
      </c>
      <c r="M401" s="255">
        <f>+L401*$X$1</f>
        <v>662</v>
      </c>
      <c r="N401" s="527">
        <f>F401+120</f>
        <v>582</v>
      </c>
      <c r="O401" s="255">
        <f>+N401*$X$1</f>
        <v>582</v>
      </c>
      <c r="P401" s="527">
        <f>F401+80</f>
        <v>542</v>
      </c>
      <c r="Q401" s="255">
        <f>+P401*$X$1</f>
        <v>542</v>
      </c>
      <c r="R401" s="527">
        <f>F401+67</f>
        <v>529</v>
      </c>
      <c r="S401" s="255">
        <f>+R401*$X$1</f>
        <v>529</v>
      </c>
      <c r="T401" s="93">
        <f>F401+53</f>
        <v>515</v>
      </c>
      <c r="U401" s="234">
        <f>+T401*$X$1</f>
        <v>515</v>
      </c>
      <c r="V401" s="93">
        <f>F401+40</f>
        <v>502</v>
      </c>
      <c r="W401" s="234">
        <f>+V401*$X$1</f>
        <v>502</v>
      </c>
      <c r="X401" s="156"/>
      <c r="Y401" s="119"/>
      <c r="Z401" s="119"/>
      <c r="AA401" s="135"/>
      <c r="AB401" s="338" t="s">
        <v>462</v>
      </c>
      <c r="AC401" s="62"/>
    </row>
    <row r="402" spans="1:29" ht="12.6" customHeight="1" x14ac:dyDescent="0.2">
      <c r="A402" s="94"/>
      <c r="B402" s="642" t="s">
        <v>958</v>
      </c>
      <c r="C402" s="643"/>
      <c r="D402" s="643"/>
      <c r="E402" s="644"/>
      <c r="F402" s="324">
        <f>0.3*X2</f>
        <v>462</v>
      </c>
      <c r="G402" s="256">
        <f t="shared" ref="G402" si="1108">+F402*$X$1</f>
        <v>462</v>
      </c>
      <c r="H402" s="250"/>
      <c r="I402" s="303"/>
      <c r="J402" s="536"/>
      <c r="K402" s="256"/>
      <c r="L402" s="536">
        <f>F402+200</f>
        <v>662</v>
      </c>
      <c r="M402" s="256">
        <f>+L402*$X$1</f>
        <v>662</v>
      </c>
      <c r="N402" s="536">
        <f>F402+120</f>
        <v>582</v>
      </c>
      <c r="O402" s="256">
        <f>+N402*$X$1</f>
        <v>582</v>
      </c>
      <c r="P402" s="536">
        <f>F402+80</f>
        <v>542</v>
      </c>
      <c r="Q402" s="256">
        <f>+P402*$X$1</f>
        <v>542</v>
      </c>
      <c r="R402" s="536">
        <f>F402+67</f>
        <v>529</v>
      </c>
      <c r="S402" s="256">
        <f>+R402*$X$1</f>
        <v>529</v>
      </c>
      <c r="T402" s="92">
        <f>F402+53</f>
        <v>515</v>
      </c>
      <c r="U402" s="269">
        <f>+T402*$X$1</f>
        <v>515</v>
      </c>
      <c r="V402" s="92">
        <f>F402+40</f>
        <v>502</v>
      </c>
      <c r="W402" s="269">
        <f>+V402*$X$1</f>
        <v>502</v>
      </c>
      <c r="X402" s="156"/>
      <c r="Y402" s="119"/>
      <c r="Z402" s="119"/>
      <c r="AA402" s="135"/>
      <c r="AB402" s="436" t="s">
        <v>957</v>
      </c>
      <c r="AC402" s="62"/>
    </row>
    <row r="403" spans="1:29" ht="12.6" customHeight="1" x14ac:dyDescent="0.2">
      <c r="A403" s="94"/>
      <c r="B403" s="783" t="s">
        <v>220</v>
      </c>
      <c r="C403" s="784"/>
      <c r="D403" s="784"/>
      <c r="E403" s="785"/>
      <c r="F403" s="606">
        <v>330</v>
      </c>
      <c r="G403" s="451">
        <f>+F403*$X$1</f>
        <v>330</v>
      </c>
      <c r="H403" s="452"/>
      <c r="I403" s="454"/>
      <c r="J403" s="581"/>
      <c r="K403" s="451"/>
      <c r="L403" s="581">
        <f t="shared" ref="L403" si="1109">F403+200</f>
        <v>530</v>
      </c>
      <c r="M403" s="451">
        <f t="shared" ref="M403" si="1110">+L403*$X$1</f>
        <v>530</v>
      </c>
      <c r="N403" s="581">
        <f t="shared" ref="N403" si="1111">F403+120</f>
        <v>450</v>
      </c>
      <c r="O403" s="451">
        <f t="shared" ref="O403" si="1112">+N403*$X$1</f>
        <v>450</v>
      </c>
      <c r="P403" s="581">
        <f t="shared" ref="P403" si="1113">F403+80</f>
        <v>410</v>
      </c>
      <c r="Q403" s="451">
        <f t="shared" ref="Q403" si="1114">+P403*$X$1</f>
        <v>410</v>
      </c>
      <c r="R403" s="581">
        <f t="shared" ref="R403" si="1115">F403+67</f>
        <v>397</v>
      </c>
      <c r="S403" s="451">
        <f t="shared" ref="S403" si="1116">+R403*$X$1</f>
        <v>397</v>
      </c>
      <c r="T403" s="522">
        <f t="shared" ref="T403" si="1117">F403+53</f>
        <v>383</v>
      </c>
      <c r="U403" s="521">
        <f t="shared" ref="U403" si="1118">+T403*$X$1</f>
        <v>383</v>
      </c>
      <c r="V403" s="522"/>
      <c r="W403" s="521"/>
      <c r="X403" s="156"/>
      <c r="Y403" s="119"/>
      <c r="Z403" s="119"/>
      <c r="AA403" s="119"/>
      <c r="AB403" s="338">
        <v>2255</v>
      </c>
      <c r="AC403" s="62"/>
    </row>
    <row r="404" spans="1:29" ht="12.6" customHeight="1" x14ac:dyDescent="0.2">
      <c r="A404" s="88"/>
      <c r="B404" s="657" t="s">
        <v>785</v>
      </c>
      <c r="C404" s="633"/>
      <c r="D404" s="633"/>
      <c r="E404" s="633"/>
      <c r="F404" s="324">
        <f>0.87*X2</f>
        <v>1339.8</v>
      </c>
      <c r="G404" s="256">
        <f>+F404*$X$1</f>
        <v>1339.8</v>
      </c>
      <c r="H404" s="250"/>
      <c r="I404" s="303"/>
      <c r="J404" s="536"/>
      <c r="K404" s="256"/>
      <c r="L404" s="536">
        <f t="shared" ref="L404" si="1119">F404+200</f>
        <v>1539.8</v>
      </c>
      <c r="M404" s="256">
        <f t="shared" ref="M404" si="1120">+L404*$X$1</f>
        <v>1539.8</v>
      </c>
      <c r="N404" s="536">
        <f t="shared" ref="N404" si="1121">F404+120</f>
        <v>1459.8</v>
      </c>
      <c r="O404" s="256">
        <f t="shared" ref="O404" si="1122">+N404*$X$1</f>
        <v>1459.8</v>
      </c>
      <c r="P404" s="536">
        <f t="shared" ref="P404" si="1123">F404+80</f>
        <v>1419.8</v>
      </c>
      <c r="Q404" s="256">
        <f t="shared" ref="Q404" si="1124">+P404*$X$1</f>
        <v>1419.8</v>
      </c>
      <c r="R404" s="536">
        <f t="shared" ref="R404" si="1125">F404+67</f>
        <v>1406.8</v>
      </c>
      <c r="S404" s="256">
        <f t="shared" ref="S404" si="1126">+R404*$X$1</f>
        <v>1406.8</v>
      </c>
      <c r="T404" s="92">
        <f t="shared" ref="T404" si="1127">F404+53</f>
        <v>1392.8</v>
      </c>
      <c r="U404" s="269">
        <f t="shared" ref="U404" si="1128">+T404*$X$1</f>
        <v>1392.8</v>
      </c>
      <c r="V404" s="92">
        <f t="shared" ref="V404" si="1129">F404+40</f>
        <v>1379.8</v>
      </c>
      <c r="W404" s="269">
        <f t="shared" ref="W404" si="1130">+V404*$X$1</f>
        <v>1379.8</v>
      </c>
      <c r="X404" s="126"/>
      <c r="Y404" s="122"/>
      <c r="Z404" s="122"/>
      <c r="AA404" s="125"/>
      <c r="AB404" s="338">
        <v>2258</v>
      </c>
    </row>
    <row r="405" spans="1:29" ht="12.6" customHeight="1" x14ac:dyDescent="0.2">
      <c r="A405" s="17"/>
      <c r="B405" s="634" t="s">
        <v>597</v>
      </c>
      <c r="C405" s="759"/>
      <c r="D405" s="759"/>
      <c r="E405" s="759"/>
      <c r="F405" s="323">
        <f>0.48*X2</f>
        <v>739.19999999999993</v>
      </c>
      <c r="G405" s="255">
        <f>+F405*$X$1</f>
        <v>739.19999999999993</v>
      </c>
      <c r="H405" s="527"/>
      <c r="I405" s="255"/>
      <c r="J405" s="527"/>
      <c r="K405" s="255"/>
      <c r="L405" s="527">
        <f t="shared" ref="L405:L426" si="1131">F405+200</f>
        <v>939.19999999999993</v>
      </c>
      <c r="M405" s="255">
        <f t="shared" ref="M405:M426" si="1132">+L405*$X$1</f>
        <v>939.19999999999993</v>
      </c>
      <c r="N405" s="527">
        <f t="shared" ref="N405:N426" si="1133">F405+120</f>
        <v>859.19999999999993</v>
      </c>
      <c r="O405" s="255">
        <f t="shared" ref="O405:O426" si="1134">+N405*$X$1</f>
        <v>859.19999999999993</v>
      </c>
      <c r="P405" s="527">
        <f t="shared" ref="P405:P426" si="1135">F405+80</f>
        <v>819.19999999999993</v>
      </c>
      <c r="Q405" s="255">
        <f t="shared" ref="Q405:Q426" si="1136">+P405*$X$1</f>
        <v>819.19999999999993</v>
      </c>
      <c r="R405" s="527">
        <f t="shared" ref="R405:R426" si="1137">F405+67</f>
        <v>806.19999999999993</v>
      </c>
      <c r="S405" s="255">
        <f t="shared" ref="S405:S426" si="1138">+R405*$X$1</f>
        <v>806.19999999999993</v>
      </c>
      <c r="T405" s="93">
        <f t="shared" ref="T405:T426" si="1139">F405+53</f>
        <v>792.19999999999993</v>
      </c>
      <c r="U405" s="234">
        <f t="shared" ref="U405:U426" si="1140">+T405*$X$1</f>
        <v>792.19999999999993</v>
      </c>
      <c r="V405" s="93">
        <f t="shared" ref="V405:V426" si="1141">F405+40</f>
        <v>779.19999999999993</v>
      </c>
      <c r="W405" s="234">
        <f t="shared" ref="W405:W426" si="1142">+V405*$X$1</f>
        <v>779.19999999999993</v>
      </c>
      <c r="X405" s="667"/>
      <c r="Y405" s="668"/>
      <c r="Z405" s="668"/>
      <c r="AA405" s="669"/>
      <c r="AB405" s="338">
        <v>2260</v>
      </c>
      <c r="AC405" s="62"/>
    </row>
    <row r="406" spans="1:29" ht="12.6" customHeight="1" x14ac:dyDescent="0.2">
      <c r="A406" s="17"/>
      <c r="B406" s="636" t="s">
        <v>586</v>
      </c>
      <c r="C406" s="713"/>
      <c r="D406" s="713"/>
      <c r="E406" s="713"/>
      <c r="F406" s="324">
        <f>0.59*X2</f>
        <v>908.59999999999991</v>
      </c>
      <c r="G406" s="256">
        <f t="shared" ref="G406:G407" si="1143">+F406*$X$1</f>
        <v>908.59999999999991</v>
      </c>
      <c r="H406" s="536"/>
      <c r="I406" s="256"/>
      <c r="J406" s="536"/>
      <c r="K406" s="256"/>
      <c r="L406" s="536">
        <f t="shared" si="1131"/>
        <v>1108.5999999999999</v>
      </c>
      <c r="M406" s="256">
        <f t="shared" si="1132"/>
        <v>1108.5999999999999</v>
      </c>
      <c r="N406" s="536">
        <f t="shared" si="1133"/>
        <v>1028.5999999999999</v>
      </c>
      <c r="O406" s="256">
        <f t="shared" si="1134"/>
        <v>1028.5999999999999</v>
      </c>
      <c r="P406" s="536">
        <f t="shared" si="1135"/>
        <v>988.59999999999991</v>
      </c>
      <c r="Q406" s="256">
        <f t="shared" si="1136"/>
        <v>988.59999999999991</v>
      </c>
      <c r="R406" s="536">
        <f t="shared" si="1137"/>
        <v>975.59999999999991</v>
      </c>
      <c r="S406" s="256">
        <f t="shared" si="1138"/>
        <v>975.59999999999991</v>
      </c>
      <c r="T406" s="92">
        <f t="shared" si="1139"/>
        <v>961.59999999999991</v>
      </c>
      <c r="U406" s="269">
        <f t="shared" si="1140"/>
        <v>961.59999999999991</v>
      </c>
      <c r="V406" s="92">
        <f t="shared" si="1141"/>
        <v>948.59999999999991</v>
      </c>
      <c r="W406" s="269">
        <f t="shared" si="1142"/>
        <v>948.59999999999991</v>
      </c>
      <c r="X406" s="667"/>
      <c r="Y406" s="668"/>
      <c r="Z406" s="668"/>
      <c r="AA406" s="669"/>
      <c r="AB406" s="338">
        <v>2261</v>
      </c>
      <c r="AC406" s="62"/>
    </row>
    <row r="407" spans="1:29" ht="12.6" customHeight="1" x14ac:dyDescent="0.2">
      <c r="A407" s="17"/>
      <c r="B407" s="634" t="s">
        <v>599</v>
      </c>
      <c r="C407" s="759"/>
      <c r="D407" s="759"/>
      <c r="E407" s="759"/>
      <c r="F407" s="323">
        <f>0.448*X2</f>
        <v>689.92</v>
      </c>
      <c r="G407" s="255">
        <f t="shared" si="1143"/>
        <v>689.92</v>
      </c>
      <c r="H407" s="527"/>
      <c r="I407" s="255"/>
      <c r="J407" s="527"/>
      <c r="K407" s="255"/>
      <c r="L407" s="527">
        <f t="shared" si="1131"/>
        <v>889.92</v>
      </c>
      <c r="M407" s="255">
        <f t="shared" si="1132"/>
        <v>889.92</v>
      </c>
      <c r="N407" s="527">
        <f t="shared" si="1133"/>
        <v>809.92</v>
      </c>
      <c r="O407" s="255">
        <f t="shared" si="1134"/>
        <v>809.92</v>
      </c>
      <c r="P407" s="527">
        <f t="shared" si="1135"/>
        <v>769.92</v>
      </c>
      <c r="Q407" s="255">
        <f t="shared" si="1136"/>
        <v>769.92</v>
      </c>
      <c r="R407" s="527">
        <f t="shared" si="1137"/>
        <v>756.92</v>
      </c>
      <c r="S407" s="255">
        <f t="shared" si="1138"/>
        <v>756.92</v>
      </c>
      <c r="T407" s="93">
        <f t="shared" si="1139"/>
        <v>742.92</v>
      </c>
      <c r="U407" s="234">
        <f t="shared" si="1140"/>
        <v>742.92</v>
      </c>
      <c r="V407" s="93">
        <f t="shared" si="1141"/>
        <v>729.92</v>
      </c>
      <c r="W407" s="234">
        <f t="shared" si="1142"/>
        <v>729.92</v>
      </c>
      <c r="X407" s="667"/>
      <c r="Y407" s="668"/>
      <c r="Z407" s="668"/>
      <c r="AA407" s="669"/>
      <c r="AB407" s="338">
        <v>2262</v>
      </c>
      <c r="AC407" s="62"/>
    </row>
    <row r="408" spans="1:29" ht="12.6" customHeight="1" x14ac:dyDescent="0.2">
      <c r="A408" s="17"/>
      <c r="B408" s="636" t="s">
        <v>598</v>
      </c>
      <c r="C408" s="713"/>
      <c r="D408" s="713"/>
      <c r="E408" s="713"/>
      <c r="F408" s="324">
        <f>0.67*X2</f>
        <v>1031.8</v>
      </c>
      <c r="G408" s="256">
        <f t="shared" ref="G408:G409" si="1144">+F408*$X$1</f>
        <v>1031.8</v>
      </c>
      <c r="H408" s="536"/>
      <c r="I408" s="256"/>
      <c r="J408" s="536"/>
      <c r="K408" s="256"/>
      <c r="L408" s="536">
        <f t="shared" si="1131"/>
        <v>1231.8</v>
      </c>
      <c r="M408" s="256">
        <f t="shared" si="1132"/>
        <v>1231.8</v>
      </c>
      <c r="N408" s="536">
        <f t="shared" si="1133"/>
        <v>1151.8</v>
      </c>
      <c r="O408" s="256">
        <f t="shared" si="1134"/>
        <v>1151.8</v>
      </c>
      <c r="P408" s="536">
        <f t="shared" si="1135"/>
        <v>1111.8</v>
      </c>
      <c r="Q408" s="256">
        <f t="shared" si="1136"/>
        <v>1111.8</v>
      </c>
      <c r="R408" s="536">
        <f t="shared" si="1137"/>
        <v>1098.8</v>
      </c>
      <c r="S408" s="256">
        <f t="shared" si="1138"/>
        <v>1098.8</v>
      </c>
      <c r="T408" s="92">
        <f t="shared" si="1139"/>
        <v>1084.8</v>
      </c>
      <c r="U408" s="269">
        <f t="shared" si="1140"/>
        <v>1084.8</v>
      </c>
      <c r="V408" s="92">
        <f t="shared" si="1141"/>
        <v>1071.8</v>
      </c>
      <c r="W408" s="269">
        <f t="shared" si="1142"/>
        <v>1071.8</v>
      </c>
      <c r="X408" s="667"/>
      <c r="Y408" s="668"/>
      <c r="Z408" s="668"/>
      <c r="AA408" s="669"/>
      <c r="AB408" s="338">
        <v>2266</v>
      </c>
      <c r="AC408" s="62"/>
    </row>
    <row r="409" spans="1:29" ht="12.6" customHeight="1" x14ac:dyDescent="0.2">
      <c r="A409" s="17"/>
      <c r="B409" s="645" t="s">
        <v>1032</v>
      </c>
      <c r="C409" s="646"/>
      <c r="D409" s="646"/>
      <c r="E409" s="646"/>
      <c r="F409" s="323">
        <f>0.22*X2</f>
        <v>338.8</v>
      </c>
      <c r="G409" s="255">
        <f t="shared" si="1144"/>
        <v>338.8</v>
      </c>
      <c r="H409" s="251"/>
      <c r="I409" s="251"/>
      <c r="J409" s="527"/>
      <c r="K409" s="527"/>
      <c r="L409" s="527">
        <f t="shared" ref="L409" si="1145">F409+200</f>
        <v>538.79999999999995</v>
      </c>
      <c r="M409" s="255">
        <f t="shared" ref="M409" si="1146">+L409*$X$1</f>
        <v>538.79999999999995</v>
      </c>
      <c r="N409" s="527">
        <f t="shared" ref="N409" si="1147">F409+120</f>
        <v>458.8</v>
      </c>
      <c r="O409" s="255">
        <f t="shared" ref="O409" si="1148">+N409*$X$1</f>
        <v>458.8</v>
      </c>
      <c r="P409" s="527">
        <f t="shared" ref="P409" si="1149">F409+80</f>
        <v>418.8</v>
      </c>
      <c r="Q409" s="255">
        <f t="shared" ref="Q409" si="1150">+P409*$X$1</f>
        <v>418.8</v>
      </c>
      <c r="R409" s="527">
        <f t="shared" ref="R409" si="1151">F409+67</f>
        <v>405.8</v>
      </c>
      <c r="S409" s="255">
        <f t="shared" ref="S409" si="1152">+R409*$X$1</f>
        <v>405.8</v>
      </c>
      <c r="T409" s="93">
        <f t="shared" ref="T409" si="1153">F409+53</f>
        <v>391.8</v>
      </c>
      <c r="U409" s="234">
        <f t="shared" ref="U409" si="1154">+T409*$X$1</f>
        <v>391.8</v>
      </c>
      <c r="V409" s="93">
        <f t="shared" ref="V409" si="1155">F409+40</f>
        <v>378.8</v>
      </c>
      <c r="W409" s="234">
        <f t="shared" ref="W409" si="1156">+V409*$X$1</f>
        <v>378.8</v>
      </c>
      <c r="X409" s="617"/>
      <c r="Y409" s="618"/>
      <c r="Z409" s="618"/>
      <c r="AA409" s="617"/>
      <c r="AB409" s="338">
        <v>2267</v>
      </c>
      <c r="AC409" s="62"/>
    </row>
    <row r="410" spans="1:29" ht="12.6" customHeight="1" x14ac:dyDescent="0.2">
      <c r="A410" s="88"/>
      <c r="B410" s="657" t="s">
        <v>877</v>
      </c>
      <c r="C410" s="633"/>
      <c r="D410" s="633"/>
      <c r="E410" s="633"/>
      <c r="F410" s="324">
        <f>0.399*X2</f>
        <v>614.46</v>
      </c>
      <c r="G410" s="256">
        <f t="shared" ref="G410" si="1157">+F410*$X$1</f>
        <v>614.46</v>
      </c>
      <c r="H410" s="250"/>
      <c r="I410" s="303"/>
      <c r="J410" s="536"/>
      <c r="K410" s="256"/>
      <c r="L410" s="536">
        <f t="shared" si="1131"/>
        <v>814.46</v>
      </c>
      <c r="M410" s="256">
        <f t="shared" si="1132"/>
        <v>814.46</v>
      </c>
      <c r="N410" s="536">
        <f t="shared" si="1133"/>
        <v>734.46</v>
      </c>
      <c r="O410" s="256">
        <f t="shared" si="1134"/>
        <v>734.46</v>
      </c>
      <c r="P410" s="536">
        <f t="shared" si="1135"/>
        <v>694.46</v>
      </c>
      <c r="Q410" s="256">
        <f t="shared" si="1136"/>
        <v>694.46</v>
      </c>
      <c r="R410" s="536">
        <f t="shared" si="1137"/>
        <v>681.46</v>
      </c>
      <c r="S410" s="256">
        <f t="shared" si="1138"/>
        <v>681.46</v>
      </c>
      <c r="T410" s="92">
        <f t="shared" si="1139"/>
        <v>667.46</v>
      </c>
      <c r="U410" s="269">
        <f t="shared" si="1140"/>
        <v>667.46</v>
      </c>
      <c r="V410" s="92">
        <f t="shared" si="1141"/>
        <v>654.46</v>
      </c>
      <c r="W410" s="269">
        <f t="shared" si="1142"/>
        <v>654.46</v>
      </c>
      <c r="X410" s="126"/>
      <c r="Y410" s="122"/>
      <c r="Z410" s="122"/>
      <c r="AA410" s="125"/>
      <c r="AB410" s="338">
        <v>2269</v>
      </c>
    </row>
    <row r="411" spans="1:29" ht="12.6" customHeight="1" x14ac:dyDescent="0.2">
      <c r="A411" s="17"/>
      <c r="B411" s="1169" t="s">
        <v>221</v>
      </c>
      <c r="C411" s="1170"/>
      <c r="D411" s="1170"/>
      <c r="E411" s="1170"/>
      <c r="F411" s="455">
        <f>0.27*X2</f>
        <v>415.8</v>
      </c>
      <c r="G411" s="451">
        <f>+F411*$X$1</f>
        <v>415.8</v>
      </c>
      <c r="H411" s="452"/>
      <c r="I411" s="452"/>
      <c r="J411" s="581"/>
      <c r="K411" s="581"/>
      <c r="L411" s="581">
        <f t="shared" si="1131"/>
        <v>615.79999999999995</v>
      </c>
      <c r="M411" s="451">
        <f t="shared" si="1132"/>
        <v>615.79999999999995</v>
      </c>
      <c r="N411" s="581">
        <f t="shared" si="1133"/>
        <v>535.79999999999995</v>
      </c>
      <c r="O411" s="451">
        <f t="shared" si="1134"/>
        <v>535.79999999999995</v>
      </c>
      <c r="P411" s="581">
        <f t="shared" si="1135"/>
        <v>495.8</v>
      </c>
      <c r="Q411" s="451">
        <f t="shared" si="1136"/>
        <v>495.8</v>
      </c>
      <c r="R411" s="581">
        <f t="shared" si="1137"/>
        <v>482.8</v>
      </c>
      <c r="S411" s="451">
        <f t="shared" si="1138"/>
        <v>482.8</v>
      </c>
      <c r="T411" s="522">
        <f t="shared" si="1139"/>
        <v>468.8</v>
      </c>
      <c r="U411" s="521">
        <f t="shared" si="1140"/>
        <v>468.8</v>
      </c>
      <c r="V411" s="522">
        <f t="shared" si="1141"/>
        <v>455.8</v>
      </c>
      <c r="W411" s="521">
        <f t="shared" si="1142"/>
        <v>455.8</v>
      </c>
      <c r="X411" s="162"/>
      <c r="Y411" s="164"/>
      <c r="Z411" s="164"/>
      <c r="AA411" s="162"/>
      <c r="AB411" s="338">
        <v>2270</v>
      </c>
      <c r="AC411" s="62"/>
    </row>
    <row r="412" spans="1:29" ht="12.6" customHeight="1" x14ac:dyDescent="0.2">
      <c r="A412" s="17"/>
      <c r="B412" s="636" t="s">
        <v>823</v>
      </c>
      <c r="C412" s="1177"/>
      <c r="D412" s="1177"/>
      <c r="E412" s="1177"/>
      <c r="F412" s="324">
        <f>0.435*X2</f>
        <v>669.9</v>
      </c>
      <c r="G412" s="256">
        <f>+F412*$X$1</f>
        <v>669.9</v>
      </c>
      <c r="H412" s="250"/>
      <c r="I412" s="250"/>
      <c r="J412" s="536"/>
      <c r="K412" s="536"/>
      <c r="L412" s="536">
        <f t="shared" si="1131"/>
        <v>869.9</v>
      </c>
      <c r="M412" s="256">
        <f t="shared" si="1132"/>
        <v>869.9</v>
      </c>
      <c r="N412" s="536">
        <f t="shared" si="1133"/>
        <v>789.9</v>
      </c>
      <c r="O412" s="256">
        <f t="shared" si="1134"/>
        <v>789.9</v>
      </c>
      <c r="P412" s="536">
        <f t="shared" si="1135"/>
        <v>749.9</v>
      </c>
      <c r="Q412" s="256">
        <f t="shared" si="1136"/>
        <v>749.9</v>
      </c>
      <c r="R412" s="536">
        <f t="shared" si="1137"/>
        <v>736.9</v>
      </c>
      <c r="S412" s="256">
        <f t="shared" si="1138"/>
        <v>736.9</v>
      </c>
      <c r="T412" s="92">
        <f t="shared" si="1139"/>
        <v>722.9</v>
      </c>
      <c r="U412" s="269">
        <f t="shared" si="1140"/>
        <v>722.9</v>
      </c>
      <c r="V412" s="92">
        <f t="shared" si="1141"/>
        <v>709.9</v>
      </c>
      <c r="W412" s="269">
        <f t="shared" si="1142"/>
        <v>709.9</v>
      </c>
      <c r="X412" s="475"/>
      <c r="Y412" s="473"/>
      <c r="Z412" s="473"/>
      <c r="AA412" s="475"/>
      <c r="AB412" s="338">
        <v>2271</v>
      </c>
      <c r="AC412" s="62"/>
    </row>
    <row r="413" spans="1:29" ht="12.6" customHeight="1" x14ac:dyDescent="0.2">
      <c r="A413" s="17"/>
      <c r="B413" s="634" t="s">
        <v>824</v>
      </c>
      <c r="C413" s="765"/>
      <c r="D413" s="765"/>
      <c r="E413" s="765"/>
      <c r="F413" s="323">
        <f>0.57*X2</f>
        <v>877.8</v>
      </c>
      <c r="G413" s="255">
        <f>+F413*$X$1</f>
        <v>877.8</v>
      </c>
      <c r="H413" s="251"/>
      <c r="I413" s="251"/>
      <c r="J413" s="527"/>
      <c r="K413" s="527"/>
      <c r="L413" s="527">
        <f t="shared" si="1131"/>
        <v>1077.8</v>
      </c>
      <c r="M413" s="255">
        <f t="shared" si="1132"/>
        <v>1077.8</v>
      </c>
      <c r="N413" s="527">
        <f t="shared" si="1133"/>
        <v>997.8</v>
      </c>
      <c r="O413" s="255">
        <f t="shared" si="1134"/>
        <v>997.8</v>
      </c>
      <c r="P413" s="527">
        <f t="shared" si="1135"/>
        <v>957.8</v>
      </c>
      <c r="Q413" s="255">
        <f t="shared" si="1136"/>
        <v>957.8</v>
      </c>
      <c r="R413" s="527">
        <f t="shared" si="1137"/>
        <v>944.8</v>
      </c>
      <c r="S413" s="255">
        <f t="shared" si="1138"/>
        <v>944.8</v>
      </c>
      <c r="T413" s="93">
        <f t="shared" si="1139"/>
        <v>930.8</v>
      </c>
      <c r="U413" s="234">
        <f t="shared" si="1140"/>
        <v>930.8</v>
      </c>
      <c r="V413" s="93">
        <f t="shared" si="1141"/>
        <v>917.8</v>
      </c>
      <c r="W413" s="234">
        <f t="shared" si="1142"/>
        <v>917.8</v>
      </c>
      <c r="X413" s="475"/>
      <c r="Y413" s="473"/>
      <c r="Z413" s="473"/>
      <c r="AA413" s="475"/>
      <c r="AB413" s="338">
        <v>2272</v>
      </c>
      <c r="AC413" s="62"/>
    </row>
    <row r="414" spans="1:29" ht="12.6" customHeight="1" x14ac:dyDescent="0.2">
      <c r="A414" s="17"/>
      <c r="B414" s="636" t="s">
        <v>222</v>
      </c>
      <c r="C414" s="637"/>
      <c r="D414" s="637"/>
      <c r="E414" s="637"/>
      <c r="F414" s="324">
        <f>0.504*X2</f>
        <v>776.16</v>
      </c>
      <c r="G414" s="256">
        <f>+F414*$X$1</f>
        <v>776.16</v>
      </c>
      <c r="H414" s="250"/>
      <c r="I414" s="250"/>
      <c r="J414" s="536"/>
      <c r="K414" s="536"/>
      <c r="L414" s="536">
        <f t="shared" si="1131"/>
        <v>976.16</v>
      </c>
      <c r="M414" s="256">
        <f t="shared" si="1132"/>
        <v>976.16</v>
      </c>
      <c r="N414" s="536">
        <f t="shared" si="1133"/>
        <v>896.16</v>
      </c>
      <c r="O414" s="256">
        <f t="shared" si="1134"/>
        <v>896.16</v>
      </c>
      <c r="P414" s="536">
        <f t="shared" si="1135"/>
        <v>856.16</v>
      </c>
      <c r="Q414" s="256">
        <f t="shared" si="1136"/>
        <v>856.16</v>
      </c>
      <c r="R414" s="536">
        <f t="shared" si="1137"/>
        <v>843.16</v>
      </c>
      <c r="S414" s="256">
        <f t="shared" si="1138"/>
        <v>843.16</v>
      </c>
      <c r="T414" s="92">
        <f t="shared" si="1139"/>
        <v>829.16</v>
      </c>
      <c r="U414" s="269">
        <f t="shared" si="1140"/>
        <v>829.16</v>
      </c>
      <c r="V414" s="92">
        <f t="shared" si="1141"/>
        <v>816.16</v>
      </c>
      <c r="W414" s="269">
        <f t="shared" si="1142"/>
        <v>816.16</v>
      </c>
      <c r="X414" s="162"/>
      <c r="Y414" s="164"/>
      <c r="Z414" s="164"/>
      <c r="AA414" s="162"/>
      <c r="AB414" s="338">
        <v>2275</v>
      </c>
      <c r="AC414" s="62"/>
    </row>
    <row r="415" spans="1:29" ht="12.6" customHeight="1" x14ac:dyDescent="0.2">
      <c r="A415" s="17"/>
      <c r="B415" s="634" t="s">
        <v>904</v>
      </c>
      <c r="C415" s="635"/>
      <c r="D415" s="635"/>
      <c r="E415" s="635"/>
      <c r="F415" s="323">
        <f>0.53*X2</f>
        <v>816.2</v>
      </c>
      <c r="G415" s="255">
        <f t="shared" ref="G415" si="1158">+F415*$X$1</f>
        <v>816.2</v>
      </c>
      <c r="H415" s="251"/>
      <c r="I415" s="251"/>
      <c r="J415" s="527"/>
      <c r="K415" s="527"/>
      <c r="L415" s="527">
        <f t="shared" si="1131"/>
        <v>1016.2</v>
      </c>
      <c r="M415" s="255">
        <f t="shared" si="1132"/>
        <v>1016.2</v>
      </c>
      <c r="N415" s="527">
        <f t="shared" si="1133"/>
        <v>936.2</v>
      </c>
      <c r="O415" s="255">
        <f t="shared" si="1134"/>
        <v>936.2</v>
      </c>
      <c r="P415" s="527">
        <f t="shared" si="1135"/>
        <v>896.2</v>
      </c>
      <c r="Q415" s="255">
        <f t="shared" si="1136"/>
        <v>896.2</v>
      </c>
      <c r="R415" s="527">
        <f t="shared" si="1137"/>
        <v>883.2</v>
      </c>
      <c r="S415" s="255">
        <f t="shared" si="1138"/>
        <v>883.2</v>
      </c>
      <c r="T415" s="93">
        <f t="shared" si="1139"/>
        <v>869.2</v>
      </c>
      <c r="U415" s="234">
        <f t="shared" si="1140"/>
        <v>869.2</v>
      </c>
      <c r="V415" s="93">
        <f t="shared" si="1141"/>
        <v>856.2</v>
      </c>
      <c r="W415" s="234">
        <f t="shared" si="1142"/>
        <v>856.2</v>
      </c>
      <c r="X415" s="208"/>
      <c r="Y415" s="209"/>
      <c r="Z415" s="209"/>
      <c r="AA415" s="208"/>
      <c r="AB415" s="338">
        <v>2279</v>
      </c>
      <c r="AC415" s="62"/>
    </row>
    <row r="416" spans="1:29" ht="12.6" customHeight="1" x14ac:dyDescent="0.2">
      <c r="A416" s="17"/>
      <c r="B416" s="645" t="s">
        <v>905</v>
      </c>
      <c r="C416" s="646"/>
      <c r="D416" s="646"/>
      <c r="E416" s="646"/>
      <c r="F416" s="324">
        <f>0.53*X2</f>
        <v>816.2</v>
      </c>
      <c r="G416" s="256">
        <f t="shared" ref="G416" si="1159">+F416*$X$1</f>
        <v>816.2</v>
      </c>
      <c r="H416" s="250"/>
      <c r="I416" s="250"/>
      <c r="J416" s="536"/>
      <c r="K416" s="536"/>
      <c r="L416" s="536">
        <f t="shared" si="1131"/>
        <v>1016.2</v>
      </c>
      <c r="M416" s="256">
        <f t="shared" si="1132"/>
        <v>1016.2</v>
      </c>
      <c r="N416" s="536">
        <f t="shared" si="1133"/>
        <v>936.2</v>
      </c>
      <c r="O416" s="256">
        <f t="shared" si="1134"/>
        <v>936.2</v>
      </c>
      <c r="P416" s="536">
        <f t="shared" si="1135"/>
        <v>896.2</v>
      </c>
      <c r="Q416" s="256">
        <f t="shared" si="1136"/>
        <v>896.2</v>
      </c>
      <c r="R416" s="536">
        <f t="shared" si="1137"/>
        <v>883.2</v>
      </c>
      <c r="S416" s="256">
        <f t="shared" si="1138"/>
        <v>883.2</v>
      </c>
      <c r="T416" s="92">
        <f t="shared" si="1139"/>
        <v>869.2</v>
      </c>
      <c r="U416" s="269">
        <f t="shared" si="1140"/>
        <v>869.2</v>
      </c>
      <c r="V416" s="92">
        <f t="shared" si="1141"/>
        <v>856.2</v>
      </c>
      <c r="W416" s="269">
        <f t="shared" si="1142"/>
        <v>856.2</v>
      </c>
      <c r="X416" s="528"/>
      <c r="Y416" s="529"/>
      <c r="Z416" s="529"/>
      <c r="AA416" s="528"/>
      <c r="AB416" s="338" t="s">
        <v>898</v>
      </c>
      <c r="AC416" s="62"/>
    </row>
    <row r="417" spans="1:29" ht="12.6" customHeight="1" x14ac:dyDescent="0.2">
      <c r="A417" s="17"/>
      <c r="B417" s="634" t="s">
        <v>223</v>
      </c>
      <c r="C417" s="635"/>
      <c r="D417" s="635"/>
      <c r="E417" s="635"/>
      <c r="F417" s="323">
        <f>0.429*X2</f>
        <v>660.66</v>
      </c>
      <c r="G417" s="255">
        <f>+F417*$X$1</f>
        <v>660.66</v>
      </c>
      <c r="H417" s="251"/>
      <c r="I417" s="251"/>
      <c r="J417" s="527"/>
      <c r="K417" s="527"/>
      <c r="L417" s="527">
        <f t="shared" si="1131"/>
        <v>860.66</v>
      </c>
      <c r="M417" s="255">
        <f t="shared" si="1132"/>
        <v>860.66</v>
      </c>
      <c r="N417" s="527">
        <f t="shared" si="1133"/>
        <v>780.66</v>
      </c>
      <c r="O417" s="255">
        <f t="shared" si="1134"/>
        <v>780.66</v>
      </c>
      <c r="P417" s="527">
        <f t="shared" si="1135"/>
        <v>740.66</v>
      </c>
      <c r="Q417" s="255">
        <f t="shared" si="1136"/>
        <v>740.66</v>
      </c>
      <c r="R417" s="527">
        <f t="shared" si="1137"/>
        <v>727.66</v>
      </c>
      <c r="S417" s="255">
        <f t="shared" si="1138"/>
        <v>727.66</v>
      </c>
      <c r="T417" s="93">
        <f t="shared" si="1139"/>
        <v>713.66</v>
      </c>
      <c r="U417" s="234">
        <f t="shared" si="1140"/>
        <v>713.66</v>
      </c>
      <c r="V417" s="93">
        <f t="shared" si="1141"/>
        <v>700.66</v>
      </c>
      <c r="W417" s="234">
        <f t="shared" si="1142"/>
        <v>700.66</v>
      </c>
      <c r="X417" s="162"/>
      <c r="Y417" s="164"/>
      <c r="Z417" s="164"/>
      <c r="AA417" s="162"/>
      <c r="AB417" s="338">
        <v>2280</v>
      </c>
      <c r="AC417" s="62"/>
    </row>
    <row r="418" spans="1:29" ht="12.6" customHeight="1" x14ac:dyDescent="0.2">
      <c r="A418" s="17"/>
      <c r="B418" s="636" t="s">
        <v>431</v>
      </c>
      <c r="C418" s="637"/>
      <c r="D418" s="637"/>
      <c r="E418" s="637"/>
      <c r="F418" s="324">
        <f>0.354*X2</f>
        <v>545.16</v>
      </c>
      <c r="G418" s="256">
        <f t="shared" ref="G418" si="1160">+F418*$X$1</f>
        <v>545.16</v>
      </c>
      <c r="H418" s="250"/>
      <c r="I418" s="250"/>
      <c r="J418" s="536"/>
      <c r="K418" s="536"/>
      <c r="L418" s="536">
        <f t="shared" si="1131"/>
        <v>745.16</v>
      </c>
      <c r="M418" s="256">
        <f t="shared" si="1132"/>
        <v>745.16</v>
      </c>
      <c r="N418" s="536">
        <f t="shared" si="1133"/>
        <v>665.16</v>
      </c>
      <c r="O418" s="256">
        <f t="shared" si="1134"/>
        <v>665.16</v>
      </c>
      <c r="P418" s="536">
        <f t="shared" si="1135"/>
        <v>625.16</v>
      </c>
      <c r="Q418" s="256">
        <f t="shared" si="1136"/>
        <v>625.16</v>
      </c>
      <c r="R418" s="536">
        <f t="shared" si="1137"/>
        <v>612.16</v>
      </c>
      <c r="S418" s="256">
        <f t="shared" si="1138"/>
        <v>612.16</v>
      </c>
      <c r="T418" s="92">
        <f t="shared" si="1139"/>
        <v>598.16</v>
      </c>
      <c r="U418" s="269">
        <f t="shared" si="1140"/>
        <v>598.16</v>
      </c>
      <c r="V418" s="92">
        <f t="shared" si="1141"/>
        <v>585.16</v>
      </c>
      <c r="W418" s="269">
        <f t="shared" si="1142"/>
        <v>585.16</v>
      </c>
      <c r="X418" s="162"/>
      <c r="Y418" s="164"/>
      <c r="Z418" s="164"/>
      <c r="AA418" s="162"/>
      <c r="AB418" s="338">
        <v>2281</v>
      </c>
      <c r="AC418" s="62"/>
    </row>
    <row r="419" spans="1:29" ht="12.6" customHeight="1" x14ac:dyDescent="0.2">
      <c r="A419" s="17"/>
      <c r="B419" s="683" t="s">
        <v>776</v>
      </c>
      <c r="C419" s="763"/>
      <c r="D419" s="763"/>
      <c r="E419" s="764"/>
      <c r="F419" s="326">
        <f>0.51*X2</f>
        <v>785.4</v>
      </c>
      <c r="G419" s="255">
        <f t="shared" ref="G419" si="1161">+F419*$X$1</f>
        <v>785.4</v>
      </c>
      <c r="H419" s="251"/>
      <c r="I419" s="302"/>
      <c r="J419" s="527"/>
      <c r="K419" s="255"/>
      <c r="L419" s="527">
        <f t="shared" si="1131"/>
        <v>985.4</v>
      </c>
      <c r="M419" s="255">
        <f t="shared" si="1132"/>
        <v>985.4</v>
      </c>
      <c r="N419" s="527">
        <f t="shared" si="1133"/>
        <v>905.4</v>
      </c>
      <c r="O419" s="255">
        <f t="shared" si="1134"/>
        <v>905.4</v>
      </c>
      <c r="P419" s="527">
        <f t="shared" si="1135"/>
        <v>865.4</v>
      </c>
      <c r="Q419" s="255">
        <f t="shared" si="1136"/>
        <v>865.4</v>
      </c>
      <c r="R419" s="527">
        <f t="shared" si="1137"/>
        <v>852.4</v>
      </c>
      <c r="S419" s="255">
        <f t="shared" si="1138"/>
        <v>852.4</v>
      </c>
      <c r="T419" s="93">
        <f t="shared" si="1139"/>
        <v>838.4</v>
      </c>
      <c r="U419" s="234">
        <f t="shared" si="1140"/>
        <v>838.4</v>
      </c>
      <c r="V419" s="93">
        <f t="shared" si="1141"/>
        <v>825.4</v>
      </c>
      <c r="W419" s="234">
        <f t="shared" si="1142"/>
        <v>825.4</v>
      </c>
      <c r="X419" s="119"/>
      <c r="Y419" s="119"/>
      <c r="Z419" s="119"/>
      <c r="AA419" s="119"/>
      <c r="AB419" s="338">
        <v>2282</v>
      </c>
    </row>
    <row r="420" spans="1:29" ht="12.6" customHeight="1" x14ac:dyDescent="0.2">
      <c r="A420" s="17"/>
      <c r="B420" s="642" t="s">
        <v>775</v>
      </c>
      <c r="C420" s="766"/>
      <c r="D420" s="766"/>
      <c r="E420" s="767"/>
      <c r="F420" s="325">
        <f>0.471*X2</f>
        <v>725.33999999999992</v>
      </c>
      <c r="G420" s="256">
        <f>+F420*$X$1</f>
        <v>725.33999999999992</v>
      </c>
      <c r="H420" s="250"/>
      <c r="I420" s="303"/>
      <c r="J420" s="536"/>
      <c r="K420" s="256"/>
      <c r="L420" s="536">
        <f t="shared" si="1131"/>
        <v>925.33999999999992</v>
      </c>
      <c r="M420" s="256">
        <f t="shared" si="1132"/>
        <v>925.33999999999992</v>
      </c>
      <c r="N420" s="536">
        <f t="shared" si="1133"/>
        <v>845.33999999999992</v>
      </c>
      <c r="O420" s="256">
        <f t="shared" si="1134"/>
        <v>845.33999999999992</v>
      </c>
      <c r="P420" s="536">
        <f t="shared" si="1135"/>
        <v>805.33999999999992</v>
      </c>
      <c r="Q420" s="256">
        <f t="shared" si="1136"/>
        <v>805.33999999999992</v>
      </c>
      <c r="R420" s="536">
        <f t="shared" si="1137"/>
        <v>792.33999999999992</v>
      </c>
      <c r="S420" s="256">
        <f t="shared" si="1138"/>
        <v>792.33999999999992</v>
      </c>
      <c r="T420" s="92">
        <f t="shared" si="1139"/>
        <v>778.33999999999992</v>
      </c>
      <c r="U420" s="269">
        <f t="shared" si="1140"/>
        <v>778.33999999999992</v>
      </c>
      <c r="V420" s="92">
        <f t="shared" si="1141"/>
        <v>765.33999999999992</v>
      </c>
      <c r="W420" s="269">
        <f t="shared" si="1142"/>
        <v>765.33999999999992</v>
      </c>
      <c r="X420" s="119"/>
      <c r="Y420" s="119"/>
      <c r="Z420" s="119"/>
      <c r="AA420" s="119"/>
      <c r="AB420" s="338">
        <v>2283</v>
      </c>
    </row>
    <row r="421" spans="1:29" ht="12.6" customHeight="1" x14ac:dyDescent="0.2">
      <c r="A421" s="17"/>
      <c r="B421" s="634" t="s">
        <v>302</v>
      </c>
      <c r="C421" s="635"/>
      <c r="D421" s="635"/>
      <c r="E421" s="635"/>
      <c r="F421" s="323">
        <f>0.569*X2</f>
        <v>876.25999999999988</v>
      </c>
      <c r="G421" s="255">
        <f>+F421*$X$1</f>
        <v>876.25999999999988</v>
      </c>
      <c r="H421" s="251"/>
      <c r="I421" s="251"/>
      <c r="J421" s="527"/>
      <c r="K421" s="527"/>
      <c r="L421" s="527">
        <f t="shared" si="1131"/>
        <v>1076.2599999999998</v>
      </c>
      <c r="M421" s="255">
        <f t="shared" si="1132"/>
        <v>1076.2599999999998</v>
      </c>
      <c r="N421" s="527">
        <f t="shared" si="1133"/>
        <v>996.25999999999988</v>
      </c>
      <c r="O421" s="255">
        <f t="shared" si="1134"/>
        <v>996.25999999999988</v>
      </c>
      <c r="P421" s="527">
        <f t="shared" si="1135"/>
        <v>956.25999999999988</v>
      </c>
      <c r="Q421" s="255">
        <f t="shared" si="1136"/>
        <v>956.25999999999988</v>
      </c>
      <c r="R421" s="527">
        <f t="shared" si="1137"/>
        <v>943.25999999999988</v>
      </c>
      <c r="S421" s="255">
        <f t="shared" si="1138"/>
        <v>943.25999999999988</v>
      </c>
      <c r="T421" s="93">
        <f t="shared" si="1139"/>
        <v>929.25999999999988</v>
      </c>
      <c r="U421" s="234">
        <f t="shared" si="1140"/>
        <v>929.25999999999988</v>
      </c>
      <c r="V421" s="93">
        <f t="shared" si="1141"/>
        <v>916.25999999999988</v>
      </c>
      <c r="W421" s="234">
        <f t="shared" si="1142"/>
        <v>916.25999999999988</v>
      </c>
      <c r="X421" s="173"/>
      <c r="Y421" s="172"/>
      <c r="Z421" s="172"/>
      <c r="AA421" s="173"/>
      <c r="AB421" s="338">
        <v>2285</v>
      </c>
      <c r="AC421" s="62"/>
    </row>
    <row r="422" spans="1:29" ht="12.6" customHeight="1" x14ac:dyDescent="0.2">
      <c r="A422" s="17"/>
      <c r="B422" s="636" t="s">
        <v>303</v>
      </c>
      <c r="C422" s="637"/>
      <c r="D422" s="637"/>
      <c r="E422" s="637"/>
      <c r="F422" s="324">
        <f>0.299*X2</f>
        <v>460.46</v>
      </c>
      <c r="G422" s="256">
        <f>+F422*$X$1</f>
        <v>460.46</v>
      </c>
      <c r="H422" s="250"/>
      <c r="I422" s="250"/>
      <c r="J422" s="536"/>
      <c r="K422" s="536"/>
      <c r="L422" s="536">
        <f t="shared" si="1131"/>
        <v>660.46</v>
      </c>
      <c r="M422" s="256">
        <f t="shared" si="1132"/>
        <v>660.46</v>
      </c>
      <c r="N422" s="536">
        <f t="shared" si="1133"/>
        <v>580.46</v>
      </c>
      <c r="O422" s="256">
        <f t="shared" si="1134"/>
        <v>580.46</v>
      </c>
      <c r="P422" s="536">
        <f t="shared" si="1135"/>
        <v>540.46</v>
      </c>
      <c r="Q422" s="256">
        <f t="shared" si="1136"/>
        <v>540.46</v>
      </c>
      <c r="R422" s="536">
        <f t="shared" si="1137"/>
        <v>527.46</v>
      </c>
      <c r="S422" s="256">
        <f t="shared" si="1138"/>
        <v>527.46</v>
      </c>
      <c r="T422" s="92">
        <f t="shared" si="1139"/>
        <v>513.46</v>
      </c>
      <c r="U422" s="269">
        <f t="shared" si="1140"/>
        <v>513.46</v>
      </c>
      <c r="V422" s="92">
        <f t="shared" si="1141"/>
        <v>500.46</v>
      </c>
      <c r="W422" s="269">
        <f t="shared" si="1142"/>
        <v>500.46</v>
      </c>
      <c r="X422" s="174"/>
      <c r="Y422" s="175"/>
      <c r="Z422" s="175"/>
      <c r="AA422" s="174"/>
      <c r="AB422" s="338">
        <v>2286</v>
      </c>
      <c r="AC422" s="62"/>
    </row>
    <row r="423" spans="1:29" ht="12.6" customHeight="1" x14ac:dyDescent="0.2">
      <c r="A423" s="17"/>
      <c r="B423" s="1167" t="s">
        <v>337</v>
      </c>
      <c r="C423" s="1168"/>
      <c r="D423" s="1168"/>
      <c r="E423" s="1168"/>
      <c r="F423" s="326">
        <f>0.45*X2</f>
        <v>693</v>
      </c>
      <c r="G423" s="270">
        <f t="shared" ref="G423:G425" si="1162">+F423*$X$1</f>
        <v>693</v>
      </c>
      <c r="H423" s="407"/>
      <c r="I423" s="407"/>
      <c r="J423" s="93"/>
      <c r="K423" s="93"/>
      <c r="L423" s="527">
        <f t="shared" si="1131"/>
        <v>893</v>
      </c>
      <c r="M423" s="255">
        <f t="shared" si="1132"/>
        <v>893</v>
      </c>
      <c r="N423" s="527">
        <f t="shared" si="1133"/>
        <v>813</v>
      </c>
      <c r="O423" s="255">
        <f t="shared" si="1134"/>
        <v>813</v>
      </c>
      <c r="P423" s="527">
        <f t="shared" si="1135"/>
        <v>773</v>
      </c>
      <c r="Q423" s="255">
        <f t="shared" si="1136"/>
        <v>773</v>
      </c>
      <c r="R423" s="527">
        <f t="shared" si="1137"/>
        <v>760</v>
      </c>
      <c r="S423" s="255">
        <f t="shared" si="1138"/>
        <v>760</v>
      </c>
      <c r="T423" s="93">
        <f t="shared" si="1139"/>
        <v>746</v>
      </c>
      <c r="U423" s="234">
        <f t="shared" si="1140"/>
        <v>746</v>
      </c>
      <c r="V423" s="93">
        <f t="shared" si="1141"/>
        <v>733</v>
      </c>
      <c r="W423" s="234">
        <f t="shared" si="1142"/>
        <v>733</v>
      </c>
      <c r="X423" s="203"/>
      <c r="Y423" s="202"/>
      <c r="Z423" s="202"/>
      <c r="AA423" s="203"/>
      <c r="AB423" s="338">
        <v>2287</v>
      </c>
      <c r="AC423" s="62"/>
    </row>
    <row r="424" spans="1:29" ht="12.6" customHeight="1" x14ac:dyDescent="0.2">
      <c r="A424" s="17"/>
      <c r="B424" s="1180" t="s">
        <v>346</v>
      </c>
      <c r="C424" s="1181"/>
      <c r="D424" s="1181"/>
      <c r="E424" s="1182"/>
      <c r="F424" s="324">
        <f>0.7*X2</f>
        <v>1078</v>
      </c>
      <c r="G424" s="256">
        <f t="shared" si="1162"/>
        <v>1078</v>
      </c>
      <c r="H424" s="250"/>
      <c r="I424" s="250"/>
      <c r="J424" s="536"/>
      <c r="K424" s="536"/>
      <c r="L424" s="536">
        <f t="shared" si="1131"/>
        <v>1278</v>
      </c>
      <c r="M424" s="256">
        <f t="shared" si="1132"/>
        <v>1278</v>
      </c>
      <c r="N424" s="536">
        <f t="shared" si="1133"/>
        <v>1198</v>
      </c>
      <c r="O424" s="256">
        <f t="shared" si="1134"/>
        <v>1198</v>
      </c>
      <c r="P424" s="536">
        <f t="shared" si="1135"/>
        <v>1158</v>
      </c>
      <c r="Q424" s="256">
        <f t="shared" si="1136"/>
        <v>1158</v>
      </c>
      <c r="R424" s="536">
        <f t="shared" si="1137"/>
        <v>1145</v>
      </c>
      <c r="S424" s="256">
        <f t="shared" si="1138"/>
        <v>1145</v>
      </c>
      <c r="T424" s="92">
        <f t="shared" si="1139"/>
        <v>1131</v>
      </c>
      <c r="U424" s="269">
        <f t="shared" si="1140"/>
        <v>1131</v>
      </c>
      <c r="V424" s="92">
        <f t="shared" si="1141"/>
        <v>1118</v>
      </c>
      <c r="W424" s="269">
        <f t="shared" si="1142"/>
        <v>1118</v>
      </c>
      <c r="X424" s="204"/>
      <c r="Y424" s="205"/>
      <c r="Z424" s="205"/>
      <c r="AA424" s="204"/>
      <c r="AB424" s="338">
        <v>2289</v>
      </c>
      <c r="AC424" s="62"/>
    </row>
    <row r="425" spans="1:29" ht="12.6" customHeight="1" x14ac:dyDescent="0.2">
      <c r="A425" s="17"/>
      <c r="B425" s="710" t="s">
        <v>621</v>
      </c>
      <c r="C425" s="711"/>
      <c r="D425" s="711"/>
      <c r="E425" s="712"/>
      <c r="F425" s="326">
        <f>0.725*X2</f>
        <v>1116.5</v>
      </c>
      <c r="G425" s="255">
        <f t="shared" si="1162"/>
        <v>1116.5</v>
      </c>
      <c r="H425" s="251"/>
      <c r="I425" s="251"/>
      <c r="J425" s="527"/>
      <c r="K425" s="527"/>
      <c r="L425" s="527">
        <f t="shared" si="1131"/>
        <v>1316.5</v>
      </c>
      <c r="M425" s="255">
        <f t="shared" si="1132"/>
        <v>1316.5</v>
      </c>
      <c r="N425" s="527">
        <f t="shared" si="1133"/>
        <v>1236.5</v>
      </c>
      <c r="O425" s="255">
        <f t="shared" si="1134"/>
        <v>1236.5</v>
      </c>
      <c r="P425" s="527">
        <f t="shared" si="1135"/>
        <v>1196.5</v>
      </c>
      <c r="Q425" s="255">
        <f t="shared" si="1136"/>
        <v>1196.5</v>
      </c>
      <c r="R425" s="527">
        <f t="shared" si="1137"/>
        <v>1183.5</v>
      </c>
      <c r="S425" s="255">
        <f t="shared" si="1138"/>
        <v>1183.5</v>
      </c>
      <c r="T425" s="93">
        <f t="shared" si="1139"/>
        <v>1169.5</v>
      </c>
      <c r="U425" s="234">
        <f t="shared" si="1140"/>
        <v>1169.5</v>
      </c>
      <c r="V425" s="93">
        <f t="shared" si="1141"/>
        <v>1156.5</v>
      </c>
      <c r="W425" s="234">
        <f t="shared" si="1142"/>
        <v>1156.5</v>
      </c>
      <c r="X425" s="373"/>
      <c r="Y425" s="374"/>
      <c r="Z425" s="374"/>
      <c r="AA425" s="373"/>
      <c r="AB425" s="338">
        <v>2290</v>
      </c>
      <c r="AC425" s="62"/>
    </row>
    <row r="426" spans="1:29" ht="12.6" customHeight="1" x14ac:dyDescent="0.2">
      <c r="A426" s="17"/>
      <c r="B426" s="719" t="s">
        <v>430</v>
      </c>
      <c r="C426" s="720"/>
      <c r="D426" s="720"/>
      <c r="E426" s="721"/>
      <c r="F426" s="325">
        <f>0.377*X2</f>
        <v>580.58000000000004</v>
      </c>
      <c r="G426" s="256">
        <f t="shared" ref="G426" si="1163">+F426*$X$1</f>
        <v>580.58000000000004</v>
      </c>
      <c r="H426" s="250"/>
      <c r="I426" s="250"/>
      <c r="J426" s="536"/>
      <c r="K426" s="536"/>
      <c r="L426" s="536">
        <f t="shared" si="1131"/>
        <v>780.58</v>
      </c>
      <c r="M426" s="256">
        <f t="shared" si="1132"/>
        <v>780.58</v>
      </c>
      <c r="N426" s="536">
        <f t="shared" si="1133"/>
        <v>700.58</v>
      </c>
      <c r="O426" s="256">
        <f t="shared" si="1134"/>
        <v>700.58</v>
      </c>
      <c r="P426" s="536">
        <f t="shared" si="1135"/>
        <v>660.58</v>
      </c>
      <c r="Q426" s="256">
        <f t="shared" si="1136"/>
        <v>660.58</v>
      </c>
      <c r="R426" s="536">
        <f t="shared" si="1137"/>
        <v>647.58000000000004</v>
      </c>
      <c r="S426" s="256">
        <f t="shared" si="1138"/>
        <v>647.58000000000004</v>
      </c>
      <c r="T426" s="92">
        <f t="shared" si="1139"/>
        <v>633.58000000000004</v>
      </c>
      <c r="U426" s="269">
        <f t="shared" si="1140"/>
        <v>633.58000000000004</v>
      </c>
      <c r="V426" s="92">
        <f t="shared" si="1141"/>
        <v>620.58000000000004</v>
      </c>
      <c r="W426" s="269">
        <f t="shared" si="1142"/>
        <v>620.58000000000004</v>
      </c>
      <c r="X426" s="227"/>
      <c r="Y426" s="231"/>
      <c r="Z426" s="231"/>
      <c r="AA426" s="227"/>
      <c r="AB426" s="338">
        <v>2291</v>
      </c>
      <c r="AC426" s="62"/>
    </row>
    <row r="427" spans="1:29" ht="12.6" customHeight="1" x14ac:dyDescent="0.2">
      <c r="A427" s="17"/>
      <c r="B427" s="710" t="s">
        <v>557</v>
      </c>
      <c r="C427" s="711"/>
      <c r="D427" s="711"/>
      <c r="E427" s="712"/>
      <c r="F427" s="326">
        <f>0.22*X2</f>
        <v>338.8</v>
      </c>
      <c r="G427" s="255">
        <f t="shared" ref="G427" si="1164">+F427*$X$1</f>
        <v>338.8</v>
      </c>
      <c r="H427" s="251"/>
      <c r="I427" s="251"/>
      <c r="J427" s="527"/>
      <c r="K427" s="527"/>
      <c r="L427" s="527"/>
      <c r="M427" s="255"/>
      <c r="N427" s="527">
        <f t="shared" ref="N427:N429" si="1165">F427+120</f>
        <v>458.8</v>
      </c>
      <c r="O427" s="255">
        <f t="shared" ref="O427:O429" si="1166">+N427*$X$1</f>
        <v>458.8</v>
      </c>
      <c r="P427" s="527">
        <f t="shared" ref="P427:P429" si="1167">F427+80</f>
        <v>418.8</v>
      </c>
      <c r="Q427" s="255">
        <f t="shared" ref="Q427:Q429" si="1168">+P427*$X$1</f>
        <v>418.8</v>
      </c>
      <c r="R427" s="527">
        <f t="shared" ref="R427:R428" si="1169">F427+67</f>
        <v>405.8</v>
      </c>
      <c r="S427" s="255">
        <f t="shared" ref="S427:S428" si="1170">+R427*$X$1</f>
        <v>405.8</v>
      </c>
      <c r="T427" s="93">
        <f t="shared" ref="T427:T428" si="1171">F427+53</f>
        <v>391.8</v>
      </c>
      <c r="U427" s="234">
        <f t="shared" ref="U427:U428" si="1172">+T427*$X$1</f>
        <v>391.8</v>
      </c>
      <c r="V427" s="93">
        <f t="shared" ref="V427:V428" si="1173">F427+40</f>
        <v>378.8</v>
      </c>
      <c r="W427" s="234">
        <f t="shared" ref="W427:W428" si="1174">+V427*$X$1</f>
        <v>378.8</v>
      </c>
      <c r="X427" s="232"/>
      <c r="Y427" s="233"/>
      <c r="Z427" s="233"/>
      <c r="AA427" s="232"/>
      <c r="AB427" s="338">
        <v>2292</v>
      </c>
      <c r="AC427" s="62"/>
    </row>
    <row r="428" spans="1:29" ht="12.6" customHeight="1" x14ac:dyDescent="0.2">
      <c r="A428" s="17"/>
      <c r="B428" s="719" t="s">
        <v>448</v>
      </c>
      <c r="C428" s="720"/>
      <c r="D428" s="720"/>
      <c r="E428" s="721"/>
      <c r="F428" s="325">
        <f>0.63*X2</f>
        <v>970.2</v>
      </c>
      <c r="G428" s="256">
        <f t="shared" ref="G428" si="1175">+F428*$X$1</f>
        <v>970.2</v>
      </c>
      <c r="H428" s="250"/>
      <c r="I428" s="250"/>
      <c r="J428" s="536"/>
      <c r="K428" s="536"/>
      <c r="L428" s="536">
        <f t="shared" ref="L428:L429" si="1176">F428+200</f>
        <v>1170.2</v>
      </c>
      <c r="M428" s="256">
        <f t="shared" ref="M428:M429" si="1177">+L428*$X$1</f>
        <v>1170.2</v>
      </c>
      <c r="N428" s="536">
        <f t="shared" si="1165"/>
        <v>1090.2</v>
      </c>
      <c r="O428" s="256">
        <f t="shared" si="1166"/>
        <v>1090.2</v>
      </c>
      <c r="P428" s="536">
        <f t="shared" si="1167"/>
        <v>1050.2</v>
      </c>
      <c r="Q428" s="256">
        <f t="shared" si="1168"/>
        <v>1050.2</v>
      </c>
      <c r="R428" s="536">
        <f t="shared" si="1169"/>
        <v>1037.2</v>
      </c>
      <c r="S428" s="256">
        <f t="shared" si="1170"/>
        <v>1037.2</v>
      </c>
      <c r="T428" s="92">
        <f t="shared" si="1171"/>
        <v>1023.2</v>
      </c>
      <c r="U428" s="269">
        <f t="shared" si="1172"/>
        <v>1023.2</v>
      </c>
      <c r="V428" s="92">
        <f t="shared" si="1173"/>
        <v>1010.2</v>
      </c>
      <c r="W428" s="269">
        <f t="shared" si="1174"/>
        <v>1010.2</v>
      </c>
      <c r="X428" s="235"/>
      <c r="Y428" s="236"/>
      <c r="Z428" s="236"/>
      <c r="AA428" s="235"/>
      <c r="AB428" s="338">
        <v>2293</v>
      </c>
      <c r="AC428" s="62"/>
    </row>
    <row r="429" spans="1:29" ht="12.6" customHeight="1" x14ac:dyDescent="0.2">
      <c r="A429" s="17"/>
      <c r="B429" s="768" t="s">
        <v>505</v>
      </c>
      <c r="C429" s="769"/>
      <c r="D429" s="769"/>
      <c r="E429" s="770"/>
      <c r="F429" s="579">
        <v>310</v>
      </c>
      <c r="G429" s="451">
        <f t="shared" ref="G429" si="1178">+F429*$X$1</f>
        <v>310</v>
      </c>
      <c r="H429" s="452"/>
      <c r="I429" s="452"/>
      <c r="J429" s="581"/>
      <c r="K429" s="581"/>
      <c r="L429" s="581">
        <f t="shared" si="1176"/>
        <v>510</v>
      </c>
      <c r="M429" s="451">
        <f t="shared" si="1177"/>
        <v>510</v>
      </c>
      <c r="N429" s="581">
        <f t="shared" si="1165"/>
        <v>430</v>
      </c>
      <c r="O429" s="451">
        <f t="shared" si="1166"/>
        <v>430</v>
      </c>
      <c r="P429" s="581">
        <f t="shared" si="1167"/>
        <v>390</v>
      </c>
      <c r="Q429" s="451">
        <f t="shared" si="1168"/>
        <v>390</v>
      </c>
      <c r="R429" s="581"/>
      <c r="S429" s="451"/>
      <c r="T429" s="522"/>
      <c r="U429" s="521"/>
      <c r="V429" s="522"/>
      <c r="W429" s="521"/>
      <c r="X429" s="288"/>
      <c r="Y429" s="289"/>
      <c r="Z429" s="289"/>
      <c r="AA429" s="288"/>
      <c r="AB429" s="338">
        <v>2294</v>
      </c>
      <c r="AC429" s="62"/>
    </row>
    <row r="430" spans="1:29" ht="12.6" customHeight="1" x14ac:dyDescent="0.2">
      <c r="A430" s="17"/>
      <c r="B430" s="719" t="s">
        <v>389</v>
      </c>
      <c r="C430" s="720"/>
      <c r="D430" s="720"/>
      <c r="E430" s="721"/>
      <c r="F430" s="325">
        <f>0.392*X2</f>
        <v>603.68000000000006</v>
      </c>
      <c r="G430" s="256">
        <f t="shared" ref="G430" si="1179">+F430*$X$1</f>
        <v>603.68000000000006</v>
      </c>
      <c r="H430" s="250"/>
      <c r="I430" s="250"/>
      <c r="J430" s="536"/>
      <c r="K430" s="536"/>
      <c r="L430" s="536">
        <f t="shared" ref="L430" si="1180">F430+200</f>
        <v>803.68000000000006</v>
      </c>
      <c r="M430" s="256">
        <f t="shared" ref="M430:M437" si="1181">+L430*$X$1</f>
        <v>803.68000000000006</v>
      </c>
      <c r="N430" s="536">
        <f t="shared" ref="N430" si="1182">F430+120</f>
        <v>723.68000000000006</v>
      </c>
      <c r="O430" s="256">
        <f t="shared" ref="O430" si="1183">+N430*$X$1</f>
        <v>723.68000000000006</v>
      </c>
      <c r="P430" s="536">
        <f t="shared" ref="P430" si="1184">F430+80</f>
        <v>683.68000000000006</v>
      </c>
      <c r="Q430" s="256">
        <f t="shared" ref="Q430:Q437" si="1185">+P430*$X$1</f>
        <v>683.68000000000006</v>
      </c>
      <c r="R430" s="536">
        <f t="shared" ref="R430" si="1186">F430+67</f>
        <v>670.68000000000006</v>
      </c>
      <c r="S430" s="256">
        <f t="shared" ref="S430" si="1187">+R430*$X$1</f>
        <v>670.68000000000006</v>
      </c>
      <c r="T430" s="92">
        <f t="shared" ref="T430" si="1188">F430+53</f>
        <v>656.68000000000006</v>
      </c>
      <c r="U430" s="269">
        <f t="shared" ref="U430" si="1189">+T430*$X$1</f>
        <v>656.68000000000006</v>
      </c>
      <c r="V430" s="92">
        <f t="shared" ref="V430" si="1190">F430+40</f>
        <v>643.68000000000006</v>
      </c>
      <c r="W430" s="269">
        <f t="shared" ref="W430" si="1191">+V430*$X$1</f>
        <v>643.68000000000006</v>
      </c>
      <c r="X430" s="206"/>
      <c r="Y430" s="207"/>
      <c r="Z430" s="207"/>
      <c r="AA430" s="206"/>
      <c r="AB430" s="338">
        <v>2295</v>
      </c>
      <c r="AC430" s="62"/>
    </row>
    <row r="431" spans="1:29" ht="12.6" customHeight="1" x14ac:dyDescent="0.2">
      <c r="A431" s="17"/>
      <c r="B431" s="710" t="s">
        <v>348</v>
      </c>
      <c r="C431" s="711"/>
      <c r="D431" s="711"/>
      <c r="E431" s="712"/>
      <c r="F431" s="326">
        <f>0.372*X2</f>
        <v>572.88</v>
      </c>
      <c r="G431" s="255">
        <f t="shared" ref="G431" si="1192">+F431*$X$1</f>
        <v>572.88</v>
      </c>
      <c r="H431" s="251"/>
      <c r="I431" s="251"/>
      <c r="J431" s="527"/>
      <c r="K431" s="527"/>
      <c r="L431" s="527">
        <f t="shared" ref="L431:L432" si="1193">F431+200</f>
        <v>772.88</v>
      </c>
      <c r="M431" s="255">
        <f t="shared" ref="M431:M432" si="1194">+L431*$X$1</f>
        <v>772.88</v>
      </c>
      <c r="N431" s="527">
        <f t="shared" ref="N431:N432" si="1195">F431+120</f>
        <v>692.88</v>
      </c>
      <c r="O431" s="255">
        <f t="shared" ref="O431:O432" si="1196">+N431*$X$1</f>
        <v>692.88</v>
      </c>
      <c r="P431" s="527">
        <f t="shared" ref="P431:P432" si="1197">F431+80</f>
        <v>652.88</v>
      </c>
      <c r="Q431" s="255">
        <f t="shared" ref="Q431:Q432" si="1198">+P431*$X$1</f>
        <v>652.88</v>
      </c>
      <c r="R431" s="527">
        <f t="shared" ref="R431:R432" si="1199">F431+67</f>
        <v>639.88</v>
      </c>
      <c r="S431" s="255">
        <f t="shared" ref="S431:S432" si="1200">+R431*$X$1</f>
        <v>639.88</v>
      </c>
      <c r="T431" s="93">
        <f t="shared" ref="T431:T432" si="1201">F431+53</f>
        <v>625.88</v>
      </c>
      <c r="U431" s="234">
        <f t="shared" ref="U431:U432" si="1202">+T431*$X$1</f>
        <v>625.88</v>
      </c>
      <c r="V431" s="93">
        <f t="shared" ref="V431:V432" si="1203">F431+40</f>
        <v>612.88</v>
      </c>
      <c r="W431" s="234">
        <f t="shared" ref="W431:W432" si="1204">+V431*$X$1</f>
        <v>612.88</v>
      </c>
      <c r="X431" s="206"/>
      <c r="Y431" s="207"/>
      <c r="Z431" s="207"/>
      <c r="AA431" s="206"/>
      <c r="AB431" s="338">
        <v>2296</v>
      </c>
      <c r="AC431" s="62"/>
    </row>
    <row r="432" spans="1:29" ht="12.6" customHeight="1" x14ac:dyDescent="0.2">
      <c r="A432" s="17"/>
      <c r="B432" s="719" t="s">
        <v>487</v>
      </c>
      <c r="C432" s="720"/>
      <c r="D432" s="720"/>
      <c r="E432" s="721"/>
      <c r="F432" s="325">
        <f>0.565*X2</f>
        <v>870.09999999999991</v>
      </c>
      <c r="G432" s="256">
        <f t="shared" ref="G432" si="1205">+F432*$X$1</f>
        <v>870.09999999999991</v>
      </c>
      <c r="H432" s="250"/>
      <c r="I432" s="250"/>
      <c r="J432" s="536"/>
      <c r="K432" s="256"/>
      <c r="L432" s="536">
        <f t="shared" si="1193"/>
        <v>1070.0999999999999</v>
      </c>
      <c r="M432" s="256">
        <f t="shared" si="1194"/>
        <v>1070.0999999999999</v>
      </c>
      <c r="N432" s="536">
        <f t="shared" si="1195"/>
        <v>990.09999999999991</v>
      </c>
      <c r="O432" s="256">
        <f t="shared" si="1196"/>
        <v>990.09999999999991</v>
      </c>
      <c r="P432" s="536">
        <f t="shared" si="1197"/>
        <v>950.09999999999991</v>
      </c>
      <c r="Q432" s="256">
        <f t="shared" si="1198"/>
        <v>950.09999999999991</v>
      </c>
      <c r="R432" s="536">
        <f t="shared" si="1199"/>
        <v>937.09999999999991</v>
      </c>
      <c r="S432" s="256">
        <f t="shared" si="1200"/>
        <v>937.09999999999991</v>
      </c>
      <c r="T432" s="92">
        <f t="shared" si="1201"/>
        <v>923.09999999999991</v>
      </c>
      <c r="U432" s="269">
        <f t="shared" si="1202"/>
        <v>923.09999999999991</v>
      </c>
      <c r="V432" s="92">
        <f t="shared" si="1203"/>
        <v>910.09999999999991</v>
      </c>
      <c r="W432" s="269">
        <f t="shared" si="1204"/>
        <v>910.09999999999991</v>
      </c>
      <c r="X432" s="277"/>
      <c r="Y432" s="278"/>
      <c r="Z432" s="278"/>
      <c r="AA432" s="277"/>
      <c r="AB432" s="338">
        <v>2299</v>
      </c>
      <c r="AC432" s="62"/>
    </row>
    <row r="433" spans="1:29" ht="12.6" customHeight="1" x14ac:dyDescent="0.2">
      <c r="A433" s="17"/>
      <c r="B433" s="683" t="s">
        <v>784</v>
      </c>
      <c r="C433" s="703"/>
      <c r="D433" s="703"/>
      <c r="E433" s="704"/>
      <c r="F433" s="323">
        <f>1.14*X2</f>
        <v>1755.6</v>
      </c>
      <c r="G433" s="255">
        <f>+F433*$X$1</f>
        <v>1755.6</v>
      </c>
      <c r="H433" s="527">
        <f t="shared" ref="H433:H436" si="1206">F433+600</f>
        <v>2355.6</v>
      </c>
      <c r="I433" s="255">
        <f t="shared" ref="I433:I437" si="1207">+H433*$X$1</f>
        <v>2355.6</v>
      </c>
      <c r="J433" s="527">
        <f t="shared" ref="J433:J436" si="1208">F433+200</f>
        <v>1955.6</v>
      </c>
      <c r="K433" s="255">
        <f t="shared" ref="K433:K437" si="1209">+J433*$X$1</f>
        <v>1955.6</v>
      </c>
      <c r="L433" s="527">
        <f>F433+150</f>
        <v>1905.6</v>
      </c>
      <c r="M433" s="255">
        <f t="shared" si="1181"/>
        <v>1905.6</v>
      </c>
      <c r="N433" s="527">
        <f>F433+110</f>
        <v>1865.6</v>
      </c>
      <c r="O433" s="255">
        <f>+N433*$X$1</f>
        <v>1865.6</v>
      </c>
      <c r="P433" s="527">
        <f>F433+90</f>
        <v>1845.6</v>
      </c>
      <c r="Q433" s="255">
        <f t="shared" si="1185"/>
        <v>1845.6</v>
      </c>
      <c r="R433" s="527">
        <f>F433+70</f>
        <v>1825.6</v>
      </c>
      <c r="S433" s="255">
        <f>+R433*$X$1</f>
        <v>1825.6</v>
      </c>
      <c r="T433" s="527">
        <f>F433+56</f>
        <v>1811.6</v>
      </c>
      <c r="U433" s="255">
        <f t="shared" ref="U433:U437" si="1210">+T433*$X$1</f>
        <v>1811.6</v>
      </c>
      <c r="V433" s="527">
        <f>F433+49</f>
        <v>1804.6</v>
      </c>
      <c r="W433" s="255">
        <f t="shared" ref="W433:W437" si="1211">+V433*$X$1</f>
        <v>1804.6</v>
      </c>
      <c r="X433" s="693"/>
      <c r="Y433" s="668"/>
      <c r="Z433" s="668"/>
      <c r="AA433" s="669"/>
      <c r="AB433" s="338">
        <v>2310</v>
      </c>
      <c r="AC433" s="62"/>
    </row>
    <row r="434" spans="1:29" ht="12.6" customHeight="1" x14ac:dyDescent="0.2">
      <c r="A434" s="17"/>
      <c r="B434" s="636" t="s">
        <v>379</v>
      </c>
      <c r="C434" s="713"/>
      <c r="D434" s="713"/>
      <c r="E434" s="713"/>
      <c r="F434" s="324">
        <f>0.93*X2</f>
        <v>1432.2</v>
      </c>
      <c r="G434" s="256">
        <f>+F434*$X$1</f>
        <v>1432.2</v>
      </c>
      <c r="H434" s="536">
        <f t="shared" si="1206"/>
        <v>2032.2</v>
      </c>
      <c r="I434" s="256">
        <f t="shared" si="1207"/>
        <v>2032.2</v>
      </c>
      <c r="J434" s="536">
        <f t="shared" si="1208"/>
        <v>1632.2</v>
      </c>
      <c r="K434" s="256">
        <f t="shared" si="1209"/>
        <v>1632.2</v>
      </c>
      <c r="L434" s="536">
        <f>F434+150</f>
        <v>1582.2</v>
      </c>
      <c r="M434" s="256">
        <f t="shared" si="1181"/>
        <v>1582.2</v>
      </c>
      <c r="N434" s="536">
        <f>F434+110</f>
        <v>1542.2</v>
      </c>
      <c r="O434" s="256">
        <f>+N434*$X$1</f>
        <v>1542.2</v>
      </c>
      <c r="P434" s="536">
        <f>F434+90</f>
        <v>1522.2</v>
      </c>
      <c r="Q434" s="256">
        <f t="shared" si="1185"/>
        <v>1522.2</v>
      </c>
      <c r="R434" s="536">
        <f>F434+70</f>
        <v>1502.2</v>
      </c>
      <c r="S434" s="256">
        <f>+R434*$X$1</f>
        <v>1502.2</v>
      </c>
      <c r="T434" s="536">
        <f>F434+56</f>
        <v>1488.2</v>
      </c>
      <c r="U434" s="256">
        <f t="shared" si="1210"/>
        <v>1488.2</v>
      </c>
      <c r="V434" s="536">
        <f>F434+49</f>
        <v>1481.2</v>
      </c>
      <c r="W434" s="256">
        <f t="shared" si="1211"/>
        <v>1481.2</v>
      </c>
      <c r="X434" s="693"/>
      <c r="Y434" s="668"/>
      <c r="Z434" s="668"/>
      <c r="AA434" s="669"/>
      <c r="AB434" s="338">
        <v>2322</v>
      </c>
      <c r="AC434" s="62"/>
    </row>
    <row r="435" spans="1:29" ht="12.6" customHeight="1" x14ac:dyDescent="0.2">
      <c r="A435" s="17"/>
      <c r="B435" s="645" t="s">
        <v>812</v>
      </c>
      <c r="C435" s="717"/>
      <c r="D435" s="717"/>
      <c r="E435" s="717"/>
      <c r="F435" s="323">
        <f>0.93*X2</f>
        <v>1432.2</v>
      </c>
      <c r="G435" s="255">
        <f>+F435*$X$1</f>
        <v>1432.2</v>
      </c>
      <c r="H435" s="527">
        <f t="shared" si="1206"/>
        <v>2032.2</v>
      </c>
      <c r="I435" s="255">
        <f t="shared" si="1207"/>
        <v>2032.2</v>
      </c>
      <c r="J435" s="527">
        <f t="shared" si="1208"/>
        <v>1632.2</v>
      </c>
      <c r="K435" s="255">
        <f t="shared" si="1209"/>
        <v>1632.2</v>
      </c>
      <c r="L435" s="527">
        <f>F435+150</f>
        <v>1582.2</v>
      </c>
      <c r="M435" s="255">
        <f t="shared" si="1181"/>
        <v>1582.2</v>
      </c>
      <c r="N435" s="527">
        <f>F435+110</f>
        <v>1542.2</v>
      </c>
      <c r="O435" s="255">
        <f>+N435*$X$1</f>
        <v>1542.2</v>
      </c>
      <c r="P435" s="527">
        <f>F435+90</f>
        <v>1522.2</v>
      </c>
      <c r="Q435" s="255">
        <f t="shared" si="1185"/>
        <v>1522.2</v>
      </c>
      <c r="R435" s="527">
        <f>F435+70</f>
        <v>1502.2</v>
      </c>
      <c r="S435" s="255">
        <f>+R435*$X$1</f>
        <v>1502.2</v>
      </c>
      <c r="T435" s="527">
        <f>F435+56</f>
        <v>1488.2</v>
      </c>
      <c r="U435" s="255">
        <f t="shared" si="1210"/>
        <v>1488.2</v>
      </c>
      <c r="V435" s="527">
        <f>F435+49</f>
        <v>1481.2</v>
      </c>
      <c r="W435" s="255">
        <f t="shared" si="1211"/>
        <v>1481.2</v>
      </c>
      <c r="X435" s="693"/>
      <c r="Y435" s="668"/>
      <c r="Z435" s="668"/>
      <c r="AA435" s="669"/>
      <c r="AB435" s="338" t="s">
        <v>833</v>
      </c>
      <c r="AC435" s="62"/>
    </row>
    <row r="436" spans="1:29" ht="12.6" customHeight="1" x14ac:dyDescent="0.2">
      <c r="A436" s="17"/>
      <c r="B436" s="636" t="s">
        <v>744</v>
      </c>
      <c r="C436" s="713"/>
      <c r="D436" s="713"/>
      <c r="E436" s="713"/>
      <c r="F436" s="324">
        <f>1.255*X2</f>
        <v>1932.6999999999998</v>
      </c>
      <c r="G436" s="256">
        <f>+F436*$X$1</f>
        <v>1932.6999999999998</v>
      </c>
      <c r="H436" s="536">
        <f t="shared" si="1206"/>
        <v>2532.6999999999998</v>
      </c>
      <c r="I436" s="256">
        <f t="shared" si="1207"/>
        <v>2532.6999999999998</v>
      </c>
      <c r="J436" s="536">
        <f t="shared" si="1208"/>
        <v>2132.6999999999998</v>
      </c>
      <c r="K436" s="256">
        <f t="shared" si="1209"/>
        <v>2132.6999999999998</v>
      </c>
      <c r="L436" s="536">
        <f>F436+150</f>
        <v>2082.6999999999998</v>
      </c>
      <c r="M436" s="256">
        <f t="shared" si="1181"/>
        <v>2082.6999999999998</v>
      </c>
      <c r="N436" s="536">
        <f>F436+110</f>
        <v>2042.6999999999998</v>
      </c>
      <c r="O436" s="256">
        <f>+N436*$X$1</f>
        <v>2042.6999999999998</v>
      </c>
      <c r="P436" s="536">
        <f>F436+90</f>
        <v>2022.6999999999998</v>
      </c>
      <c r="Q436" s="256">
        <f t="shared" si="1185"/>
        <v>2022.6999999999998</v>
      </c>
      <c r="R436" s="536">
        <f>F436+70</f>
        <v>2002.6999999999998</v>
      </c>
      <c r="S436" s="256">
        <f>+R436*$X$1</f>
        <v>2002.6999999999998</v>
      </c>
      <c r="T436" s="536">
        <f>F436+56</f>
        <v>1988.6999999999998</v>
      </c>
      <c r="U436" s="256">
        <f t="shared" si="1210"/>
        <v>1988.6999999999998</v>
      </c>
      <c r="V436" s="536">
        <f>F436+49</f>
        <v>1981.6999999999998</v>
      </c>
      <c r="W436" s="256">
        <f t="shared" si="1211"/>
        <v>1981.6999999999998</v>
      </c>
      <c r="X436" s="693"/>
      <c r="Y436" s="668"/>
      <c r="Z436" s="668"/>
      <c r="AA436" s="669"/>
      <c r="AB436" s="338">
        <v>2327</v>
      </c>
      <c r="AC436" s="62"/>
    </row>
    <row r="437" spans="1:29" ht="12.6" customHeight="1" x14ac:dyDescent="0.2">
      <c r="A437" s="17"/>
      <c r="B437" s="683" t="s">
        <v>224</v>
      </c>
      <c r="C437" s="684"/>
      <c r="D437" s="684"/>
      <c r="E437" s="685"/>
      <c r="F437" s="323">
        <f>3.407*X2</f>
        <v>5246.78</v>
      </c>
      <c r="G437" s="255">
        <f>+F437*$X$1</f>
        <v>5246.78</v>
      </c>
      <c r="H437" s="527">
        <f>F437+650</f>
        <v>5896.78</v>
      </c>
      <c r="I437" s="255">
        <f t="shared" si="1207"/>
        <v>5896.78</v>
      </c>
      <c r="J437" s="527">
        <f>F437+230</f>
        <v>5476.78</v>
      </c>
      <c r="K437" s="255">
        <f t="shared" si="1209"/>
        <v>5476.78</v>
      </c>
      <c r="L437" s="527">
        <f>F437+190</f>
        <v>5436.78</v>
      </c>
      <c r="M437" s="255">
        <f t="shared" si="1181"/>
        <v>5436.78</v>
      </c>
      <c r="N437" s="527">
        <f>F437+150</f>
        <v>5396.78</v>
      </c>
      <c r="O437" s="255">
        <f t="shared" ref="O437" si="1212">+N437*$X$1</f>
        <v>5396.78</v>
      </c>
      <c r="P437" s="527">
        <f>F437+130</f>
        <v>5376.78</v>
      </c>
      <c r="Q437" s="255">
        <f t="shared" si="1185"/>
        <v>5376.78</v>
      </c>
      <c r="R437" s="527">
        <f>F437+110</f>
        <v>5356.78</v>
      </c>
      <c r="S437" s="255">
        <f t="shared" ref="S437" si="1213">+R437*$X$1</f>
        <v>5356.78</v>
      </c>
      <c r="T437" s="527">
        <f>F437+90</f>
        <v>5336.78</v>
      </c>
      <c r="U437" s="255">
        <f t="shared" si="1210"/>
        <v>5336.78</v>
      </c>
      <c r="V437" s="527">
        <f>F437+70</f>
        <v>5316.78</v>
      </c>
      <c r="W437" s="255">
        <f t="shared" si="1211"/>
        <v>5316.78</v>
      </c>
      <c r="X437" s="693"/>
      <c r="Y437" s="668"/>
      <c r="Z437" s="668"/>
      <c r="AA437" s="669"/>
      <c r="AB437" s="338">
        <v>2330</v>
      </c>
      <c r="AC437" s="62"/>
    </row>
    <row r="438" spans="1:29" ht="12.6" customHeight="1" x14ac:dyDescent="0.2">
      <c r="A438" s="94"/>
      <c r="B438" s="642" t="s">
        <v>802</v>
      </c>
      <c r="C438" s="680"/>
      <c r="D438" s="680"/>
      <c r="E438" s="681"/>
      <c r="F438" s="324">
        <f>1.07*X2</f>
        <v>1647.8000000000002</v>
      </c>
      <c r="G438" s="256">
        <f t="shared" ref="G438" si="1214">+F438*$X$1</f>
        <v>1647.8000000000002</v>
      </c>
      <c r="H438" s="536">
        <f>F438+650</f>
        <v>2297.8000000000002</v>
      </c>
      <c r="I438" s="256">
        <f t="shared" ref="I438" si="1215">+H438*$X$1</f>
        <v>2297.8000000000002</v>
      </c>
      <c r="J438" s="536">
        <f>F438+230</f>
        <v>1877.8000000000002</v>
      </c>
      <c r="K438" s="256">
        <f t="shared" ref="K438" si="1216">+J438*$X$1</f>
        <v>1877.8000000000002</v>
      </c>
      <c r="L438" s="536">
        <f>F438+190</f>
        <v>1837.8000000000002</v>
      </c>
      <c r="M438" s="256">
        <f t="shared" ref="M438" si="1217">+L438*$X$1</f>
        <v>1837.8000000000002</v>
      </c>
      <c r="N438" s="536">
        <f>F438+150</f>
        <v>1797.8000000000002</v>
      </c>
      <c r="O438" s="256">
        <f t="shared" ref="O438" si="1218">+N438*$X$1</f>
        <v>1797.8000000000002</v>
      </c>
      <c r="P438" s="536">
        <f>F438+130</f>
        <v>1777.8000000000002</v>
      </c>
      <c r="Q438" s="256">
        <f t="shared" ref="Q438" si="1219">+P438*$X$1</f>
        <v>1777.8000000000002</v>
      </c>
      <c r="R438" s="536">
        <f>F438+110</f>
        <v>1757.8000000000002</v>
      </c>
      <c r="S438" s="256">
        <f t="shared" ref="S438" si="1220">+R438*$X$1</f>
        <v>1757.8000000000002</v>
      </c>
      <c r="T438" s="536">
        <f>F438+90</f>
        <v>1737.8000000000002</v>
      </c>
      <c r="U438" s="256">
        <f t="shared" ref="U438" si="1221">+T438*$X$1</f>
        <v>1737.8000000000002</v>
      </c>
      <c r="V438" s="536">
        <f>F438+70</f>
        <v>1717.8000000000002</v>
      </c>
      <c r="W438" s="256">
        <f t="shared" ref="W438" si="1222">+V438*$X$1</f>
        <v>1717.8000000000002</v>
      </c>
      <c r="X438" s="693"/>
      <c r="Y438" s="668"/>
      <c r="Z438" s="668"/>
      <c r="AA438" s="669"/>
      <c r="AB438" s="338">
        <v>2331</v>
      </c>
      <c r="AC438" s="62"/>
    </row>
    <row r="439" spans="1:29" ht="12.6" customHeight="1" x14ac:dyDescent="0.2">
      <c r="A439" s="94"/>
      <c r="B439" s="683" t="s">
        <v>796</v>
      </c>
      <c r="C439" s="703"/>
      <c r="D439" s="703"/>
      <c r="E439" s="704"/>
      <c r="F439" s="481">
        <f>3.77*X2</f>
        <v>5805.8</v>
      </c>
      <c r="G439" s="255">
        <f t="shared" ref="G439" si="1223">+F439*$X$1</f>
        <v>5805.8</v>
      </c>
      <c r="H439" s="527">
        <f>F439+800</f>
        <v>6605.8</v>
      </c>
      <c r="I439" s="255">
        <f t="shared" ref="I439:I441" si="1224">+H439*$X$1</f>
        <v>6605.8</v>
      </c>
      <c r="J439" s="527">
        <f>F439+350</f>
        <v>6155.8</v>
      </c>
      <c r="K439" s="255">
        <f t="shared" ref="K439:K441" si="1225">+J439*$X$1</f>
        <v>6155.8</v>
      </c>
      <c r="L439" s="527">
        <f>F439+290</f>
        <v>6095.8</v>
      </c>
      <c r="M439" s="255">
        <f t="shared" ref="M439:M441" si="1226">+L439*$X$1</f>
        <v>6095.8</v>
      </c>
      <c r="N439" s="527">
        <f>F439+230</f>
        <v>6035.8</v>
      </c>
      <c r="O439" s="255">
        <f t="shared" ref="O439:O441" si="1227">+N439*$X$1</f>
        <v>6035.8</v>
      </c>
      <c r="P439" s="527">
        <f>F439+200</f>
        <v>6005.8</v>
      </c>
      <c r="Q439" s="255">
        <f t="shared" ref="Q439:Q441" si="1228">+P439*$X$1</f>
        <v>6005.8</v>
      </c>
      <c r="R439" s="527">
        <f>F439+170</f>
        <v>5975.8</v>
      </c>
      <c r="S439" s="255">
        <f t="shared" ref="S439:S441" si="1229">+R439*$X$1</f>
        <v>5975.8</v>
      </c>
      <c r="T439" s="527">
        <f>F439+140</f>
        <v>5945.8</v>
      </c>
      <c r="U439" s="255">
        <f t="shared" ref="U439:U441" si="1230">+T439*$X$1</f>
        <v>5945.8</v>
      </c>
      <c r="V439" s="527">
        <f>F439+105</f>
        <v>5910.8</v>
      </c>
      <c r="W439" s="255">
        <f t="shared" ref="W439:W441" si="1231">+V439*$X$1</f>
        <v>5910.8</v>
      </c>
      <c r="X439" s="693"/>
      <c r="Y439" s="668"/>
      <c r="Z439" s="668"/>
      <c r="AA439" s="669"/>
      <c r="AB439" s="338">
        <v>2332</v>
      </c>
      <c r="AC439" s="62"/>
    </row>
    <row r="440" spans="1:29" ht="12.6" customHeight="1" x14ac:dyDescent="0.2">
      <c r="A440" s="94"/>
      <c r="B440" s="642" t="s">
        <v>349</v>
      </c>
      <c r="C440" s="680"/>
      <c r="D440" s="680"/>
      <c r="E440" s="681"/>
      <c r="F440" s="324">
        <f>0.95*X2</f>
        <v>1463</v>
      </c>
      <c r="G440" s="256">
        <f t="shared" ref="G440" si="1232">+F440*$X$1</f>
        <v>1463</v>
      </c>
      <c r="H440" s="536">
        <f>F440+650</f>
        <v>2113</v>
      </c>
      <c r="I440" s="256">
        <f t="shared" si="1224"/>
        <v>2113</v>
      </c>
      <c r="J440" s="536">
        <f>F440+230</f>
        <v>1693</v>
      </c>
      <c r="K440" s="256">
        <f t="shared" si="1225"/>
        <v>1693</v>
      </c>
      <c r="L440" s="536">
        <f>F440+190</f>
        <v>1653</v>
      </c>
      <c r="M440" s="256">
        <f t="shared" si="1226"/>
        <v>1653</v>
      </c>
      <c r="N440" s="536">
        <f>F440+150</f>
        <v>1613</v>
      </c>
      <c r="O440" s="256">
        <f t="shared" si="1227"/>
        <v>1613</v>
      </c>
      <c r="P440" s="536">
        <f>F440+130</f>
        <v>1593</v>
      </c>
      <c r="Q440" s="256">
        <f t="shared" si="1228"/>
        <v>1593</v>
      </c>
      <c r="R440" s="536">
        <f>F440+110</f>
        <v>1573</v>
      </c>
      <c r="S440" s="256">
        <f t="shared" si="1229"/>
        <v>1573</v>
      </c>
      <c r="T440" s="536">
        <f>F440+90</f>
        <v>1553</v>
      </c>
      <c r="U440" s="256">
        <f t="shared" si="1230"/>
        <v>1553</v>
      </c>
      <c r="V440" s="536">
        <f>F440+70</f>
        <v>1533</v>
      </c>
      <c r="W440" s="256">
        <f t="shared" si="1231"/>
        <v>1533</v>
      </c>
      <c r="X440" s="693"/>
      <c r="Y440" s="668"/>
      <c r="Z440" s="668"/>
      <c r="AA440" s="669"/>
      <c r="AB440" s="338">
        <v>2334</v>
      </c>
      <c r="AC440" s="62"/>
    </row>
    <row r="441" spans="1:29" ht="12.6" customHeight="1" x14ac:dyDescent="0.2">
      <c r="A441" s="94"/>
      <c r="B441" s="756" t="s">
        <v>225</v>
      </c>
      <c r="C441" s="757"/>
      <c r="D441" s="757"/>
      <c r="E441" s="758"/>
      <c r="F441" s="326">
        <f>1.1*X2</f>
        <v>1694.0000000000002</v>
      </c>
      <c r="G441" s="270">
        <f t="shared" ref="G441" si="1233">+F441*$X$1</f>
        <v>1694.0000000000002</v>
      </c>
      <c r="H441" s="527">
        <f>F441+650</f>
        <v>2344</v>
      </c>
      <c r="I441" s="255">
        <f t="shared" si="1224"/>
        <v>2344</v>
      </c>
      <c r="J441" s="527">
        <f>F441+230</f>
        <v>1924.0000000000002</v>
      </c>
      <c r="K441" s="255">
        <f t="shared" si="1225"/>
        <v>1924.0000000000002</v>
      </c>
      <c r="L441" s="527">
        <f>F441+190</f>
        <v>1884.0000000000002</v>
      </c>
      <c r="M441" s="255">
        <f t="shared" si="1226"/>
        <v>1884.0000000000002</v>
      </c>
      <c r="N441" s="527">
        <f>F441+150</f>
        <v>1844.0000000000002</v>
      </c>
      <c r="O441" s="255">
        <f t="shared" si="1227"/>
        <v>1844.0000000000002</v>
      </c>
      <c r="P441" s="527">
        <f>F441+130</f>
        <v>1824.0000000000002</v>
      </c>
      <c r="Q441" s="255">
        <f t="shared" si="1228"/>
        <v>1824.0000000000002</v>
      </c>
      <c r="R441" s="527">
        <f>F441+110</f>
        <v>1804.0000000000002</v>
      </c>
      <c r="S441" s="255">
        <f t="shared" si="1229"/>
        <v>1804.0000000000002</v>
      </c>
      <c r="T441" s="527">
        <f>F441+90</f>
        <v>1784.0000000000002</v>
      </c>
      <c r="U441" s="255">
        <f t="shared" si="1230"/>
        <v>1784.0000000000002</v>
      </c>
      <c r="V441" s="527">
        <f>F441+70</f>
        <v>1764.0000000000002</v>
      </c>
      <c r="W441" s="255">
        <f t="shared" si="1231"/>
        <v>1764.0000000000002</v>
      </c>
      <c r="X441" s="693"/>
      <c r="Y441" s="668"/>
      <c r="Z441" s="668"/>
      <c r="AA441" s="669"/>
      <c r="AB441" s="352">
        <v>2336</v>
      </c>
      <c r="AC441" s="62"/>
    </row>
    <row r="442" spans="1:29" ht="12.6" customHeight="1" x14ac:dyDescent="0.2">
      <c r="A442" s="17"/>
      <c r="B442" s="642" t="s">
        <v>226</v>
      </c>
      <c r="C442" s="680"/>
      <c r="D442" s="680"/>
      <c r="E442" s="681"/>
      <c r="F442" s="324">
        <f>1.355*X2</f>
        <v>2086.6999999999998</v>
      </c>
      <c r="G442" s="256">
        <f>+F442*$X$1</f>
        <v>2086.6999999999998</v>
      </c>
      <c r="H442" s="536">
        <f t="shared" ref="H442" si="1234">F442+600</f>
        <v>2686.7</v>
      </c>
      <c r="I442" s="256">
        <f t="shared" ref="I442" si="1235">+H442*$X$1</f>
        <v>2686.7</v>
      </c>
      <c r="J442" s="536">
        <f t="shared" ref="J442" si="1236">F442+200</f>
        <v>2286.6999999999998</v>
      </c>
      <c r="K442" s="256">
        <f t="shared" ref="K442" si="1237">+J442*$X$1</f>
        <v>2286.6999999999998</v>
      </c>
      <c r="L442" s="536">
        <f>F442+150</f>
        <v>2236.6999999999998</v>
      </c>
      <c r="M442" s="256">
        <f t="shared" ref="M442" si="1238">+L442*$X$1</f>
        <v>2236.6999999999998</v>
      </c>
      <c r="N442" s="536">
        <f>F442+110</f>
        <v>2196.6999999999998</v>
      </c>
      <c r="O442" s="256">
        <f t="shared" ref="O442:O455" si="1239">+N442*$X$1</f>
        <v>2196.6999999999998</v>
      </c>
      <c r="P442" s="536">
        <f>F442+90</f>
        <v>2176.6999999999998</v>
      </c>
      <c r="Q442" s="256">
        <f t="shared" ref="Q442" si="1240">+P442*$X$1</f>
        <v>2176.6999999999998</v>
      </c>
      <c r="R442" s="536">
        <f>F442+70</f>
        <v>2156.6999999999998</v>
      </c>
      <c r="S442" s="256">
        <f t="shared" ref="S442:S455" si="1241">+R442*$X$1</f>
        <v>2156.6999999999998</v>
      </c>
      <c r="T442" s="536">
        <f>F442+56</f>
        <v>2142.6999999999998</v>
      </c>
      <c r="U442" s="256">
        <f t="shared" ref="U442" si="1242">+T442*$X$1</f>
        <v>2142.6999999999998</v>
      </c>
      <c r="V442" s="536">
        <f>F442+49</f>
        <v>2135.6999999999998</v>
      </c>
      <c r="W442" s="256">
        <f t="shared" ref="W442" si="1243">+V442*$X$1</f>
        <v>2135.6999999999998</v>
      </c>
      <c r="X442" s="693"/>
      <c r="Y442" s="668"/>
      <c r="Z442" s="668"/>
      <c r="AA442" s="669"/>
      <c r="AB442" s="338">
        <v>2337</v>
      </c>
      <c r="AC442" s="62"/>
    </row>
    <row r="443" spans="1:29" ht="12.6" customHeight="1" x14ac:dyDescent="0.2">
      <c r="A443" s="17"/>
      <c r="B443" s="753" t="s">
        <v>227</v>
      </c>
      <c r="C443" s="754"/>
      <c r="D443" s="754"/>
      <c r="E443" s="755"/>
      <c r="F443" s="481">
        <f>1.823*X2</f>
        <v>2807.42</v>
      </c>
      <c r="G443" s="588">
        <f t="shared" ref="G443" si="1244">+F443*$X$1</f>
        <v>2807.42</v>
      </c>
      <c r="H443" s="527">
        <f t="shared" ref="H443:H444" si="1245">F443+600</f>
        <v>3407.42</v>
      </c>
      <c r="I443" s="255">
        <f t="shared" ref="I443:I444" si="1246">+H443*$X$1</f>
        <v>3407.42</v>
      </c>
      <c r="J443" s="527">
        <f t="shared" ref="J443:J444" si="1247">F443+200</f>
        <v>3007.42</v>
      </c>
      <c r="K443" s="255">
        <f t="shared" ref="K443:K444" si="1248">+J443*$X$1</f>
        <v>3007.42</v>
      </c>
      <c r="L443" s="527">
        <f>F443+150</f>
        <v>2957.42</v>
      </c>
      <c r="M443" s="255">
        <f t="shared" ref="M443:M444" si="1249">+L443*$X$1</f>
        <v>2957.42</v>
      </c>
      <c r="N443" s="527">
        <f>F443+110</f>
        <v>2917.42</v>
      </c>
      <c r="O443" s="255">
        <f t="shared" si="1239"/>
        <v>2917.42</v>
      </c>
      <c r="P443" s="527">
        <f>F443+90</f>
        <v>2897.42</v>
      </c>
      <c r="Q443" s="255">
        <f t="shared" ref="Q443:Q444" si="1250">+P443*$X$1</f>
        <v>2897.42</v>
      </c>
      <c r="R443" s="527">
        <f>F443+70</f>
        <v>2877.42</v>
      </c>
      <c r="S443" s="255">
        <f t="shared" si="1241"/>
        <v>2877.42</v>
      </c>
      <c r="T443" s="527">
        <f>F443+56</f>
        <v>2863.42</v>
      </c>
      <c r="U443" s="255">
        <f t="shared" ref="U443:U444" si="1251">+T443*$X$1</f>
        <v>2863.42</v>
      </c>
      <c r="V443" s="527">
        <f>F443+49</f>
        <v>2856.42</v>
      </c>
      <c r="W443" s="255">
        <f t="shared" ref="W443:W444" si="1252">+V443*$X$1</f>
        <v>2856.42</v>
      </c>
      <c r="X443" s="693"/>
      <c r="Y443" s="668"/>
      <c r="Z443" s="668"/>
      <c r="AA443" s="669"/>
      <c r="AB443" s="338">
        <v>2338</v>
      </c>
      <c r="AC443" s="62"/>
    </row>
    <row r="444" spans="1:29" ht="12.6" customHeight="1" x14ac:dyDescent="0.2">
      <c r="A444" s="17"/>
      <c r="B444" s="642" t="s">
        <v>292</v>
      </c>
      <c r="C444" s="680"/>
      <c r="D444" s="680"/>
      <c r="E444" s="681"/>
      <c r="F444" s="482">
        <f>0.98*X2</f>
        <v>1509.2</v>
      </c>
      <c r="G444" s="256">
        <f>+F444*$X$1</f>
        <v>1509.2</v>
      </c>
      <c r="H444" s="536">
        <f t="shared" si="1245"/>
        <v>2109.1999999999998</v>
      </c>
      <c r="I444" s="256">
        <f t="shared" si="1246"/>
        <v>2109.1999999999998</v>
      </c>
      <c r="J444" s="536">
        <f t="shared" si="1247"/>
        <v>1709.2</v>
      </c>
      <c r="K444" s="256">
        <f t="shared" si="1248"/>
        <v>1709.2</v>
      </c>
      <c r="L444" s="536">
        <f>F444+150</f>
        <v>1659.2</v>
      </c>
      <c r="M444" s="256">
        <f t="shared" si="1249"/>
        <v>1659.2</v>
      </c>
      <c r="N444" s="536">
        <f>F444+110</f>
        <v>1619.2</v>
      </c>
      <c r="O444" s="256">
        <f t="shared" si="1239"/>
        <v>1619.2</v>
      </c>
      <c r="P444" s="536">
        <f>F444+90</f>
        <v>1599.2</v>
      </c>
      <c r="Q444" s="256">
        <f t="shared" si="1250"/>
        <v>1599.2</v>
      </c>
      <c r="R444" s="536">
        <f>F444+70</f>
        <v>1579.2</v>
      </c>
      <c r="S444" s="256">
        <f t="shared" si="1241"/>
        <v>1579.2</v>
      </c>
      <c r="T444" s="536">
        <f>F444+56</f>
        <v>1565.2</v>
      </c>
      <c r="U444" s="256">
        <f t="shared" si="1251"/>
        <v>1565.2</v>
      </c>
      <c r="V444" s="536">
        <f>F444+49</f>
        <v>1558.2</v>
      </c>
      <c r="W444" s="256">
        <f t="shared" si="1252"/>
        <v>1558.2</v>
      </c>
      <c r="X444" s="161"/>
      <c r="Y444" s="164"/>
      <c r="Z444" s="164"/>
      <c r="AA444" s="163"/>
      <c r="AB444" s="338">
        <v>2340</v>
      </c>
      <c r="AC444" s="62"/>
    </row>
    <row r="445" spans="1:29" ht="12.6" customHeight="1" x14ac:dyDescent="0.2">
      <c r="A445" s="17"/>
      <c r="B445" s="783" t="s">
        <v>822</v>
      </c>
      <c r="C445" s="784"/>
      <c r="D445" s="784"/>
      <c r="E445" s="785"/>
      <c r="F445" s="455">
        <f>5.9*X2</f>
        <v>9086</v>
      </c>
      <c r="G445" s="451">
        <f t="shared" ref="G445" si="1253">+F445*$X$1</f>
        <v>9086</v>
      </c>
      <c r="H445" s="581">
        <f>F445+800</f>
        <v>9886</v>
      </c>
      <c r="I445" s="451">
        <f t="shared" ref="I445" si="1254">+H445*$X$1</f>
        <v>9886</v>
      </c>
      <c r="J445" s="581">
        <f>F445+300</f>
        <v>9386</v>
      </c>
      <c r="K445" s="451">
        <f t="shared" ref="K445" si="1255">+J445*$X$1</f>
        <v>9386</v>
      </c>
      <c r="L445" s="581">
        <f>F445+230</f>
        <v>9316</v>
      </c>
      <c r="M445" s="451">
        <f t="shared" ref="M445" si="1256">+L445*$X$1</f>
        <v>9316</v>
      </c>
      <c r="N445" s="581">
        <f>F445+170</f>
        <v>9256</v>
      </c>
      <c r="O445" s="451">
        <f t="shared" si="1239"/>
        <v>9256</v>
      </c>
      <c r="P445" s="581">
        <f>F445+140</f>
        <v>9226</v>
      </c>
      <c r="Q445" s="451">
        <f t="shared" ref="Q445" si="1257">+P445*$X$1</f>
        <v>9226</v>
      </c>
      <c r="R445" s="581">
        <f>F445+110</f>
        <v>9196</v>
      </c>
      <c r="S445" s="451">
        <f t="shared" si="1241"/>
        <v>9196</v>
      </c>
      <c r="T445" s="581">
        <f>F445+90</f>
        <v>9176</v>
      </c>
      <c r="U445" s="451">
        <f t="shared" ref="U445" si="1258">+T445*$X$1</f>
        <v>9176</v>
      </c>
      <c r="V445" s="581">
        <f>F445+78</f>
        <v>9164</v>
      </c>
      <c r="W445" s="451">
        <f t="shared" ref="W445" si="1259">+V445*$X$1</f>
        <v>9164</v>
      </c>
      <c r="X445" s="472"/>
      <c r="Y445" s="473"/>
      <c r="Z445" s="473"/>
      <c r="AA445" s="474"/>
      <c r="AB445" s="338">
        <v>2341</v>
      </c>
      <c r="AC445" s="62"/>
    </row>
    <row r="446" spans="1:29" ht="12.6" customHeight="1" x14ac:dyDescent="0.2">
      <c r="A446" s="17"/>
      <c r="B446" s="683" t="s">
        <v>631</v>
      </c>
      <c r="C446" s="703"/>
      <c r="D446" s="703"/>
      <c r="E446" s="704"/>
      <c r="F446" s="323">
        <f>11.91*X2</f>
        <v>18341.400000000001</v>
      </c>
      <c r="G446" s="255">
        <f t="shared" ref="G446" si="1260">+F446*$X$1</f>
        <v>18341.400000000001</v>
      </c>
      <c r="H446" s="527">
        <f t="shared" ref="H446:H455" si="1261">F446+600</f>
        <v>18941.400000000001</v>
      </c>
      <c r="I446" s="255">
        <f t="shared" ref="I446:I455" si="1262">+H446*$X$1</f>
        <v>18941.400000000001</v>
      </c>
      <c r="J446" s="527">
        <f t="shared" ref="J446:J455" si="1263">F446+200</f>
        <v>18541.400000000001</v>
      </c>
      <c r="K446" s="255">
        <f t="shared" ref="K446:K455" si="1264">+J446*$X$1</f>
        <v>18541.400000000001</v>
      </c>
      <c r="L446" s="527">
        <f t="shared" ref="L446:L455" si="1265">F446+150</f>
        <v>18491.400000000001</v>
      </c>
      <c r="M446" s="255">
        <f t="shared" ref="M446:M455" si="1266">+L446*$X$1</f>
        <v>18491.400000000001</v>
      </c>
      <c r="N446" s="527">
        <f t="shared" ref="N446:N455" si="1267">F446+110</f>
        <v>18451.400000000001</v>
      </c>
      <c r="O446" s="255">
        <f t="shared" si="1239"/>
        <v>18451.400000000001</v>
      </c>
      <c r="P446" s="527">
        <f t="shared" ref="P446:P455" si="1268">F446+90</f>
        <v>18431.400000000001</v>
      </c>
      <c r="Q446" s="255">
        <f t="shared" ref="Q446:Q455" si="1269">+P446*$X$1</f>
        <v>18431.400000000001</v>
      </c>
      <c r="R446" s="527">
        <f t="shared" ref="R446:R455" si="1270">F446+70</f>
        <v>18411.400000000001</v>
      </c>
      <c r="S446" s="255">
        <f t="shared" si="1241"/>
        <v>18411.400000000001</v>
      </c>
      <c r="T446" s="527">
        <f t="shared" ref="T446:T455" si="1271">F446+56</f>
        <v>18397.400000000001</v>
      </c>
      <c r="U446" s="255">
        <f t="shared" ref="U446:U455" si="1272">+T446*$X$1</f>
        <v>18397.400000000001</v>
      </c>
      <c r="V446" s="527">
        <f t="shared" ref="V446:V455" si="1273">F446+49</f>
        <v>18390.400000000001</v>
      </c>
      <c r="W446" s="255">
        <f t="shared" ref="W446:W455" si="1274">+V446*$X$1</f>
        <v>18390.400000000001</v>
      </c>
      <c r="X446" s="377"/>
      <c r="Y446" s="378"/>
      <c r="Z446" s="378"/>
      <c r="AA446" s="379"/>
      <c r="AB446" s="338">
        <v>2342</v>
      </c>
      <c r="AC446" s="62"/>
    </row>
    <row r="447" spans="1:29" ht="12.6" customHeight="1" x14ac:dyDescent="0.2">
      <c r="A447" s="17"/>
      <c r="B447" s="642" t="s">
        <v>630</v>
      </c>
      <c r="C447" s="680"/>
      <c r="D447" s="680"/>
      <c r="E447" s="681"/>
      <c r="F447" s="324">
        <f>14.05*X2</f>
        <v>21637</v>
      </c>
      <c r="G447" s="256">
        <f t="shared" ref="G447" si="1275">+F447*$X$1</f>
        <v>21637</v>
      </c>
      <c r="H447" s="536">
        <f t="shared" si="1261"/>
        <v>22237</v>
      </c>
      <c r="I447" s="256">
        <f t="shared" si="1262"/>
        <v>22237</v>
      </c>
      <c r="J447" s="536">
        <f t="shared" si="1263"/>
        <v>21837</v>
      </c>
      <c r="K447" s="256">
        <f t="shared" si="1264"/>
        <v>21837</v>
      </c>
      <c r="L447" s="536">
        <f t="shared" si="1265"/>
        <v>21787</v>
      </c>
      <c r="M447" s="256">
        <f t="shared" si="1266"/>
        <v>21787</v>
      </c>
      <c r="N447" s="536">
        <f t="shared" si="1267"/>
        <v>21747</v>
      </c>
      <c r="O447" s="256">
        <f t="shared" si="1239"/>
        <v>21747</v>
      </c>
      <c r="P447" s="536">
        <f t="shared" si="1268"/>
        <v>21727</v>
      </c>
      <c r="Q447" s="256">
        <f t="shared" si="1269"/>
        <v>21727</v>
      </c>
      <c r="R447" s="536">
        <f t="shared" si="1270"/>
        <v>21707</v>
      </c>
      <c r="S447" s="256">
        <f t="shared" si="1241"/>
        <v>21707</v>
      </c>
      <c r="T447" s="536">
        <f t="shared" si="1271"/>
        <v>21693</v>
      </c>
      <c r="U447" s="256">
        <f t="shared" si="1272"/>
        <v>21693</v>
      </c>
      <c r="V447" s="536">
        <f t="shared" si="1273"/>
        <v>21686</v>
      </c>
      <c r="W447" s="256">
        <f t="shared" si="1274"/>
        <v>21686</v>
      </c>
      <c r="X447" s="377"/>
      <c r="Y447" s="378"/>
      <c r="Z447" s="378"/>
      <c r="AA447" s="379"/>
      <c r="AB447" s="338">
        <v>2343</v>
      </c>
      <c r="AC447" s="62"/>
    </row>
    <row r="448" spans="1:29" ht="12.6" customHeight="1" x14ac:dyDescent="0.2">
      <c r="A448" s="17"/>
      <c r="B448" s="683" t="s">
        <v>756</v>
      </c>
      <c r="C448" s="703"/>
      <c r="D448" s="703"/>
      <c r="E448" s="704"/>
      <c r="F448" s="323">
        <f>9.41*X2</f>
        <v>14491.4</v>
      </c>
      <c r="G448" s="255">
        <f>+F448*$X$1</f>
        <v>14491.4</v>
      </c>
      <c r="H448" s="527">
        <f t="shared" si="1261"/>
        <v>15091.4</v>
      </c>
      <c r="I448" s="255">
        <f t="shared" si="1262"/>
        <v>15091.4</v>
      </c>
      <c r="J448" s="527">
        <f t="shared" si="1263"/>
        <v>14691.4</v>
      </c>
      <c r="K448" s="255">
        <f t="shared" si="1264"/>
        <v>14691.4</v>
      </c>
      <c r="L448" s="527">
        <f t="shared" si="1265"/>
        <v>14641.4</v>
      </c>
      <c r="M448" s="255">
        <f t="shared" si="1266"/>
        <v>14641.4</v>
      </c>
      <c r="N448" s="527">
        <f t="shared" si="1267"/>
        <v>14601.4</v>
      </c>
      <c r="O448" s="255">
        <f t="shared" si="1239"/>
        <v>14601.4</v>
      </c>
      <c r="P448" s="527">
        <f t="shared" si="1268"/>
        <v>14581.4</v>
      </c>
      <c r="Q448" s="255">
        <f t="shared" si="1269"/>
        <v>14581.4</v>
      </c>
      <c r="R448" s="527">
        <f t="shared" si="1270"/>
        <v>14561.4</v>
      </c>
      <c r="S448" s="255">
        <f t="shared" si="1241"/>
        <v>14561.4</v>
      </c>
      <c r="T448" s="527">
        <f t="shared" si="1271"/>
        <v>14547.4</v>
      </c>
      <c r="U448" s="255">
        <f t="shared" si="1272"/>
        <v>14547.4</v>
      </c>
      <c r="V448" s="527">
        <f t="shared" si="1273"/>
        <v>14540.4</v>
      </c>
      <c r="W448" s="255">
        <f t="shared" si="1274"/>
        <v>14540.4</v>
      </c>
      <c r="X448" s="428"/>
      <c r="Y448" s="429"/>
      <c r="Z448" s="429"/>
      <c r="AA448" s="430"/>
      <c r="AB448" s="338" t="s">
        <v>757</v>
      </c>
      <c r="AC448" s="62"/>
    </row>
    <row r="449" spans="1:29" ht="12.6" customHeight="1" x14ac:dyDescent="0.2">
      <c r="A449" s="17"/>
      <c r="B449" s="642" t="s">
        <v>1008</v>
      </c>
      <c r="C449" s="680"/>
      <c r="D449" s="680"/>
      <c r="E449" s="681"/>
      <c r="F449" s="482">
        <f>7.904*X2</f>
        <v>12172.16</v>
      </c>
      <c r="G449" s="256">
        <f>+F449*$X$1</f>
        <v>12172.16</v>
      </c>
      <c r="H449" s="536">
        <f t="shared" si="1261"/>
        <v>12772.16</v>
      </c>
      <c r="I449" s="256">
        <f t="shared" si="1262"/>
        <v>12772.16</v>
      </c>
      <c r="J449" s="536">
        <f t="shared" si="1263"/>
        <v>12372.16</v>
      </c>
      <c r="K449" s="256">
        <f t="shared" si="1264"/>
        <v>12372.16</v>
      </c>
      <c r="L449" s="536">
        <f>F449+150</f>
        <v>12322.16</v>
      </c>
      <c r="M449" s="256">
        <f t="shared" si="1266"/>
        <v>12322.16</v>
      </c>
      <c r="N449" s="536">
        <f>F449+110</f>
        <v>12282.16</v>
      </c>
      <c r="O449" s="256">
        <f t="shared" ref="O449" si="1276">+N449*$X$1</f>
        <v>12282.16</v>
      </c>
      <c r="P449" s="536">
        <f>F449+90</f>
        <v>12262.16</v>
      </c>
      <c r="Q449" s="256">
        <f t="shared" si="1269"/>
        <v>12262.16</v>
      </c>
      <c r="R449" s="536">
        <f>F449+70</f>
        <v>12242.16</v>
      </c>
      <c r="S449" s="256">
        <f t="shared" ref="S449" si="1277">+R449*$X$1</f>
        <v>12242.16</v>
      </c>
      <c r="T449" s="536">
        <f>F449+56</f>
        <v>12228.16</v>
      </c>
      <c r="U449" s="256">
        <f t="shared" si="1272"/>
        <v>12228.16</v>
      </c>
      <c r="V449" s="536">
        <f>F449+49</f>
        <v>12221.16</v>
      </c>
      <c r="W449" s="256">
        <f t="shared" si="1274"/>
        <v>12221.16</v>
      </c>
      <c r="X449" s="573"/>
      <c r="Y449" s="574"/>
      <c r="Z449" s="574"/>
      <c r="AA449" s="575"/>
      <c r="AB449" s="338">
        <v>2346</v>
      </c>
      <c r="AC449" s="62"/>
    </row>
    <row r="450" spans="1:29" ht="12.6" customHeight="1" x14ac:dyDescent="0.2">
      <c r="A450" s="17"/>
      <c r="B450" s="683" t="s">
        <v>632</v>
      </c>
      <c r="C450" s="703"/>
      <c r="D450" s="703"/>
      <c r="E450" s="704"/>
      <c r="F450" s="323">
        <f>12.76*X2</f>
        <v>19650.400000000001</v>
      </c>
      <c r="G450" s="255">
        <f t="shared" ref="G450" si="1278">+F450*$X$1</f>
        <v>19650.400000000001</v>
      </c>
      <c r="H450" s="527">
        <f t="shared" si="1261"/>
        <v>20250.400000000001</v>
      </c>
      <c r="I450" s="255">
        <f t="shared" si="1262"/>
        <v>20250.400000000001</v>
      </c>
      <c r="J450" s="527">
        <f t="shared" si="1263"/>
        <v>19850.400000000001</v>
      </c>
      <c r="K450" s="255">
        <f t="shared" si="1264"/>
        <v>19850.400000000001</v>
      </c>
      <c r="L450" s="527">
        <f t="shared" si="1265"/>
        <v>19800.400000000001</v>
      </c>
      <c r="M450" s="255">
        <f t="shared" si="1266"/>
        <v>19800.400000000001</v>
      </c>
      <c r="N450" s="527">
        <f t="shared" si="1267"/>
        <v>19760.400000000001</v>
      </c>
      <c r="O450" s="255">
        <f t="shared" si="1239"/>
        <v>19760.400000000001</v>
      </c>
      <c r="P450" s="527">
        <f t="shared" si="1268"/>
        <v>19740.400000000001</v>
      </c>
      <c r="Q450" s="255">
        <f t="shared" si="1269"/>
        <v>19740.400000000001</v>
      </c>
      <c r="R450" s="527">
        <f t="shared" si="1270"/>
        <v>19720.400000000001</v>
      </c>
      <c r="S450" s="255">
        <f t="shared" si="1241"/>
        <v>19720.400000000001</v>
      </c>
      <c r="T450" s="527">
        <f t="shared" si="1271"/>
        <v>19706.400000000001</v>
      </c>
      <c r="U450" s="255">
        <f t="shared" si="1272"/>
        <v>19706.400000000001</v>
      </c>
      <c r="V450" s="527">
        <f t="shared" si="1273"/>
        <v>19699.400000000001</v>
      </c>
      <c r="W450" s="255">
        <f t="shared" si="1274"/>
        <v>19699.400000000001</v>
      </c>
      <c r="X450" s="377"/>
      <c r="Y450" s="378"/>
      <c r="Z450" s="378"/>
      <c r="AA450" s="379"/>
      <c r="AB450" s="338" t="s">
        <v>684</v>
      </c>
      <c r="AC450" s="62"/>
    </row>
    <row r="451" spans="1:29" ht="12.6" customHeight="1" x14ac:dyDescent="0.2">
      <c r="A451" s="17"/>
      <c r="B451" s="642" t="s">
        <v>535</v>
      </c>
      <c r="C451" s="680"/>
      <c r="D451" s="680"/>
      <c r="E451" s="681"/>
      <c r="F451" s="324">
        <f>2.57*X2</f>
        <v>3957.7999999999997</v>
      </c>
      <c r="G451" s="256">
        <f t="shared" ref="G451" si="1279">+F451*$X$1</f>
        <v>3957.7999999999997</v>
      </c>
      <c r="H451" s="536"/>
      <c r="I451" s="256"/>
      <c r="J451" s="536">
        <f t="shared" si="1263"/>
        <v>4157.7999999999993</v>
      </c>
      <c r="K451" s="256">
        <f t="shared" si="1264"/>
        <v>4157.7999999999993</v>
      </c>
      <c r="L451" s="536">
        <f t="shared" si="1265"/>
        <v>4107.7999999999993</v>
      </c>
      <c r="M451" s="256">
        <f t="shared" si="1266"/>
        <v>4107.7999999999993</v>
      </c>
      <c r="N451" s="536">
        <f t="shared" si="1267"/>
        <v>4067.7999999999997</v>
      </c>
      <c r="O451" s="256">
        <f t="shared" si="1239"/>
        <v>4067.7999999999997</v>
      </c>
      <c r="P451" s="536">
        <f t="shared" si="1268"/>
        <v>4047.7999999999997</v>
      </c>
      <c r="Q451" s="256">
        <f t="shared" si="1269"/>
        <v>4047.7999999999997</v>
      </c>
      <c r="R451" s="536">
        <f t="shared" si="1270"/>
        <v>4027.7999999999997</v>
      </c>
      <c r="S451" s="256">
        <f t="shared" si="1241"/>
        <v>4027.7999999999997</v>
      </c>
      <c r="T451" s="536">
        <f t="shared" si="1271"/>
        <v>4013.7999999999997</v>
      </c>
      <c r="U451" s="256">
        <f t="shared" si="1272"/>
        <v>4013.7999999999997</v>
      </c>
      <c r="V451" s="536">
        <f t="shared" si="1273"/>
        <v>4006.7999999999997</v>
      </c>
      <c r="W451" s="256">
        <f t="shared" si="1274"/>
        <v>4006.7999999999997</v>
      </c>
      <c r="X451" s="319"/>
      <c r="Y451" s="320"/>
      <c r="Z451" s="320"/>
      <c r="AA451" s="321"/>
      <c r="AB451" s="338">
        <v>2350</v>
      </c>
      <c r="AC451" s="62"/>
    </row>
    <row r="452" spans="1:29" ht="12.6" customHeight="1" x14ac:dyDescent="0.2">
      <c r="A452" s="17"/>
      <c r="B452" s="683" t="s">
        <v>614</v>
      </c>
      <c r="C452" s="703"/>
      <c r="D452" s="703"/>
      <c r="E452" s="704"/>
      <c r="F452" s="323">
        <f>1.59*X2</f>
        <v>2448.6</v>
      </c>
      <c r="G452" s="255">
        <f t="shared" ref="G452" si="1280">+F452*$X$1</f>
        <v>2448.6</v>
      </c>
      <c r="H452" s="527">
        <f t="shared" si="1261"/>
        <v>3048.6</v>
      </c>
      <c r="I452" s="255">
        <f t="shared" si="1262"/>
        <v>3048.6</v>
      </c>
      <c r="J452" s="527">
        <f t="shared" si="1263"/>
        <v>2648.6</v>
      </c>
      <c r="K452" s="255">
        <f t="shared" si="1264"/>
        <v>2648.6</v>
      </c>
      <c r="L452" s="527">
        <f t="shared" si="1265"/>
        <v>2598.6</v>
      </c>
      <c r="M452" s="255">
        <f t="shared" si="1266"/>
        <v>2598.6</v>
      </c>
      <c r="N452" s="527">
        <f t="shared" si="1267"/>
        <v>2558.6</v>
      </c>
      <c r="O452" s="255">
        <f t="shared" si="1239"/>
        <v>2558.6</v>
      </c>
      <c r="P452" s="527">
        <f t="shared" si="1268"/>
        <v>2538.6</v>
      </c>
      <c r="Q452" s="255">
        <f t="shared" si="1269"/>
        <v>2538.6</v>
      </c>
      <c r="R452" s="527">
        <f t="shared" si="1270"/>
        <v>2518.6</v>
      </c>
      <c r="S452" s="255">
        <f t="shared" si="1241"/>
        <v>2518.6</v>
      </c>
      <c r="T452" s="527">
        <f t="shared" si="1271"/>
        <v>2504.6</v>
      </c>
      <c r="U452" s="255">
        <f t="shared" si="1272"/>
        <v>2504.6</v>
      </c>
      <c r="V452" s="527">
        <f t="shared" si="1273"/>
        <v>2497.6</v>
      </c>
      <c r="W452" s="255">
        <f t="shared" si="1274"/>
        <v>2497.6</v>
      </c>
      <c r="X452" s="368"/>
      <c r="Y452" s="369"/>
      <c r="Z452" s="369"/>
      <c r="AA452" s="370"/>
      <c r="AB452" s="338">
        <v>2352</v>
      </c>
      <c r="AC452" s="62"/>
    </row>
    <row r="453" spans="1:29" ht="12.6" customHeight="1" x14ac:dyDescent="0.2">
      <c r="A453" s="17"/>
      <c r="B453" s="642" t="s">
        <v>803</v>
      </c>
      <c r="C453" s="680"/>
      <c r="D453" s="680"/>
      <c r="E453" s="681"/>
      <c r="F453" s="324">
        <f>1.47*X2</f>
        <v>2263.8000000000002</v>
      </c>
      <c r="G453" s="256">
        <f t="shared" ref="G453" si="1281">+F453*$X$1</f>
        <v>2263.8000000000002</v>
      </c>
      <c r="H453" s="536">
        <f t="shared" si="1261"/>
        <v>2863.8</v>
      </c>
      <c r="I453" s="256">
        <f t="shared" si="1262"/>
        <v>2863.8</v>
      </c>
      <c r="J453" s="536">
        <f t="shared" si="1263"/>
        <v>2463.8000000000002</v>
      </c>
      <c r="K453" s="256">
        <f t="shared" si="1264"/>
        <v>2463.8000000000002</v>
      </c>
      <c r="L453" s="536">
        <f t="shared" si="1265"/>
        <v>2413.8000000000002</v>
      </c>
      <c r="M453" s="256">
        <f t="shared" si="1266"/>
        <v>2413.8000000000002</v>
      </c>
      <c r="N453" s="536">
        <f t="shared" si="1267"/>
        <v>2373.8000000000002</v>
      </c>
      <c r="O453" s="256">
        <f t="shared" si="1239"/>
        <v>2373.8000000000002</v>
      </c>
      <c r="P453" s="536">
        <f t="shared" si="1268"/>
        <v>2353.8000000000002</v>
      </c>
      <c r="Q453" s="256">
        <f t="shared" si="1269"/>
        <v>2353.8000000000002</v>
      </c>
      <c r="R453" s="536">
        <f t="shared" si="1270"/>
        <v>2333.8000000000002</v>
      </c>
      <c r="S453" s="256">
        <f t="shared" si="1241"/>
        <v>2333.8000000000002</v>
      </c>
      <c r="T453" s="536">
        <f t="shared" si="1271"/>
        <v>2319.8000000000002</v>
      </c>
      <c r="U453" s="256">
        <f t="shared" si="1272"/>
        <v>2319.8000000000002</v>
      </c>
      <c r="V453" s="536">
        <f t="shared" si="1273"/>
        <v>2312.8000000000002</v>
      </c>
      <c r="W453" s="256">
        <f t="shared" si="1274"/>
        <v>2312.8000000000002</v>
      </c>
      <c r="X453" s="463"/>
      <c r="Y453" s="461"/>
      <c r="Z453" s="461"/>
      <c r="AA453" s="462"/>
      <c r="AB453" s="338">
        <v>2353</v>
      </c>
      <c r="AC453" s="62"/>
    </row>
    <row r="454" spans="1:29" ht="12.6" customHeight="1" x14ac:dyDescent="0.2">
      <c r="A454" s="17"/>
      <c r="B454" s="683" t="s">
        <v>845</v>
      </c>
      <c r="C454" s="703"/>
      <c r="D454" s="703"/>
      <c r="E454" s="704"/>
      <c r="F454" s="323">
        <f>1.732*X2</f>
        <v>2667.28</v>
      </c>
      <c r="G454" s="255">
        <f t="shared" ref="G454" si="1282">+F454*$X$1</f>
        <v>2667.28</v>
      </c>
      <c r="H454" s="527">
        <f t="shared" si="1261"/>
        <v>3267.28</v>
      </c>
      <c r="I454" s="255">
        <f t="shared" si="1262"/>
        <v>3267.28</v>
      </c>
      <c r="J454" s="527">
        <f t="shared" si="1263"/>
        <v>2867.28</v>
      </c>
      <c r="K454" s="255">
        <f t="shared" si="1264"/>
        <v>2867.28</v>
      </c>
      <c r="L454" s="527">
        <f t="shared" si="1265"/>
        <v>2817.28</v>
      </c>
      <c r="M454" s="255">
        <f t="shared" si="1266"/>
        <v>2817.28</v>
      </c>
      <c r="N454" s="527">
        <f t="shared" si="1267"/>
        <v>2777.28</v>
      </c>
      <c r="O454" s="255">
        <f t="shared" si="1239"/>
        <v>2777.28</v>
      </c>
      <c r="P454" s="527">
        <f t="shared" si="1268"/>
        <v>2757.28</v>
      </c>
      <c r="Q454" s="255">
        <f t="shared" si="1269"/>
        <v>2757.28</v>
      </c>
      <c r="R454" s="527">
        <f t="shared" si="1270"/>
        <v>2737.28</v>
      </c>
      <c r="S454" s="255">
        <f t="shared" si="1241"/>
        <v>2737.28</v>
      </c>
      <c r="T454" s="527">
        <f t="shared" si="1271"/>
        <v>2723.28</v>
      </c>
      <c r="U454" s="255">
        <f t="shared" si="1272"/>
        <v>2723.28</v>
      </c>
      <c r="V454" s="527">
        <f t="shared" si="1273"/>
        <v>2716.28</v>
      </c>
      <c r="W454" s="255">
        <f t="shared" si="1274"/>
        <v>2716.28</v>
      </c>
      <c r="X454" s="494"/>
      <c r="Y454" s="495"/>
      <c r="Z454" s="495"/>
      <c r="AA454" s="496"/>
      <c r="AB454" s="338">
        <v>2354</v>
      </c>
      <c r="AC454" s="62"/>
    </row>
    <row r="455" spans="1:29" ht="12.6" customHeight="1" x14ac:dyDescent="0.2">
      <c r="A455" s="17"/>
      <c r="B455" s="642" t="s">
        <v>844</v>
      </c>
      <c r="C455" s="680"/>
      <c r="D455" s="680"/>
      <c r="E455" s="681"/>
      <c r="F455" s="324">
        <f>1.471*X2</f>
        <v>2265.34</v>
      </c>
      <c r="G455" s="256">
        <f t="shared" ref="G455" si="1283">+F455*$X$1</f>
        <v>2265.34</v>
      </c>
      <c r="H455" s="536">
        <f t="shared" si="1261"/>
        <v>2865.34</v>
      </c>
      <c r="I455" s="256">
        <f t="shared" si="1262"/>
        <v>2865.34</v>
      </c>
      <c r="J455" s="536">
        <f t="shared" si="1263"/>
        <v>2465.34</v>
      </c>
      <c r="K455" s="256">
        <f t="shared" si="1264"/>
        <v>2465.34</v>
      </c>
      <c r="L455" s="536">
        <f t="shared" si="1265"/>
        <v>2415.34</v>
      </c>
      <c r="M455" s="256">
        <f t="shared" si="1266"/>
        <v>2415.34</v>
      </c>
      <c r="N455" s="536">
        <f t="shared" si="1267"/>
        <v>2375.34</v>
      </c>
      <c r="O455" s="256">
        <f t="shared" si="1239"/>
        <v>2375.34</v>
      </c>
      <c r="P455" s="536">
        <f t="shared" si="1268"/>
        <v>2355.34</v>
      </c>
      <c r="Q455" s="256">
        <f t="shared" si="1269"/>
        <v>2355.34</v>
      </c>
      <c r="R455" s="536">
        <f t="shared" si="1270"/>
        <v>2335.34</v>
      </c>
      <c r="S455" s="256">
        <f t="shared" si="1241"/>
        <v>2335.34</v>
      </c>
      <c r="T455" s="536">
        <f t="shared" si="1271"/>
        <v>2321.34</v>
      </c>
      <c r="U455" s="256">
        <f t="shared" si="1272"/>
        <v>2321.34</v>
      </c>
      <c r="V455" s="536">
        <f t="shared" si="1273"/>
        <v>2314.34</v>
      </c>
      <c r="W455" s="256">
        <f t="shared" si="1274"/>
        <v>2314.34</v>
      </c>
      <c r="X455" s="494"/>
      <c r="Y455" s="495"/>
      <c r="Z455" s="495"/>
      <c r="AA455" s="496"/>
      <c r="AB455" s="338">
        <v>2355</v>
      </c>
      <c r="AC455" s="62"/>
    </row>
    <row r="456" spans="1:29" ht="12.6" customHeight="1" x14ac:dyDescent="0.2">
      <c r="A456" s="17"/>
      <c r="B456" s="683" t="s">
        <v>856</v>
      </c>
      <c r="C456" s="703"/>
      <c r="D456" s="703"/>
      <c r="E456" s="704"/>
      <c r="F456" s="323">
        <f>1.9*X2</f>
        <v>2926</v>
      </c>
      <c r="G456" s="255">
        <f>+F456*$X$1</f>
        <v>2926</v>
      </c>
      <c r="H456" s="527">
        <f t="shared" ref="H456:H458" si="1284">F456+700</f>
        <v>3626</v>
      </c>
      <c r="I456" s="255">
        <f t="shared" ref="I456:I458" si="1285">+H456*$X$1</f>
        <v>3626</v>
      </c>
      <c r="J456" s="68">
        <f t="shared" ref="J456:J458" si="1286">F456+280</f>
        <v>3206</v>
      </c>
      <c r="K456" s="255">
        <f t="shared" ref="K456:K458" si="1287">+J456*$X$1</f>
        <v>3206</v>
      </c>
      <c r="L456" s="527">
        <f t="shared" ref="L456:L458" si="1288">F456+210</f>
        <v>3136</v>
      </c>
      <c r="M456" s="255">
        <f t="shared" ref="M456:M458" si="1289">+L456*$X$1</f>
        <v>3136</v>
      </c>
      <c r="N456" s="527">
        <f t="shared" ref="N456:N458" si="1290">F456+160</f>
        <v>3086</v>
      </c>
      <c r="O456" s="255">
        <f t="shared" ref="O456:O458" si="1291">+N456*$X$1</f>
        <v>3086</v>
      </c>
      <c r="P456" s="527">
        <f t="shared" ref="P456:P458" si="1292">F456+130</f>
        <v>3056</v>
      </c>
      <c r="Q456" s="255">
        <f t="shared" ref="Q456:Q458" si="1293">+P456*$X$1</f>
        <v>3056</v>
      </c>
      <c r="R456" s="527">
        <f t="shared" ref="R456:R458" si="1294">F456+110</f>
        <v>3036</v>
      </c>
      <c r="S456" s="255">
        <f t="shared" ref="S456:S458" si="1295">+R456*$X$1</f>
        <v>3036</v>
      </c>
      <c r="T456" s="527">
        <f t="shared" ref="T456:T458" si="1296">F456+90</f>
        <v>3016</v>
      </c>
      <c r="U456" s="255">
        <f t="shared" ref="U456:U458" si="1297">+T456*$X$1</f>
        <v>3016</v>
      </c>
      <c r="V456" s="527">
        <f t="shared" ref="V456:V458" si="1298">F456+70</f>
        <v>2996</v>
      </c>
      <c r="W456" s="255">
        <f t="shared" ref="W456:W458" si="1299">+V456*$X$1</f>
        <v>2996</v>
      </c>
      <c r="X456" s="693"/>
      <c r="Y456" s="667"/>
      <c r="Z456" s="667"/>
      <c r="AA456" s="669"/>
      <c r="AB456" s="338">
        <v>2500</v>
      </c>
    </row>
    <row r="457" spans="1:29" ht="12.6" customHeight="1" x14ac:dyDescent="0.2">
      <c r="A457" s="17"/>
      <c r="B457" s="642" t="s">
        <v>741</v>
      </c>
      <c r="C457" s="680"/>
      <c r="D457" s="680"/>
      <c r="E457" s="681"/>
      <c r="F457" s="324">
        <f>3.463*X2</f>
        <v>5333.02</v>
      </c>
      <c r="G457" s="256">
        <f>+F457*$X$1</f>
        <v>5333.02</v>
      </c>
      <c r="H457" s="536">
        <f t="shared" si="1284"/>
        <v>6033.02</v>
      </c>
      <c r="I457" s="256">
        <f t="shared" si="1285"/>
        <v>6033.02</v>
      </c>
      <c r="J457" s="82">
        <f t="shared" si="1286"/>
        <v>5613.02</v>
      </c>
      <c r="K457" s="256">
        <f t="shared" si="1287"/>
        <v>5613.02</v>
      </c>
      <c r="L457" s="536">
        <f t="shared" si="1288"/>
        <v>5543.02</v>
      </c>
      <c r="M457" s="256">
        <f t="shared" si="1289"/>
        <v>5543.02</v>
      </c>
      <c r="N457" s="536">
        <f t="shared" si="1290"/>
        <v>5493.02</v>
      </c>
      <c r="O457" s="256">
        <f t="shared" si="1291"/>
        <v>5493.02</v>
      </c>
      <c r="P457" s="536">
        <f t="shared" si="1292"/>
        <v>5463.02</v>
      </c>
      <c r="Q457" s="256">
        <f t="shared" si="1293"/>
        <v>5463.02</v>
      </c>
      <c r="R457" s="536">
        <f t="shared" si="1294"/>
        <v>5443.02</v>
      </c>
      <c r="S457" s="256">
        <f t="shared" si="1295"/>
        <v>5443.02</v>
      </c>
      <c r="T457" s="536">
        <f t="shared" si="1296"/>
        <v>5423.02</v>
      </c>
      <c r="U457" s="256">
        <f t="shared" si="1297"/>
        <v>5423.02</v>
      </c>
      <c r="V457" s="536">
        <f t="shared" si="1298"/>
        <v>5403.02</v>
      </c>
      <c r="W457" s="256">
        <f t="shared" si="1299"/>
        <v>5403.02</v>
      </c>
      <c r="X457" s="693"/>
      <c r="Y457" s="667"/>
      <c r="Z457" s="667"/>
      <c r="AA457" s="669"/>
      <c r="AB457" s="338">
        <v>2503</v>
      </c>
    </row>
    <row r="458" spans="1:29" ht="12.6" customHeight="1" x14ac:dyDescent="0.2">
      <c r="A458" s="17"/>
      <c r="B458" s="683" t="s">
        <v>858</v>
      </c>
      <c r="C458" s="703"/>
      <c r="D458" s="703"/>
      <c r="E458" s="704"/>
      <c r="F458" s="323">
        <f>2.333*X2</f>
        <v>3592.82</v>
      </c>
      <c r="G458" s="255">
        <f>+F458*$X$1</f>
        <v>3592.82</v>
      </c>
      <c r="H458" s="527">
        <f t="shared" si="1284"/>
        <v>4292.82</v>
      </c>
      <c r="I458" s="255">
        <f t="shared" si="1285"/>
        <v>4292.82</v>
      </c>
      <c r="J458" s="68">
        <f t="shared" si="1286"/>
        <v>3872.82</v>
      </c>
      <c r="K458" s="255">
        <f t="shared" si="1287"/>
        <v>3872.82</v>
      </c>
      <c r="L458" s="527">
        <f t="shared" si="1288"/>
        <v>3802.82</v>
      </c>
      <c r="M458" s="255">
        <f t="shared" si="1289"/>
        <v>3802.82</v>
      </c>
      <c r="N458" s="527">
        <f t="shared" si="1290"/>
        <v>3752.82</v>
      </c>
      <c r="O458" s="255">
        <f t="shared" si="1291"/>
        <v>3752.82</v>
      </c>
      <c r="P458" s="527">
        <f t="shared" si="1292"/>
        <v>3722.82</v>
      </c>
      <c r="Q458" s="255">
        <f t="shared" si="1293"/>
        <v>3722.82</v>
      </c>
      <c r="R458" s="527">
        <f t="shared" si="1294"/>
        <v>3702.82</v>
      </c>
      <c r="S458" s="255">
        <f t="shared" si="1295"/>
        <v>3702.82</v>
      </c>
      <c r="T458" s="527">
        <f t="shared" si="1296"/>
        <v>3682.82</v>
      </c>
      <c r="U458" s="255">
        <f t="shared" si="1297"/>
        <v>3682.82</v>
      </c>
      <c r="V458" s="527">
        <f t="shared" si="1298"/>
        <v>3662.82</v>
      </c>
      <c r="W458" s="255">
        <f t="shared" si="1299"/>
        <v>3662.82</v>
      </c>
      <c r="X458" s="693"/>
      <c r="Y458" s="667"/>
      <c r="Z458" s="667"/>
      <c r="AA458" s="669"/>
      <c r="AB458" s="338">
        <v>2507</v>
      </c>
    </row>
    <row r="459" spans="1:29" ht="12.6" customHeight="1" x14ac:dyDescent="0.2">
      <c r="A459" s="17"/>
      <c r="B459" s="642" t="s">
        <v>438</v>
      </c>
      <c r="C459" s="643"/>
      <c r="D459" s="643"/>
      <c r="E459" s="644"/>
      <c r="F459" s="324">
        <f>1.5*X2</f>
        <v>2310</v>
      </c>
      <c r="G459" s="256">
        <f t="shared" ref="G459:G460" si="1300">+F459*$X$1</f>
        <v>2310</v>
      </c>
      <c r="H459" s="536"/>
      <c r="I459" s="256"/>
      <c r="J459" s="82">
        <f t="shared" ref="J459" si="1301">F459+280</f>
        <v>2590</v>
      </c>
      <c r="K459" s="256">
        <f t="shared" ref="K459" si="1302">+J459*$X$1</f>
        <v>2590</v>
      </c>
      <c r="L459" s="536">
        <f t="shared" ref="L459" si="1303">F459+210</f>
        <v>2520</v>
      </c>
      <c r="M459" s="256">
        <f t="shared" ref="M459" si="1304">+L459*$X$1</f>
        <v>2520</v>
      </c>
      <c r="N459" s="536">
        <f t="shared" ref="N459" si="1305">F459+160</f>
        <v>2470</v>
      </c>
      <c r="O459" s="256">
        <f t="shared" ref="O459" si="1306">+N459*$X$1</f>
        <v>2470</v>
      </c>
      <c r="P459" s="536">
        <f t="shared" ref="P459" si="1307">F459+130</f>
        <v>2440</v>
      </c>
      <c r="Q459" s="256">
        <f t="shared" ref="Q459" si="1308">+P459*$X$1</f>
        <v>2440</v>
      </c>
      <c r="R459" s="536">
        <f t="shared" ref="R459" si="1309">F459+110</f>
        <v>2420</v>
      </c>
      <c r="S459" s="256">
        <f t="shared" ref="S459" si="1310">+R459*$X$1</f>
        <v>2420</v>
      </c>
      <c r="T459" s="536">
        <f t="shared" ref="T459" si="1311">F459+90</f>
        <v>2400</v>
      </c>
      <c r="U459" s="256">
        <f t="shared" ref="U459" si="1312">+T459*$X$1</f>
        <v>2400</v>
      </c>
      <c r="V459" s="536">
        <f t="shared" ref="V459" si="1313">F459+70</f>
        <v>2380</v>
      </c>
      <c r="W459" s="256">
        <f t="shared" ref="W459" si="1314">+V459*$X$1</f>
        <v>2380</v>
      </c>
      <c r="X459" s="149"/>
      <c r="Y459" s="122"/>
      <c r="Z459" s="122"/>
      <c r="AA459" s="125"/>
      <c r="AB459" s="350">
        <v>3001</v>
      </c>
    </row>
    <row r="460" spans="1:29" ht="12.6" customHeight="1" x14ac:dyDescent="0.2">
      <c r="A460" s="17"/>
      <c r="B460" s="683" t="s">
        <v>974</v>
      </c>
      <c r="C460" s="684"/>
      <c r="D460" s="684"/>
      <c r="E460" s="685"/>
      <c r="F460" s="323">
        <f>3.08*X2</f>
        <v>4743.2</v>
      </c>
      <c r="G460" s="255">
        <f t="shared" si="1300"/>
        <v>4743.2</v>
      </c>
      <c r="H460" s="527"/>
      <c r="I460" s="255"/>
      <c r="J460" s="68"/>
      <c r="K460" s="255"/>
      <c r="L460" s="527"/>
      <c r="M460" s="255"/>
      <c r="N460" s="527">
        <f t="shared" ref="N460:N465" si="1315">F460+1440</f>
        <v>6183.2</v>
      </c>
      <c r="O460" s="255">
        <f t="shared" ref="O460" si="1316">+N460*$X$1</f>
        <v>6183.2</v>
      </c>
      <c r="P460" s="527">
        <f t="shared" ref="P460:P465" si="1317">F460+880</f>
        <v>5623.2</v>
      </c>
      <c r="Q460" s="255">
        <f t="shared" ref="Q460" si="1318">+P460*$X$1</f>
        <v>5623.2</v>
      </c>
      <c r="R460" s="527">
        <f t="shared" ref="R460:R465" si="1319">F460+800</f>
        <v>5543.2</v>
      </c>
      <c r="S460" s="255">
        <f t="shared" ref="S460" si="1320">+R460*$X$1</f>
        <v>5543.2</v>
      </c>
      <c r="T460" s="527">
        <f t="shared" ref="T460:T465" si="1321">F460+300</f>
        <v>5043.2</v>
      </c>
      <c r="U460" s="255">
        <f t="shared" ref="U460" si="1322">+T460*$X$1</f>
        <v>5043.2</v>
      </c>
      <c r="V460" s="527">
        <f t="shared" ref="V460:V465" si="1323">F460+200</f>
        <v>4943.2</v>
      </c>
      <c r="W460" s="255">
        <f t="shared" ref="W460" si="1324">+V460*$X$1</f>
        <v>4943.2</v>
      </c>
      <c r="X460" s="149"/>
      <c r="Y460" s="122"/>
      <c r="Z460" s="122"/>
      <c r="AA460" s="125"/>
      <c r="AB460" s="350">
        <v>3020</v>
      </c>
    </row>
    <row r="461" spans="1:29" ht="12.6" customHeight="1" x14ac:dyDescent="0.2">
      <c r="A461" s="17"/>
      <c r="B461" s="642" t="s">
        <v>976</v>
      </c>
      <c r="C461" s="643"/>
      <c r="D461" s="643"/>
      <c r="E461" s="644"/>
      <c r="F461" s="324">
        <f>3.08*X2</f>
        <v>4743.2</v>
      </c>
      <c r="G461" s="256">
        <f t="shared" ref="G461" si="1325">+F461*$X$1</f>
        <v>4743.2</v>
      </c>
      <c r="H461" s="536"/>
      <c r="I461" s="256"/>
      <c r="J461" s="82"/>
      <c r="K461" s="256"/>
      <c r="L461" s="536"/>
      <c r="M461" s="256"/>
      <c r="N461" s="536">
        <f t="shared" si="1315"/>
        <v>6183.2</v>
      </c>
      <c r="O461" s="256">
        <f t="shared" ref="O461" si="1326">+N461*$X$1</f>
        <v>6183.2</v>
      </c>
      <c r="P461" s="536">
        <f t="shared" si="1317"/>
        <v>5623.2</v>
      </c>
      <c r="Q461" s="256">
        <f t="shared" ref="Q461" si="1327">+P461*$X$1</f>
        <v>5623.2</v>
      </c>
      <c r="R461" s="536">
        <f t="shared" si="1319"/>
        <v>5543.2</v>
      </c>
      <c r="S461" s="256">
        <f t="shared" ref="S461" si="1328">+R461*$X$1</f>
        <v>5543.2</v>
      </c>
      <c r="T461" s="536">
        <f t="shared" si="1321"/>
        <v>5043.2</v>
      </c>
      <c r="U461" s="256">
        <f t="shared" ref="U461" si="1329">+T461*$X$1</f>
        <v>5043.2</v>
      </c>
      <c r="V461" s="536">
        <f t="shared" si="1323"/>
        <v>4943.2</v>
      </c>
      <c r="W461" s="256">
        <f t="shared" ref="W461" si="1330">+V461*$X$1</f>
        <v>4943.2</v>
      </c>
      <c r="X461" s="149"/>
      <c r="Y461" s="122"/>
      <c r="Z461" s="122"/>
      <c r="AA461" s="125"/>
      <c r="AB461" s="350">
        <v>3021</v>
      </c>
    </row>
    <row r="462" spans="1:29" ht="12.6" customHeight="1" x14ac:dyDescent="0.2">
      <c r="A462" s="17"/>
      <c r="B462" s="683" t="s">
        <v>975</v>
      </c>
      <c r="C462" s="684"/>
      <c r="D462" s="684"/>
      <c r="E462" s="685"/>
      <c r="F462" s="323">
        <f>3.08*X2</f>
        <v>4743.2</v>
      </c>
      <c r="G462" s="255">
        <f t="shared" ref="G462" si="1331">+F462*$X$1</f>
        <v>4743.2</v>
      </c>
      <c r="H462" s="527"/>
      <c r="I462" s="255"/>
      <c r="J462" s="68"/>
      <c r="K462" s="255"/>
      <c r="L462" s="527"/>
      <c r="M462" s="255"/>
      <c r="N462" s="527">
        <f t="shared" si="1315"/>
        <v>6183.2</v>
      </c>
      <c r="O462" s="255">
        <f t="shared" ref="O462" si="1332">+N462*$X$1</f>
        <v>6183.2</v>
      </c>
      <c r="P462" s="527">
        <f t="shared" si="1317"/>
        <v>5623.2</v>
      </c>
      <c r="Q462" s="255">
        <f t="shared" ref="Q462" si="1333">+P462*$X$1</f>
        <v>5623.2</v>
      </c>
      <c r="R462" s="527">
        <f t="shared" si="1319"/>
        <v>5543.2</v>
      </c>
      <c r="S462" s="255">
        <f t="shared" ref="S462" si="1334">+R462*$X$1</f>
        <v>5543.2</v>
      </c>
      <c r="T462" s="527">
        <f t="shared" si="1321"/>
        <v>5043.2</v>
      </c>
      <c r="U462" s="255">
        <f t="shared" ref="U462" si="1335">+T462*$X$1</f>
        <v>5043.2</v>
      </c>
      <c r="V462" s="527">
        <f t="shared" si="1323"/>
        <v>4943.2</v>
      </c>
      <c r="W462" s="255">
        <f t="shared" ref="W462" si="1336">+V462*$X$1</f>
        <v>4943.2</v>
      </c>
      <c r="X462" s="149"/>
      <c r="Y462" s="122"/>
      <c r="Z462" s="122"/>
      <c r="AA462" s="125"/>
      <c r="AB462" s="350">
        <v>3022</v>
      </c>
    </row>
    <row r="463" spans="1:29" ht="12.6" customHeight="1" x14ac:dyDescent="0.2">
      <c r="A463" s="17"/>
      <c r="B463" s="642" t="s">
        <v>977</v>
      </c>
      <c r="C463" s="643"/>
      <c r="D463" s="643"/>
      <c r="E463" s="644"/>
      <c r="F463" s="324">
        <f>3.08*X2</f>
        <v>4743.2</v>
      </c>
      <c r="G463" s="256">
        <f t="shared" ref="G463" si="1337">+F463*$X$1</f>
        <v>4743.2</v>
      </c>
      <c r="H463" s="536"/>
      <c r="I463" s="256"/>
      <c r="J463" s="82"/>
      <c r="K463" s="256"/>
      <c r="L463" s="536"/>
      <c r="M463" s="256"/>
      <c r="N463" s="536">
        <f t="shared" si="1315"/>
        <v>6183.2</v>
      </c>
      <c r="O463" s="256">
        <f t="shared" ref="O463" si="1338">+N463*$X$1</f>
        <v>6183.2</v>
      </c>
      <c r="P463" s="536">
        <f t="shared" si="1317"/>
        <v>5623.2</v>
      </c>
      <c r="Q463" s="256">
        <f t="shared" ref="Q463" si="1339">+P463*$X$1</f>
        <v>5623.2</v>
      </c>
      <c r="R463" s="536">
        <f t="shared" si="1319"/>
        <v>5543.2</v>
      </c>
      <c r="S463" s="256">
        <f t="shared" ref="S463" si="1340">+R463*$X$1</f>
        <v>5543.2</v>
      </c>
      <c r="T463" s="536">
        <f t="shared" si="1321"/>
        <v>5043.2</v>
      </c>
      <c r="U463" s="256">
        <f t="shared" ref="U463" si="1341">+T463*$X$1</f>
        <v>5043.2</v>
      </c>
      <c r="V463" s="536">
        <f t="shared" si="1323"/>
        <v>4943.2</v>
      </c>
      <c r="W463" s="256">
        <f t="shared" ref="W463" si="1342">+V463*$X$1</f>
        <v>4943.2</v>
      </c>
      <c r="X463" s="149"/>
      <c r="Y463" s="122"/>
      <c r="Z463" s="122"/>
      <c r="AA463" s="125"/>
      <c r="AB463" s="350">
        <v>3023</v>
      </c>
    </row>
    <row r="464" spans="1:29" ht="12.6" customHeight="1" x14ac:dyDescent="0.2">
      <c r="A464" s="17"/>
      <c r="B464" s="683" t="s">
        <v>978</v>
      </c>
      <c r="C464" s="684"/>
      <c r="D464" s="684"/>
      <c r="E464" s="685"/>
      <c r="F464" s="323">
        <f>3.08*X2</f>
        <v>4743.2</v>
      </c>
      <c r="G464" s="255">
        <f t="shared" ref="G464" si="1343">+F464*$X$1</f>
        <v>4743.2</v>
      </c>
      <c r="H464" s="527"/>
      <c r="I464" s="255"/>
      <c r="J464" s="68"/>
      <c r="K464" s="255"/>
      <c r="L464" s="527"/>
      <c r="M464" s="255"/>
      <c r="N464" s="527">
        <f t="shared" si="1315"/>
        <v>6183.2</v>
      </c>
      <c r="O464" s="255">
        <f t="shared" ref="O464" si="1344">+N464*$X$1</f>
        <v>6183.2</v>
      </c>
      <c r="P464" s="527">
        <f t="shared" si="1317"/>
        <v>5623.2</v>
      </c>
      <c r="Q464" s="255">
        <f t="shared" ref="Q464" si="1345">+P464*$X$1</f>
        <v>5623.2</v>
      </c>
      <c r="R464" s="527">
        <f t="shared" si="1319"/>
        <v>5543.2</v>
      </c>
      <c r="S464" s="255">
        <f t="shared" ref="S464" si="1346">+R464*$X$1</f>
        <v>5543.2</v>
      </c>
      <c r="T464" s="527">
        <f t="shared" si="1321"/>
        <v>5043.2</v>
      </c>
      <c r="U464" s="255">
        <f t="shared" ref="U464" si="1347">+T464*$X$1</f>
        <v>5043.2</v>
      </c>
      <c r="V464" s="527">
        <f t="shared" si="1323"/>
        <v>4943.2</v>
      </c>
      <c r="W464" s="255">
        <f t="shared" ref="W464" si="1348">+V464*$X$1</f>
        <v>4943.2</v>
      </c>
      <c r="X464" s="149"/>
      <c r="Y464" s="122"/>
      <c r="Z464" s="122"/>
      <c r="AA464" s="125"/>
      <c r="AB464" s="350">
        <v>3024</v>
      </c>
    </row>
    <row r="465" spans="1:35" ht="12.6" customHeight="1" x14ac:dyDescent="0.2">
      <c r="A465" s="17"/>
      <c r="B465" s="642" t="s">
        <v>979</v>
      </c>
      <c r="C465" s="643"/>
      <c r="D465" s="643"/>
      <c r="E465" s="644"/>
      <c r="F465" s="324">
        <f>3.08*X2</f>
        <v>4743.2</v>
      </c>
      <c r="G465" s="256">
        <f t="shared" ref="G465" si="1349">+F465*$X$1</f>
        <v>4743.2</v>
      </c>
      <c r="H465" s="536"/>
      <c r="I465" s="256"/>
      <c r="J465" s="82"/>
      <c r="K465" s="256"/>
      <c r="L465" s="536"/>
      <c r="M465" s="256"/>
      <c r="N465" s="536">
        <f t="shared" si="1315"/>
        <v>6183.2</v>
      </c>
      <c r="O465" s="256">
        <f t="shared" ref="O465:W469" si="1350">+N465*$X$1</f>
        <v>6183.2</v>
      </c>
      <c r="P465" s="536">
        <f t="shared" si="1317"/>
        <v>5623.2</v>
      </c>
      <c r="Q465" s="256">
        <f t="shared" ref="Q465" si="1351">+P465*$X$1</f>
        <v>5623.2</v>
      </c>
      <c r="R465" s="536">
        <f t="shared" si="1319"/>
        <v>5543.2</v>
      </c>
      <c r="S465" s="256">
        <f t="shared" ref="S465" si="1352">+R465*$X$1</f>
        <v>5543.2</v>
      </c>
      <c r="T465" s="536">
        <f t="shared" si="1321"/>
        <v>5043.2</v>
      </c>
      <c r="U465" s="256">
        <f t="shared" ref="U465" si="1353">+T465*$X$1</f>
        <v>5043.2</v>
      </c>
      <c r="V465" s="536">
        <f t="shared" si="1323"/>
        <v>4943.2</v>
      </c>
      <c r="W465" s="256">
        <f t="shared" ref="W465" si="1354">+V465*$X$1</f>
        <v>4943.2</v>
      </c>
      <c r="X465" s="149"/>
      <c r="Y465" s="122"/>
      <c r="Z465" s="122"/>
      <c r="AA465" s="125"/>
      <c r="AB465" s="350">
        <v>3025</v>
      </c>
    </row>
    <row r="466" spans="1:35" ht="12.6" customHeight="1" x14ac:dyDescent="0.2">
      <c r="A466" s="17"/>
      <c r="B466" s="683" t="s">
        <v>985</v>
      </c>
      <c r="C466" s="684"/>
      <c r="D466" s="684"/>
      <c r="E466" s="685"/>
      <c r="F466" s="323">
        <f>3.08*X2</f>
        <v>4743.2</v>
      </c>
      <c r="G466" s="255">
        <f t="shared" ref="G466" si="1355">+F466*$X$1</f>
        <v>4743.2</v>
      </c>
      <c r="H466" s="527"/>
      <c r="I466" s="255"/>
      <c r="J466" s="68"/>
      <c r="K466" s="255"/>
      <c r="L466" s="527"/>
      <c r="M466" s="255"/>
      <c r="N466" s="527">
        <f t="shared" ref="N466" si="1356">F466+1440</f>
        <v>6183.2</v>
      </c>
      <c r="O466" s="255">
        <f t="shared" ref="O466:W468" si="1357">+N466*$X$1</f>
        <v>6183.2</v>
      </c>
      <c r="P466" s="527">
        <f t="shared" ref="P466" si="1358">F466+880</f>
        <v>5623.2</v>
      </c>
      <c r="Q466" s="255">
        <f t="shared" ref="Q466" si="1359">+P466*$X$1</f>
        <v>5623.2</v>
      </c>
      <c r="R466" s="527">
        <f t="shared" ref="R466" si="1360">F466+800</f>
        <v>5543.2</v>
      </c>
      <c r="S466" s="255">
        <f t="shared" ref="S466" si="1361">+R466*$X$1</f>
        <v>5543.2</v>
      </c>
      <c r="T466" s="527">
        <f t="shared" ref="T466" si="1362">F466+300</f>
        <v>5043.2</v>
      </c>
      <c r="U466" s="255">
        <f t="shared" ref="U466" si="1363">+T466*$X$1</f>
        <v>5043.2</v>
      </c>
      <c r="V466" s="527">
        <f t="shared" ref="V466" si="1364">F466+200</f>
        <v>4943.2</v>
      </c>
      <c r="W466" s="255">
        <f t="shared" ref="W466" si="1365">+V466*$X$1</f>
        <v>4943.2</v>
      </c>
      <c r="X466" s="149"/>
      <c r="Y466" s="122"/>
      <c r="Z466" s="122"/>
      <c r="AA466" s="125"/>
      <c r="AB466" s="350">
        <v>3026</v>
      </c>
    </row>
    <row r="467" spans="1:35" ht="12.6" customHeight="1" x14ac:dyDescent="0.2">
      <c r="A467" s="17"/>
      <c r="B467" s="662" t="s">
        <v>1004</v>
      </c>
      <c r="C467" s="663"/>
      <c r="D467" s="663"/>
      <c r="E467" s="664"/>
      <c r="F467" s="324"/>
      <c r="G467" s="256"/>
      <c r="H467" s="536"/>
      <c r="I467" s="256"/>
      <c r="J467" s="82"/>
      <c r="K467" s="256"/>
      <c r="L467" s="536"/>
      <c r="M467" s="256"/>
      <c r="N467" s="536">
        <v>389</v>
      </c>
      <c r="O467" s="256">
        <f t="shared" si="1350"/>
        <v>389</v>
      </c>
      <c r="P467" s="536">
        <v>248</v>
      </c>
      <c r="Q467" s="256">
        <f t="shared" si="1350"/>
        <v>248</v>
      </c>
      <c r="R467" s="536">
        <v>238</v>
      </c>
      <c r="S467" s="256">
        <f t="shared" si="1350"/>
        <v>238</v>
      </c>
      <c r="T467" s="536">
        <v>198</v>
      </c>
      <c r="U467" s="256">
        <f t="shared" si="1350"/>
        <v>198</v>
      </c>
      <c r="V467" s="536">
        <v>158</v>
      </c>
      <c r="W467" s="256">
        <f t="shared" si="1350"/>
        <v>158</v>
      </c>
      <c r="X467" s="149"/>
      <c r="Y467" s="122"/>
      <c r="Z467" s="122"/>
      <c r="AA467" s="125"/>
      <c r="AB467" s="350">
        <v>3100</v>
      </c>
    </row>
    <row r="468" spans="1:35" ht="12.6" customHeight="1" x14ac:dyDescent="0.2">
      <c r="A468" s="17"/>
      <c r="B468" s="662" t="s">
        <v>1010</v>
      </c>
      <c r="C468" s="663"/>
      <c r="D468" s="663"/>
      <c r="E468" s="664"/>
      <c r="F468" s="323"/>
      <c r="G468" s="255"/>
      <c r="H468" s="527"/>
      <c r="I468" s="255"/>
      <c r="J468" s="68"/>
      <c r="K468" s="255"/>
      <c r="L468" s="527"/>
      <c r="M468" s="255"/>
      <c r="N468" s="527">
        <v>670</v>
      </c>
      <c r="O468" s="255">
        <f t="shared" si="1357"/>
        <v>670</v>
      </c>
      <c r="P468" s="527">
        <v>510</v>
      </c>
      <c r="Q468" s="255">
        <f t="shared" si="1357"/>
        <v>510</v>
      </c>
      <c r="R468" s="527">
        <v>433</v>
      </c>
      <c r="S468" s="255">
        <f t="shared" si="1357"/>
        <v>433</v>
      </c>
      <c r="T468" s="527">
        <v>354</v>
      </c>
      <c r="U468" s="255">
        <f t="shared" si="1357"/>
        <v>354</v>
      </c>
      <c r="V468" s="527">
        <v>295</v>
      </c>
      <c r="W468" s="255">
        <f t="shared" si="1357"/>
        <v>295</v>
      </c>
      <c r="X468" s="149"/>
      <c r="Y468" s="122"/>
      <c r="Z468" s="122"/>
      <c r="AA468" s="125"/>
      <c r="AB468" s="350"/>
    </row>
    <row r="469" spans="1:35" ht="12.6" customHeight="1" x14ac:dyDescent="0.2">
      <c r="A469" s="17"/>
      <c r="B469" s="662" t="s">
        <v>1009</v>
      </c>
      <c r="C469" s="663"/>
      <c r="D469" s="663"/>
      <c r="E469" s="664"/>
      <c r="F469" s="324"/>
      <c r="G469" s="256"/>
      <c r="H469" s="536"/>
      <c r="I469" s="256"/>
      <c r="J469" s="82"/>
      <c r="K469" s="256"/>
      <c r="L469" s="536"/>
      <c r="M469" s="256"/>
      <c r="N469" s="536">
        <v>848</v>
      </c>
      <c r="O469" s="256">
        <f t="shared" si="1350"/>
        <v>848</v>
      </c>
      <c r="P469" s="536">
        <v>628</v>
      </c>
      <c r="Q469" s="256">
        <f t="shared" si="1350"/>
        <v>628</v>
      </c>
      <c r="R469" s="536">
        <v>530</v>
      </c>
      <c r="S469" s="256">
        <f t="shared" si="1350"/>
        <v>530</v>
      </c>
      <c r="T469" s="536">
        <v>432</v>
      </c>
      <c r="U469" s="256">
        <f t="shared" si="1350"/>
        <v>432</v>
      </c>
      <c r="V469" s="536">
        <v>333</v>
      </c>
      <c r="W469" s="256">
        <f t="shared" si="1350"/>
        <v>333</v>
      </c>
      <c r="X469" s="149"/>
      <c r="Y469" s="122"/>
      <c r="Z469" s="122"/>
      <c r="AA469" s="125"/>
      <c r="AB469" s="350">
        <v>3106</v>
      </c>
    </row>
    <row r="470" spans="1:35" ht="12.6" customHeight="1" x14ac:dyDescent="0.2">
      <c r="A470" s="17"/>
      <c r="B470" s="662" t="s">
        <v>994</v>
      </c>
      <c r="C470" s="663"/>
      <c r="D470" s="663"/>
      <c r="E470" s="664"/>
      <c r="F470" s="324"/>
      <c r="G470" s="707" t="s">
        <v>531</v>
      </c>
      <c r="H470" s="708"/>
      <c r="I470" s="708"/>
      <c r="J470" s="708"/>
      <c r="K470" s="708"/>
      <c r="L470" s="708"/>
      <c r="M470" s="709"/>
      <c r="N470" s="527">
        <v>1080</v>
      </c>
      <c r="O470" s="255">
        <f t="shared" ref="O470:O471" si="1366">+N470*$X$1</f>
        <v>1080</v>
      </c>
      <c r="P470" s="527">
        <v>1073</v>
      </c>
      <c r="Q470" s="255">
        <f t="shared" ref="Q470:Q471" si="1367">+P470*$X$1</f>
        <v>1073</v>
      </c>
      <c r="R470" s="527">
        <v>990</v>
      </c>
      <c r="S470" s="255">
        <f t="shared" ref="S470:S471" si="1368">+R470*$X$1</f>
        <v>990</v>
      </c>
      <c r="T470" s="527">
        <v>930</v>
      </c>
      <c r="U470" s="255">
        <f t="shared" ref="U470:U471" si="1369">+T470*$X$1</f>
        <v>930</v>
      </c>
      <c r="V470" s="527">
        <v>795</v>
      </c>
      <c r="W470" s="255">
        <f t="shared" ref="W470:W471" si="1370">+V470*$X$1</f>
        <v>795</v>
      </c>
      <c r="X470" s="149"/>
      <c r="Y470" s="122"/>
      <c r="Z470" s="122"/>
      <c r="AA470" s="125"/>
      <c r="AB470" s="350"/>
    </row>
    <row r="471" spans="1:35" ht="12.6" customHeight="1" x14ac:dyDescent="0.2">
      <c r="A471" s="17"/>
      <c r="B471" s="662" t="s">
        <v>1001</v>
      </c>
      <c r="C471" s="663"/>
      <c r="D471" s="663"/>
      <c r="E471" s="664"/>
      <c r="F471" s="323"/>
      <c r="G471" s="707" t="s">
        <v>532</v>
      </c>
      <c r="H471" s="708"/>
      <c r="I471" s="818"/>
      <c r="J471" s="818"/>
      <c r="K471" s="818"/>
      <c r="L471" s="818"/>
      <c r="M471" s="819"/>
      <c r="N471" s="536">
        <v>1233</v>
      </c>
      <c r="O471" s="256">
        <f t="shared" si="1366"/>
        <v>1233</v>
      </c>
      <c r="P471" s="536">
        <v>1225</v>
      </c>
      <c r="Q471" s="256">
        <f t="shared" si="1367"/>
        <v>1225</v>
      </c>
      <c r="R471" s="536">
        <v>1130</v>
      </c>
      <c r="S471" s="256">
        <f t="shared" si="1368"/>
        <v>1130</v>
      </c>
      <c r="T471" s="536">
        <v>1063</v>
      </c>
      <c r="U471" s="256">
        <f t="shared" si="1369"/>
        <v>1063</v>
      </c>
      <c r="V471" s="536">
        <v>908</v>
      </c>
      <c r="W471" s="256">
        <f t="shared" si="1370"/>
        <v>908</v>
      </c>
      <c r="X471" s="149"/>
      <c r="Y471" s="122"/>
      <c r="Z471" s="122"/>
      <c r="AA471" s="125"/>
      <c r="AB471" s="350">
        <v>3111</v>
      </c>
    </row>
    <row r="472" spans="1:35" ht="12.6" customHeight="1" x14ac:dyDescent="0.2">
      <c r="A472" s="94"/>
      <c r="B472" s="634" t="s">
        <v>708</v>
      </c>
      <c r="C472" s="635"/>
      <c r="D472" s="635"/>
      <c r="E472" s="635"/>
      <c r="F472" s="255">
        <v>4592</v>
      </c>
      <c r="G472" s="255">
        <f t="shared" ref="G472" si="1371">+F472*$X$1</f>
        <v>4592</v>
      </c>
      <c r="H472" s="251"/>
      <c r="I472" s="302"/>
      <c r="J472" s="527"/>
      <c r="K472" s="255"/>
      <c r="L472" s="527">
        <f>F472+1220</f>
        <v>5812</v>
      </c>
      <c r="M472" s="255">
        <f t="shared" ref="M472" si="1372">+L472*$X$1</f>
        <v>5812</v>
      </c>
      <c r="N472" s="527">
        <f>F472+1000</f>
        <v>5592</v>
      </c>
      <c r="O472" s="255">
        <f t="shared" ref="O472:O473" si="1373">+N472*$X$1</f>
        <v>5592</v>
      </c>
      <c r="P472" s="527">
        <f>F472+900</f>
        <v>5492</v>
      </c>
      <c r="Q472" s="255">
        <f t="shared" ref="Q472:Q473" si="1374">+P472*$X$1</f>
        <v>5492</v>
      </c>
      <c r="R472" s="527">
        <f>F472+850</f>
        <v>5442</v>
      </c>
      <c r="S472" s="255">
        <f t="shared" ref="S472" si="1375">+R472*$X$1</f>
        <v>5442</v>
      </c>
      <c r="T472" s="527">
        <f>F472+800</f>
        <v>5392</v>
      </c>
      <c r="U472" s="255">
        <f t="shared" ref="U472" si="1376">+T472*$X$1</f>
        <v>5392</v>
      </c>
      <c r="V472" s="527">
        <f>F472+780</f>
        <v>5372</v>
      </c>
      <c r="W472" s="255">
        <f t="shared" ref="W472" si="1377">+V472*$X$1</f>
        <v>5372</v>
      </c>
      <c r="X472" s="196"/>
      <c r="Y472" s="198"/>
      <c r="Z472" s="198"/>
      <c r="AA472" s="197"/>
      <c r="AB472" s="338">
        <v>5003</v>
      </c>
      <c r="AC472" s="62"/>
    </row>
    <row r="473" spans="1:35" ht="12.6" customHeight="1" x14ac:dyDescent="0.2">
      <c r="A473" s="94"/>
      <c r="B473" s="636" t="s">
        <v>709</v>
      </c>
      <c r="C473" s="637"/>
      <c r="D473" s="637"/>
      <c r="E473" s="637"/>
      <c r="F473" s="256">
        <v>4592</v>
      </c>
      <c r="G473" s="256">
        <f t="shared" ref="G473" si="1378">+F473*$X$1</f>
        <v>4592</v>
      </c>
      <c r="H473" s="536">
        <f>F473+900</f>
        <v>5492</v>
      </c>
      <c r="I473" s="256">
        <f>+H473*$X$1</f>
        <v>5492</v>
      </c>
      <c r="J473" s="82">
        <f>F473+370</f>
        <v>4962</v>
      </c>
      <c r="K473" s="256">
        <f t="shared" ref="K473" si="1379">+J473*$X$1</f>
        <v>4962</v>
      </c>
      <c r="L473" s="536">
        <f>F473+310</f>
        <v>4902</v>
      </c>
      <c r="M473" s="256">
        <f t="shared" ref="M473" si="1380">+L473*$X$1</f>
        <v>4902</v>
      </c>
      <c r="N473" s="536">
        <f>F473+280</f>
        <v>4872</v>
      </c>
      <c r="O473" s="256">
        <f t="shared" si="1373"/>
        <v>4872</v>
      </c>
      <c r="P473" s="536">
        <f>F473+260</f>
        <v>4852</v>
      </c>
      <c r="Q473" s="256">
        <f t="shared" si="1374"/>
        <v>4852</v>
      </c>
      <c r="R473" s="536">
        <f>F473+240</f>
        <v>4832</v>
      </c>
      <c r="S473" s="256">
        <f t="shared" ref="S473" si="1381">+R473*$X$1</f>
        <v>4832</v>
      </c>
      <c r="T473" s="536">
        <f>F473+210</f>
        <v>4802</v>
      </c>
      <c r="U473" s="256">
        <f t="shared" ref="U473" si="1382">+T473*$X$1</f>
        <v>4802</v>
      </c>
      <c r="V473" s="536">
        <f>F473+180</f>
        <v>4772</v>
      </c>
      <c r="W473" s="256">
        <f t="shared" ref="W473" si="1383">+V473*$X$1</f>
        <v>4772</v>
      </c>
      <c r="X473" s="367"/>
      <c r="Y473" s="365"/>
      <c r="Z473" s="365"/>
      <c r="AA473" s="366"/>
      <c r="AB473" s="338" t="s">
        <v>626</v>
      </c>
      <c r="AC473" s="62"/>
    </row>
    <row r="474" spans="1:35" ht="12.6" customHeight="1" x14ac:dyDescent="0.2">
      <c r="A474" s="17"/>
      <c r="B474" s="678" t="s">
        <v>478</v>
      </c>
      <c r="C474" s="679"/>
      <c r="D474" s="679"/>
      <c r="E474" s="679"/>
      <c r="F474" s="255">
        <v>6135</v>
      </c>
      <c r="G474" s="255">
        <f t="shared" ref="G474" si="1384">+F474*$X$1</f>
        <v>6135</v>
      </c>
      <c r="H474" s="251"/>
      <c r="I474" s="302"/>
      <c r="J474" s="527"/>
      <c r="K474" s="255"/>
      <c r="L474" s="527">
        <f>F474+1700</f>
        <v>7835</v>
      </c>
      <c r="M474" s="255">
        <f t="shared" ref="M474" si="1385">+L474*$X$1</f>
        <v>7835</v>
      </c>
      <c r="N474" s="527">
        <f>F474+1370</f>
        <v>7505</v>
      </c>
      <c r="O474" s="255">
        <f t="shared" ref="O474" si="1386">+N474*$X$1</f>
        <v>7505</v>
      </c>
      <c r="P474" s="527">
        <f>F474+1150</f>
        <v>7285</v>
      </c>
      <c r="Q474" s="255">
        <f t="shared" ref="Q474" si="1387">+P474*$X$1</f>
        <v>7285</v>
      </c>
      <c r="R474" s="527">
        <f>F474+1110</f>
        <v>7245</v>
      </c>
      <c r="S474" s="255">
        <f>+R474*$X$1</f>
        <v>7245</v>
      </c>
      <c r="T474" s="527">
        <f>F474+1070</f>
        <v>7205</v>
      </c>
      <c r="U474" s="255">
        <f>+T474*$X$1</f>
        <v>7205</v>
      </c>
      <c r="V474" s="527"/>
      <c r="W474" s="255"/>
      <c r="X474" s="659"/>
      <c r="Y474" s="660"/>
      <c r="Z474" s="660"/>
      <c r="AA474" s="661"/>
      <c r="AB474" s="178">
        <v>5008</v>
      </c>
      <c r="AC474" s="35"/>
      <c r="AD474" s="35"/>
      <c r="AE474" s="35"/>
      <c r="AF474" s="35"/>
      <c r="AG474" s="35"/>
      <c r="AH474" s="35"/>
      <c r="AI474" s="35"/>
    </row>
    <row r="475" spans="1:35" ht="12.6" customHeight="1" x14ac:dyDescent="0.2">
      <c r="A475" s="17"/>
      <c r="B475" s="477"/>
      <c r="C475" s="478"/>
      <c r="D475" s="478"/>
      <c r="E475" s="478"/>
      <c r="F475" s="361"/>
      <c r="G475" s="295"/>
      <c r="H475" s="106"/>
      <c r="I475" s="295"/>
      <c r="J475" s="106"/>
      <c r="K475" s="295"/>
      <c r="L475" s="106"/>
      <c r="M475" s="295"/>
      <c r="N475" s="106"/>
      <c r="O475" s="295"/>
      <c r="P475" s="106"/>
      <c r="Q475" s="295"/>
      <c r="R475" s="106"/>
      <c r="S475" s="295"/>
      <c r="T475" s="106"/>
      <c r="U475" s="295"/>
      <c r="V475" s="106"/>
      <c r="W475" s="295"/>
      <c r="X475" s="484"/>
      <c r="Y475" s="71"/>
      <c r="Z475" s="71"/>
      <c r="AA475" s="71"/>
      <c r="AB475" s="483"/>
    </row>
    <row r="476" spans="1:35" ht="12.6" customHeight="1" x14ac:dyDescent="0.2">
      <c r="A476" s="17"/>
      <c r="B476" s="477"/>
      <c r="C476" s="478"/>
      <c r="D476" s="478"/>
      <c r="E476" s="478"/>
      <c r="F476" s="361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84"/>
      <c r="Y476" s="71"/>
      <c r="Z476" s="71"/>
      <c r="AA476" s="71"/>
      <c r="AB476" s="483"/>
    </row>
    <row r="477" spans="1:35" ht="12.6" customHeight="1" x14ac:dyDescent="0.2">
      <c r="A477" s="17"/>
      <c r="B477" s="477"/>
      <c r="C477" s="478"/>
      <c r="D477" s="478"/>
      <c r="E477" s="478"/>
      <c r="F477" s="361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84"/>
      <c r="Y477" s="71"/>
      <c r="Z477" s="71"/>
      <c r="AA477" s="71"/>
      <c r="AB477" s="483"/>
    </row>
    <row r="478" spans="1:35" ht="15.75" customHeight="1" x14ac:dyDescent="0.2">
      <c r="A478" s="17"/>
      <c r="B478" s="789" t="s">
        <v>11</v>
      </c>
      <c r="C478" s="775" t="s">
        <v>12</v>
      </c>
      <c r="D478" s="776"/>
      <c r="E478" s="776"/>
      <c r="F478" s="650" t="s">
        <v>13</v>
      </c>
      <c r="G478" s="650" t="s">
        <v>13</v>
      </c>
      <c r="H478" s="695" t="s">
        <v>723</v>
      </c>
      <c r="I478" s="695"/>
      <c r="J478" s="696"/>
      <c r="K478" s="696"/>
      <c r="L478" s="696"/>
      <c r="M478" s="696"/>
      <c r="N478" s="696"/>
      <c r="O478" s="696"/>
      <c r="P478" s="696"/>
      <c r="Q478" s="696"/>
      <c r="R478" s="696"/>
      <c r="S478" s="696"/>
      <c r="T478" s="696"/>
      <c r="U478" s="696"/>
      <c r="V478" s="696"/>
      <c r="W478" s="696"/>
      <c r="X478" s="771" t="s">
        <v>14</v>
      </c>
      <c r="Y478" s="771"/>
      <c r="Z478" s="771"/>
      <c r="AA478" s="771"/>
      <c r="AB478" s="692" t="s">
        <v>15</v>
      </c>
      <c r="AE478" s="61"/>
      <c r="AF478" s="640" t="s">
        <v>3</v>
      </c>
      <c r="AG478" s="641"/>
      <c r="AH478" s="641"/>
    </row>
    <row r="479" spans="1:35" ht="12" customHeight="1" x14ac:dyDescent="0.2">
      <c r="A479" s="17"/>
      <c r="B479" s="789"/>
      <c r="C479" s="776"/>
      <c r="D479" s="776"/>
      <c r="E479" s="776"/>
      <c r="F479" s="651"/>
      <c r="G479" s="651"/>
      <c r="H479" s="406"/>
      <c r="I479" s="398" t="s">
        <v>261</v>
      </c>
      <c r="J479" s="400"/>
      <c r="K479" s="398" t="s">
        <v>17</v>
      </c>
      <c r="L479" s="401"/>
      <c r="M479" s="401" t="s">
        <v>18</v>
      </c>
      <c r="N479" s="401"/>
      <c r="O479" s="398" t="s">
        <v>19</v>
      </c>
      <c r="P479" s="401"/>
      <c r="Q479" s="401" t="s">
        <v>262</v>
      </c>
      <c r="R479" s="401"/>
      <c r="S479" s="401" t="s">
        <v>20</v>
      </c>
      <c r="T479" s="401"/>
      <c r="U479" s="401" t="s">
        <v>21</v>
      </c>
      <c r="V479" s="401"/>
      <c r="W479" s="401" t="s">
        <v>22</v>
      </c>
      <c r="X479" s="771"/>
      <c r="Y479" s="771"/>
      <c r="Z479" s="771"/>
      <c r="AA479" s="771"/>
      <c r="AB479" s="692"/>
    </row>
    <row r="480" spans="1:35" ht="12.6" customHeight="1" x14ac:dyDescent="0.2">
      <c r="A480" s="17"/>
      <c r="B480" s="642" t="s">
        <v>479</v>
      </c>
      <c r="C480" s="680"/>
      <c r="D480" s="680"/>
      <c r="E480" s="681"/>
      <c r="F480" s="256">
        <v>8346</v>
      </c>
      <c r="G480" s="256">
        <f>+F480*$X$1</f>
        <v>8346</v>
      </c>
      <c r="H480" s="250"/>
      <c r="I480" s="303"/>
      <c r="J480" s="536"/>
      <c r="K480" s="256"/>
      <c r="L480" s="536">
        <f>F480+1700</f>
        <v>10046</v>
      </c>
      <c r="M480" s="256">
        <f t="shared" ref="M480" si="1388">+L480*$X$1</f>
        <v>10046</v>
      </c>
      <c r="N480" s="536">
        <f>F480+1370</f>
        <v>9716</v>
      </c>
      <c r="O480" s="256">
        <f t="shared" ref="O480" si="1389">+N480*$X$1</f>
        <v>9716</v>
      </c>
      <c r="P480" s="536">
        <f>F480+1150</f>
        <v>9496</v>
      </c>
      <c r="Q480" s="256">
        <f t="shared" ref="Q480" si="1390">+P480*$X$1</f>
        <v>9496</v>
      </c>
      <c r="R480" s="536">
        <f>F480+1110</f>
        <v>9456</v>
      </c>
      <c r="S480" s="256">
        <f>+R480*$X$1</f>
        <v>9456</v>
      </c>
      <c r="T480" s="536">
        <f>F480+1070</f>
        <v>9416</v>
      </c>
      <c r="U480" s="256">
        <f>+T480*$X$1</f>
        <v>9416</v>
      </c>
      <c r="V480" s="536"/>
      <c r="W480" s="256"/>
      <c r="X480" s="659"/>
      <c r="Y480" s="660"/>
      <c r="Z480" s="660"/>
      <c r="AA480" s="661"/>
      <c r="AB480" s="350">
        <v>5010</v>
      </c>
      <c r="AC480" s="35"/>
      <c r="AD480" s="35"/>
      <c r="AE480" s="35"/>
      <c r="AF480" s="35"/>
      <c r="AG480" s="35"/>
      <c r="AH480" s="35"/>
      <c r="AI480" s="35"/>
    </row>
    <row r="481" spans="1:35" ht="12.6" customHeight="1" x14ac:dyDescent="0.2">
      <c r="A481" s="17"/>
      <c r="B481" s="683" t="s">
        <v>480</v>
      </c>
      <c r="C481" s="703"/>
      <c r="D481" s="703"/>
      <c r="E481" s="704"/>
      <c r="F481" s="255">
        <v>4957</v>
      </c>
      <c r="G481" s="255">
        <f t="shared" ref="G481" si="1391">+F481*$X$1</f>
        <v>4957</v>
      </c>
      <c r="H481" s="251"/>
      <c r="I481" s="302"/>
      <c r="J481" s="527"/>
      <c r="K481" s="255"/>
      <c r="L481" s="527">
        <f>F481+1700</f>
        <v>6657</v>
      </c>
      <c r="M481" s="255">
        <f>+L481*$X$1</f>
        <v>6657</v>
      </c>
      <c r="N481" s="527">
        <f>F481+1370</f>
        <v>6327</v>
      </c>
      <c r="O481" s="255">
        <f>+N481*$X$1</f>
        <v>6327</v>
      </c>
      <c r="P481" s="527">
        <f>F481+1150</f>
        <v>6107</v>
      </c>
      <c r="Q481" s="255">
        <f>+P481*$X$1</f>
        <v>6107</v>
      </c>
      <c r="R481" s="527">
        <f>F481+1110</f>
        <v>6067</v>
      </c>
      <c r="S481" s="255">
        <f>+R481*$X$1</f>
        <v>6067</v>
      </c>
      <c r="T481" s="527">
        <f>F481+1070</f>
        <v>6027</v>
      </c>
      <c r="U481" s="255">
        <f>+T481*$X$1</f>
        <v>6027</v>
      </c>
      <c r="V481" s="527"/>
      <c r="W481" s="255"/>
      <c r="X481" s="659"/>
      <c r="Y481" s="660"/>
      <c r="Z481" s="660"/>
      <c r="AA481" s="661"/>
      <c r="AB481" s="350"/>
      <c r="AC481" s="35"/>
      <c r="AD481" s="35"/>
      <c r="AE481" s="35"/>
      <c r="AF481" s="35"/>
      <c r="AG481" s="35"/>
      <c r="AH481" s="35"/>
      <c r="AI481" s="35"/>
    </row>
    <row r="482" spans="1:35" ht="12.6" customHeight="1" x14ac:dyDescent="0.2">
      <c r="A482" s="17"/>
      <c r="B482" s="642" t="s">
        <v>481</v>
      </c>
      <c r="C482" s="680"/>
      <c r="D482" s="680"/>
      <c r="E482" s="681"/>
      <c r="F482" s="256">
        <v>6907</v>
      </c>
      <c r="G482" s="256">
        <f>+F482*$X$1</f>
        <v>6907</v>
      </c>
      <c r="H482" s="250"/>
      <c r="I482" s="303"/>
      <c r="J482" s="536"/>
      <c r="K482" s="256"/>
      <c r="L482" s="536">
        <f>F482+1700</f>
        <v>8607</v>
      </c>
      <c r="M482" s="256">
        <f>+L482*$X$1</f>
        <v>8607</v>
      </c>
      <c r="N482" s="536">
        <f>F482+1370</f>
        <v>8277</v>
      </c>
      <c r="O482" s="256">
        <f>+N482*$X$1</f>
        <v>8277</v>
      </c>
      <c r="P482" s="536">
        <f>F482+1150</f>
        <v>8057</v>
      </c>
      <c r="Q482" s="256">
        <f>+P482*$X$1</f>
        <v>8057</v>
      </c>
      <c r="R482" s="536">
        <f>F482+1110</f>
        <v>8017</v>
      </c>
      <c r="S482" s="256">
        <f>+R482*$X$1</f>
        <v>8017</v>
      </c>
      <c r="T482" s="536">
        <f>F482+1070</f>
        <v>7977</v>
      </c>
      <c r="U482" s="256">
        <f>+T482*$X$1</f>
        <v>7977</v>
      </c>
      <c r="V482" s="536"/>
      <c r="W482" s="256"/>
      <c r="X482" s="659"/>
      <c r="Y482" s="660"/>
      <c r="Z482" s="660"/>
      <c r="AA482" s="661"/>
      <c r="AB482" s="350"/>
      <c r="AC482" s="35"/>
      <c r="AD482" s="35"/>
      <c r="AE482" s="35"/>
      <c r="AF482" s="35"/>
      <c r="AG482" s="35"/>
      <c r="AH482" s="35"/>
      <c r="AI482" s="35"/>
    </row>
    <row r="483" spans="1:35" ht="12.6" customHeight="1" x14ac:dyDescent="0.2">
      <c r="A483" s="17"/>
      <c r="B483" s="652" t="s">
        <v>1000</v>
      </c>
      <c r="C483" s="653"/>
      <c r="D483" s="653"/>
      <c r="E483" s="653"/>
      <c r="F483" s="255"/>
      <c r="G483" s="255"/>
      <c r="H483" s="251"/>
      <c r="I483" s="302"/>
      <c r="J483" s="527"/>
      <c r="K483" s="255"/>
      <c r="L483" s="527">
        <v>1300</v>
      </c>
      <c r="M483" s="255">
        <f>+L483*$X$1</f>
        <v>1300</v>
      </c>
      <c r="N483" s="527">
        <v>1275</v>
      </c>
      <c r="O483" s="255">
        <f>+N483*$X$1</f>
        <v>1275</v>
      </c>
      <c r="P483" s="527">
        <v>1268</v>
      </c>
      <c r="Q483" s="255">
        <f>+P483*$X$1</f>
        <v>1268</v>
      </c>
      <c r="R483" s="527">
        <v>1262</v>
      </c>
      <c r="S483" s="255">
        <f>+R483*$X$1</f>
        <v>1262</v>
      </c>
      <c r="T483" s="527">
        <v>1165</v>
      </c>
      <c r="U483" s="255">
        <f>+T483*$X$1</f>
        <v>1165</v>
      </c>
      <c r="V483" s="527">
        <v>1155</v>
      </c>
      <c r="W483" s="255">
        <f>+V483*$X$1</f>
        <v>1155</v>
      </c>
      <c r="X483" s="654"/>
      <c r="Y483" s="655"/>
      <c r="Z483" s="655"/>
      <c r="AA483" s="656"/>
      <c r="AB483" s="350">
        <v>10603</v>
      </c>
      <c r="AC483" s="35"/>
      <c r="AD483" s="35"/>
      <c r="AE483" s="35"/>
      <c r="AF483" s="35"/>
      <c r="AG483" s="35"/>
      <c r="AH483" s="35"/>
      <c r="AI483" s="35"/>
    </row>
    <row r="484" spans="1:35" ht="12.6" customHeight="1" x14ac:dyDescent="0.2">
      <c r="A484" s="17"/>
      <c r="B484" s="657" t="s">
        <v>1002</v>
      </c>
      <c r="C484" s="658"/>
      <c r="D484" s="658"/>
      <c r="E484" s="658"/>
      <c r="F484" s="256">
        <v>2300</v>
      </c>
      <c r="G484" s="256">
        <f t="shared" ref="G484:G486" si="1392">+F484*$X$1</f>
        <v>2300</v>
      </c>
      <c r="H484" s="250"/>
      <c r="I484" s="303"/>
      <c r="J484" s="82">
        <f>F484+310</f>
        <v>2610</v>
      </c>
      <c r="K484" s="256">
        <f t="shared" ref="K484" si="1393">+J484*$X$1</f>
        <v>2610</v>
      </c>
      <c r="L484" s="536">
        <f>F484+250</f>
        <v>2550</v>
      </c>
      <c r="M484" s="256">
        <f t="shared" ref="M484" si="1394">+L484*$X$1</f>
        <v>2550</v>
      </c>
      <c r="N484" s="536">
        <f>F484+200</f>
        <v>2500</v>
      </c>
      <c r="O484" s="256">
        <f t="shared" ref="O484" si="1395">+N484*$X$1</f>
        <v>2500</v>
      </c>
      <c r="P484" s="536">
        <f>F484+175</f>
        <v>2475</v>
      </c>
      <c r="Q484" s="256">
        <f t="shared" ref="Q484" si="1396">+P484*$X$1</f>
        <v>2475</v>
      </c>
      <c r="R484" s="536">
        <f>F484+145</f>
        <v>2445</v>
      </c>
      <c r="S484" s="256">
        <f t="shared" ref="S484" si="1397">+R484*$X$1</f>
        <v>2445</v>
      </c>
      <c r="T484" s="536">
        <f>F484+130</f>
        <v>2430</v>
      </c>
      <c r="U484" s="256">
        <f t="shared" ref="U484" si="1398">+T484*$X$1</f>
        <v>2430</v>
      </c>
      <c r="V484" s="536">
        <f>F484+110</f>
        <v>2410</v>
      </c>
      <c r="W484" s="256">
        <f t="shared" ref="W484" si="1399">+V484*$X$1</f>
        <v>2410</v>
      </c>
      <c r="X484" s="654"/>
      <c r="Y484" s="655"/>
      <c r="Z484" s="655"/>
      <c r="AA484" s="656"/>
      <c r="AB484" s="350">
        <v>11604</v>
      </c>
    </row>
    <row r="485" spans="1:35" ht="12.6" customHeight="1" x14ac:dyDescent="0.2">
      <c r="A485" s="17"/>
      <c r="B485" s="678" t="s">
        <v>477</v>
      </c>
      <c r="C485" s="682"/>
      <c r="D485" s="682"/>
      <c r="E485" s="682"/>
      <c r="F485" s="255">
        <v>2300</v>
      </c>
      <c r="G485" s="255">
        <f>+F485*$X$1</f>
        <v>2300</v>
      </c>
      <c r="H485" s="251"/>
      <c r="I485" s="302"/>
      <c r="J485" s="527">
        <f>F485+450</f>
        <v>2750</v>
      </c>
      <c r="K485" s="255">
        <f t="shared" ref="K485" si="1400">+J485*$X$1</f>
        <v>2750</v>
      </c>
      <c r="L485" s="527">
        <f>F485+380</f>
        <v>2680</v>
      </c>
      <c r="M485" s="255">
        <f>+L485*$X$1</f>
        <v>2680</v>
      </c>
      <c r="N485" s="527">
        <f>F485+340</f>
        <v>2640</v>
      </c>
      <c r="O485" s="255">
        <f>+N485*$X$1</f>
        <v>2640</v>
      </c>
      <c r="P485" s="527">
        <f>F485+300</f>
        <v>2600</v>
      </c>
      <c r="Q485" s="255">
        <f t="shared" ref="Q485" si="1401">+P485*$X$1</f>
        <v>2600</v>
      </c>
      <c r="R485" s="527">
        <f>F485+270</f>
        <v>2570</v>
      </c>
      <c r="S485" s="255">
        <f>+R485*$X$1</f>
        <v>2570</v>
      </c>
      <c r="T485" s="527">
        <f>F485+240</f>
        <v>2540</v>
      </c>
      <c r="U485" s="255">
        <f t="shared" ref="U485" si="1402">+T485*$X$1</f>
        <v>2540</v>
      </c>
      <c r="V485" s="527">
        <f>F485+220</f>
        <v>2520</v>
      </c>
      <c r="W485" s="255">
        <f>+V485*$X$1</f>
        <v>2520</v>
      </c>
      <c r="X485" s="654"/>
      <c r="Y485" s="655"/>
      <c r="Z485" s="655"/>
      <c r="AA485" s="656"/>
      <c r="AB485" s="350">
        <v>11605</v>
      </c>
    </row>
    <row r="486" spans="1:35" ht="12.6" customHeight="1" x14ac:dyDescent="0.2">
      <c r="A486" s="17"/>
      <c r="B486" s="657" t="s">
        <v>1003</v>
      </c>
      <c r="C486" s="658"/>
      <c r="D486" s="658"/>
      <c r="E486" s="658"/>
      <c r="F486" s="256">
        <v>760</v>
      </c>
      <c r="G486" s="256">
        <f t="shared" si="1392"/>
        <v>760</v>
      </c>
      <c r="H486" s="250"/>
      <c r="I486" s="250"/>
      <c r="J486" s="536"/>
      <c r="K486" s="256"/>
      <c r="L486" s="536"/>
      <c r="M486" s="256"/>
      <c r="N486" s="536"/>
      <c r="O486" s="256"/>
      <c r="P486" s="536"/>
      <c r="Q486" s="256"/>
      <c r="R486" s="536"/>
      <c r="S486" s="256"/>
      <c r="T486" s="536"/>
      <c r="U486" s="444"/>
      <c r="V486" s="536"/>
      <c r="W486" s="444"/>
      <c r="X486" s="654"/>
      <c r="Y486" s="655"/>
      <c r="Z486" s="655"/>
      <c r="AA486" s="656"/>
      <c r="AB486" s="353"/>
    </row>
    <row r="487" spans="1:35" ht="12.6" customHeight="1" x14ac:dyDescent="0.2">
      <c r="A487" s="17"/>
      <c r="B487" s="678" t="s">
        <v>228</v>
      </c>
      <c r="C487" s="682"/>
      <c r="D487" s="682"/>
      <c r="E487" s="682"/>
      <c r="F487" s="255">
        <v>1190</v>
      </c>
      <c r="G487" s="255">
        <f>+F487*$X$1</f>
        <v>1190</v>
      </c>
      <c r="H487" s="251"/>
      <c r="I487" s="251"/>
      <c r="J487" s="68">
        <f>F487+310</f>
        <v>1500</v>
      </c>
      <c r="K487" s="255">
        <f t="shared" ref="K487" si="1403">+J487*$X$1</f>
        <v>1500</v>
      </c>
      <c r="L487" s="527">
        <f>F487+250</f>
        <v>1440</v>
      </c>
      <c r="M487" s="255">
        <f t="shared" ref="M487" si="1404">+L487*$X$1</f>
        <v>1440</v>
      </c>
      <c r="N487" s="527">
        <f>F487+200</f>
        <v>1390</v>
      </c>
      <c r="O487" s="255">
        <f t="shared" ref="O487" si="1405">+N487*$X$1</f>
        <v>1390</v>
      </c>
      <c r="P487" s="527">
        <f>F487+175</f>
        <v>1365</v>
      </c>
      <c r="Q487" s="255">
        <f t="shared" ref="Q487" si="1406">+P487*$X$1</f>
        <v>1365</v>
      </c>
      <c r="R487" s="527">
        <f>F487+145</f>
        <v>1335</v>
      </c>
      <c r="S487" s="255">
        <f t="shared" ref="S487" si="1407">+R487*$X$1</f>
        <v>1335</v>
      </c>
      <c r="T487" s="527">
        <f>F487+130</f>
        <v>1320</v>
      </c>
      <c r="U487" s="255">
        <f t="shared" ref="U487" si="1408">+T487*$X$1</f>
        <v>1320</v>
      </c>
      <c r="V487" s="527">
        <f>F487+110</f>
        <v>1300</v>
      </c>
      <c r="W487" s="255">
        <f t="shared" ref="W487" si="1409">+V487*$X$1</f>
        <v>1300</v>
      </c>
      <c r="X487" s="138"/>
      <c r="Y487" s="119"/>
      <c r="Z487" s="119"/>
      <c r="AA487" s="119"/>
      <c r="AB487" s="354"/>
    </row>
    <row r="488" spans="1:35" ht="12.6" customHeight="1" x14ac:dyDescent="0.2">
      <c r="A488" s="94"/>
      <c r="B488" s="630" t="s">
        <v>229</v>
      </c>
      <c r="C488" s="760"/>
      <c r="D488" s="760"/>
      <c r="E488" s="760"/>
      <c r="F488" s="451">
        <v>80</v>
      </c>
      <c r="G488" s="451">
        <f>+F488*$X$1</f>
        <v>80</v>
      </c>
      <c r="H488" s="505"/>
      <c r="I488" s="505"/>
      <c r="J488" s="505"/>
      <c r="K488" s="505"/>
      <c r="L488" s="505"/>
      <c r="M488" s="505"/>
      <c r="N488" s="505"/>
      <c r="O488" s="451"/>
      <c r="P488" s="505"/>
      <c r="Q488" s="451"/>
      <c r="R488" s="505"/>
      <c r="S488" s="451"/>
      <c r="T488" s="505"/>
      <c r="U488" s="451"/>
      <c r="V488" s="505"/>
      <c r="W488" s="451"/>
      <c r="X488" s="138"/>
      <c r="Y488" s="119"/>
      <c r="Z488" s="119"/>
      <c r="AA488" s="119"/>
      <c r="AB488" s="178">
        <v>11612</v>
      </c>
    </row>
    <row r="489" spans="1:35" ht="12.6" customHeight="1" x14ac:dyDescent="0.2">
      <c r="A489" s="17"/>
      <c r="B489" s="662" t="s">
        <v>1021</v>
      </c>
      <c r="C489" s="665"/>
      <c r="D489" s="665"/>
      <c r="E489" s="666"/>
      <c r="F489" s="323">
        <v>2150</v>
      </c>
      <c r="G489" s="255">
        <f>+F489*$X$1</f>
        <v>2150</v>
      </c>
      <c r="H489" s="527"/>
      <c r="I489" s="255"/>
      <c r="J489" s="527"/>
      <c r="K489" s="255"/>
      <c r="L489" s="527"/>
      <c r="M489" s="255"/>
      <c r="N489" s="527">
        <f t="shared" ref="N489" si="1410">F489+200</f>
        <v>2350</v>
      </c>
      <c r="O489" s="255">
        <f t="shared" ref="O489" si="1411">+N489*$X$1</f>
        <v>2350</v>
      </c>
      <c r="P489" s="527">
        <f t="shared" ref="P489" si="1412">F489+170</f>
        <v>2320</v>
      </c>
      <c r="Q489" s="255">
        <f t="shared" ref="Q489" si="1413">+P489*$X$1</f>
        <v>2320</v>
      </c>
      <c r="R489" s="527">
        <f t="shared" ref="R489" si="1414">F489+150</f>
        <v>2300</v>
      </c>
      <c r="S489" s="255">
        <f t="shared" ref="S489" si="1415">+R489*$X$1</f>
        <v>2300</v>
      </c>
      <c r="T489" s="93">
        <f t="shared" ref="T489" si="1416">F489+130</f>
        <v>2280</v>
      </c>
      <c r="U489" s="234">
        <f t="shared" ref="U489" si="1417">+T489*$X$1</f>
        <v>2280</v>
      </c>
      <c r="V489" s="93">
        <f t="shared" ref="V489" si="1418">F489+110</f>
        <v>2260</v>
      </c>
      <c r="W489" s="234">
        <f t="shared" ref="W489" si="1419">+V489*$X$1</f>
        <v>2260</v>
      </c>
      <c r="X489" s="667"/>
      <c r="Y489" s="668"/>
      <c r="Z489" s="668"/>
      <c r="AA489" s="669"/>
      <c r="AB489" s="178" t="s">
        <v>1022</v>
      </c>
    </row>
    <row r="490" spans="1:35" ht="12.6" customHeight="1" x14ac:dyDescent="0.2">
      <c r="A490" s="17"/>
      <c r="B490" s="662" t="s">
        <v>1024</v>
      </c>
      <c r="C490" s="665"/>
      <c r="D490" s="665"/>
      <c r="E490" s="666"/>
      <c r="F490" s="324">
        <v>2150</v>
      </c>
      <c r="G490" s="256">
        <f>+F490*$X$1</f>
        <v>2150</v>
      </c>
      <c r="H490" s="536"/>
      <c r="I490" s="256"/>
      <c r="J490" s="536"/>
      <c r="K490" s="256"/>
      <c r="L490" s="536"/>
      <c r="M490" s="256"/>
      <c r="N490" s="536">
        <f>F490+260</f>
        <v>2410</v>
      </c>
      <c r="O490" s="256">
        <f t="shared" ref="O490" si="1420">+N490*$X$1</f>
        <v>2410</v>
      </c>
      <c r="P490" s="536">
        <f>F490+220</f>
        <v>2370</v>
      </c>
      <c r="Q490" s="256">
        <f t="shared" ref="Q490" si="1421">+P490*$X$1</f>
        <v>2370</v>
      </c>
      <c r="R490" s="536">
        <f>F490+195</f>
        <v>2345</v>
      </c>
      <c r="S490" s="256">
        <f t="shared" ref="S490" si="1422">+R490*$X$1</f>
        <v>2345</v>
      </c>
      <c r="T490" s="92">
        <f>F490+170</f>
        <v>2320</v>
      </c>
      <c r="U490" s="269">
        <f t="shared" ref="U490" si="1423">+T490*$X$1</f>
        <v>2320</v>
      </c>
      <c r="V490" s="92">
        <f>F490+145</f>
        <v>2295</v>
      </c>
      <c r="W490" s="269">
        <f t="shared" ref="W490" si="1424">+V490*$X$1</f>
        <v>2295</v>
      </c>
      <c r="X490" s="667"/>
      <c r="Y490" s="668"/>
      <c r="Z490" s="668"/>
      <c r="AA490" s="669"/>
      <c r="AB490" s="178"/>
    </row>
    <row r="491" spans="1:35" ht="12.6" customHeight="1" x14ac:dyDescent="0.2">
      <c r="A491" s="17"/>
      <c r="B491" s="662" t="s">
        <v>940</v>
      </c>
      <c r="C491" s="665"/>
      <c r="D491" s="665"/>
      <c r="E491" s="666"/>
      <c r="F491" s="323">
        <f>3.14*X2</f>
        <v>4835.6000000000004</v>
      </c>
      <c r="G491" s="255">
        <f>+F491*$X$1</f>
        <v>4835.6000000000004</v>
      </c>
      <c r="H491" s="527">
        <f>F491+650</f>
        <v>5485.6</v>
      </c>
      <c r="I491" s="255">
        <f t="shared" ref="I491:I492" si="1425">+H491*$X$1</f>
        <v>5485.6</v>
      </c>
      <c r="J491" s="527">
        <f>F491+230</f>
        <v>5065.6000000000004</v>
      </c>
      <c r="K491" s="255">
        <f t="shared" ref="K491:K492" si="1426">+J491*$X$1</f>
        <v>5065.6000000000004</v>
      </c>
      <c r="L491" s="527">
        <f>F491+190</f>
        <v>5025.6000000000004</v>
      </c>
      <c r="M491" s="255">
        <f t="shared" ref="M491:M492" si="1427">+L491*$X$1</f>
        <v>5025.6000000000004</v>
      </c>
      <c r="N491" s="527">
        <f>F491+150</f>
        <v>4985.6000000000004</v>
      </c>
      <c r="O491" s="255">
        <f t="shared" ref="O491" si="1428">+N491*$X$1</f>
        <v>4985.6000000000004</v>
      </c>
      <c r="P491" s="527">
        <f>F491+130</f>
        <v>4965.6000000000004</v>
      </c>
      <c r="Q491" s="255">
        <f t="shared" ref="Q491:Q492" si="1429">+P491*$X$1</f>
        <v>4965.6000000000004</v>
      </c>
      <c r="R491" s="527">
        <f>F491+110</f>
        <v>4945.6000000000004</v>
      </c>
      <c r="S491" s="255">
        <f t="shared" ref="S491" si="1430">+R491*$X$1</f>
        <v>4945.6000000000004</v>
      </c>
      <c r="T491" s="527">
        <f>F491+90</f>
        <v>4925.6000000000004</v>
      </c>
      <c r="U491" s="255">
        <f t="shared" ref="U491:U492" si="1431">+T491*$X$1</f>
        <v>4925.6000000000004</v>
      </c>
      <c r="V491" s="527">
        <f>F491+70</f>
        <v>4905.6000000000004</v>
      </c>
      <c r="W491" s="255">
        <f t="shared" ref="W491" si="1432">+V491*$X$1</f>
        <v>4905.6000000000004</v>
      </c>
      <c r="X491" s="667"/>
      <c r="Y491" s="668"/>
      <c r="Z491" s="668"/>
      <c r="AA491" s="669"/>
      <c r="AB491" s="178" t="s">
        <v>942</v>
      </c>
    </row>
    <row r="492" spans="1:35" ht="12.6" customHeight="1" x14ac:dyDescent="0.2">
      <c r="A492" s="17"/>
      <c r="B492" s="642" t="s">
        <v>1020</v>
      </c>
      <c r="C492" s="680"/>
      <c r="D492" s="680"/>
      <c r="E492" s="681"/>
      <c r="F492" s="324">
        <f>1.16*X2</f>
        <v>1786.3999999999999</v>
      </c>
      <c r="G492" s="256">
        <f t="shared" ref="G492" si="1433">+F492*$X$1</f>
        <v>1786.3999999999999</v>
      </c>
      <c r="H492" s="536">
        <f t="shared" ref="H492" si="1434">F492+600</f>
        <v>2386.3999999999996</v>
      </c>
      <c r="I492" s="256">
        <f t="shared" si="1425"/>
        <v>2386.3999999999996</v>
      </c>
      <c r="J492" s="536">
        <f t="shared" ref="J492" si="1435">F492+200</f>
        <v>1986.3999999999999</v>
      </c>
      <c r="K492" s="256">
        <f t="shared" si="1426"/>
        <v>1986.3999999999999</v>
      </c>
      <c r="L492" s="536">
        <f>F492+150</f>
        <v>1936.3999999999999</v>
      </c>
      <c r="M492" s="256">
        <f t="shared" si="1427"/>
        <v>1936.3999999999999</v>
      </c>
      <c r="N492" s="536">
        <f>F492+110</f>
        <v>1896.3999999999999</v>
      </c>
      <c r="O492" s="256">
        <f>+N492*$X$1</f>
        <v>1896.3999999999999</v>
      </c>
      <c r="P492" s="536">
        <f>F492+90</f>
        <v>1876.3999999999999</v>
      </c>
      <c r="Q492" s="256">
        <f t="shared" si="1429"/>
        <v>1876.3999999999999</v>
      </c>
      <c r="R492" s="536">
        <f>F492+70</f>
        <v>1856.3999999999999</v>
      </c>
      <c r="S492" s="256">
        <f>+R492*$X$1</f>
        <v>1856.3999999999999</v>
      </c>
      <c r="T492" s="536">
        <f>F492+56</f>
        <v>1842.3999999999999</v>
      </c>
      <c r="U492" s="256">
        <f t="shared" si="1431"/>
        <v>1842.3999999999999</v>
      </c>
      <c r="V492" s="536"/>
      <c r="W492" s="256"/>
      <c r="X492" s="667"/>
      <c r="Y492" s="668"/>
      <c r="Z492" s="668"/>
      <c r="AA492" s="669"/>
      <c r="AB492" s="178" t="s">
        <v>1023</v>
      </c>
    </row>
    <row r="493" spans="1:35" ht="12.6" customHeight="1" x14ac:dyDescent="0.2">
      <c r="A493" s="17"/>
      <c r="B493" s="683" t="s">
        <v>740</v>
      </c>
      <c r="C493" s="703"/>
      <c r="D493" s="703"/>
      <c r="E493" s="704"/>
      <c r="F493" s="323">
        <f>1.16*X2</f>
        <v>1786.3999999999999</v>
      </c>
      <c r="G493" s="255">
        <f t="shared" ref="G493" si="1436">+F493*$X$1</f>
        <v>1786.3999999999999</v>
      </c>
      <c r="H493" s="527">
        <f t="shared" ref="H493" si="1437">F493+600</f>
        <v>2386.3999999999996</v>
      </c>
      <c r="I493" s="255">
        <f t="shared" ref="I493" si="1438">+H493*$X$1</f>
        <v>2386.3999999999996</v>
      </c>
      <c r="J493" s="527">
        <f t="shared" ref="J493" si="1439">F493+200</f>
        <v>1986.3999999999999</v>
      </c>
      <c r="K493" s="255">
        <f t="shared" ref="K493" si="1440">+J493*$X$1</f>
        <v>1986.3999999999999</v>
      </c>
      <c r="L493" s="527">
        <f>F493+150</f>
        <v>1936.3999999999999</v>
      </c>
      <c r="M493" s="255">
        <f t="shared" ref="M493" si="1441">+L493*$X$1</f>
        <v>1936.3999999999999</v>
      </c>
      <c r="N493" s="527">
        <f>F493+110</f>
        <v>1896.3999999999999</v>
      </c>
      <c r="O493" s="255">
        <f>+N493*$X$1</f>
        <v>1896.3999999999999</v>
      </c>
      <c r="P493" s="527">
        <f>F493+90</f>
        <v>1876.3999999999999</v>
      </c>
      <c r="Q493" s="255">
        <f t="shared" ref="Q493" si="1442">+P493*$X$1</f>
        <v>1876.3999999999999</v>
      </c>
      <c r="R493" s="527">
        <f>F493+70</f>
        <v>1856.3999999999999</v>
      </c>
      <c r="S493" s="255">
        <f>+R493*$X$1</f>
        <v>1856.3999999999999</v>
      </c>
      <c r="T493" s="527">
        <f>F493+56</f>
        <v>1842.3999999999999</v>
      </c>
      <c r="U493" s="255">
        <f t="shared" ref="U493" si="1443">+T493*$X$1</f>
        <v>1842.3999999999999</v>
      </c>
      <c r="V493" s="527"/>
      <c r="W493" s="255"/>
      <c r="X493" s="667"/>
      <c r="Y493" s="668"/>
      <c r="Z493" s="668"/>
      <c r="AA493" s="669"/>
      <c r="AB493" s="178" t="s">
        <v>464</v>
      </c>
    </row>
    <row r="494" spans="1:35" ht="12.6" customHeight="1" x14ac:dyDescent="0.2">
      <c r="A494" s="17"/>
      <c r="B494" s="662" t="s">
        <v>928</v>
      </c>
      <c r="C494" s="665"/>
      <c r="D494" s="665"/>
      <c r="E494" s="666"/>
      <c r="F494" s="324">
        <f>1.706*X2</f>
        <v>2627.24</v>
      </c>
      <c r="G494" s="256">
        <f>+F494*$X$1</f>
        <v>2627.24</v>
      </c>
      <c r="H494" s="536">
        <f t="shared" ref="H494" si="1444">F494+600</f>
        <v>3227.24</v>
      </c>
      <c r="I494" s="256">
        <f t="shared" ref="I494:I496" si="1445">+H494*$X$1</f>
        <v>3227.24</v>
      </c>
      <c r="J494" s="536">
        <f t="shared" ref="J494" si="1446">F494+200</f>
        <v>2827.24</v>
      </c>
      <c r="K494" s="256">
        <f t="shared" ref="K494:K496" si="1447">+J494*$X$1</f>
        <v>2827.24</v>
      </c>
      <c r="L494" s="536">
        <f>F494+150</f>
        <v>2777.24</v>
      </c>
      <c r="M494" s="256">
        <f t="shared" ref="M494:M496" si="1448">+L494*$X$1</f>
        <v>2777.24</v>
      </c>
      <c r="N494" s="536">
        <f>F494+110</f>
        <v>2737.24</v>
      </c>
      <c r="O494" s="256">
        <f>+N494*$X$1</f>
        <v>2737.24</v>
      </c>
      <c r="P494" s="536">
        <f>F494+90</f>
        <v>2717.24</v>
      </c>
      <c r="Q494" s="256">
        <f t="shared" ref="Q494:Q496" si="1449">+P494*$X$1</f>
        <v>2717.24</v>
      </c>
      <c r="R494" s="536">
        <f>F494+70</f>
        <v>2697.24</v>
      </c>
      <c r="S494" s="256">
        <f>+R494*$X$1</f>
        <v>2697.24</v>
      </c>
      <c r="T494" s="536">
        <f>F494+56</f>
        <v>2683.24</v>
      </c>
      <c r="U494" s="256">
        <f t="shared" ref="U494:U496" si="1450">+T494*$X$1</f>
        <v>2683.24</v>
      </c>
      <c r="V494" s="536">
        <f>F494+49</f>
        <v>2676.24</v>
      </c>
      <c r="W494" s="256">
        <f t="shared" ref="W494:W496" si="1451">+V494*$X$1</f>
        <v>2676.24</v>
      </c>
      <c r="X494" s="667"/>
      <c r="Y494" s="668"/>
      <c r="Z494" s="668"/>
      <c r="AA494" s="669"/>
      <c r="AB494" s="178" t="s">
        <v>927</v>
      </c>
    </row>
    <row r="495" spans="1:35" ht="12.6" customHeight="1" x14ac:dyDescent="0.2">
      <c r="A495" s="17"/>
      <c r="B495" s="662" t="s">
        <v>941</v>
      </c>
      <c r="C495" s="665"/>
      <c r="D495" s="665"/>
      <c r="E495" s="666"/>
      <c r="F495" s="323">
        <f>3.14*X2</f>
        <v>4835.6000000000004</v>
      </c>
      <c r="G495" s="255">
        <f>+F495*$X$1</f>
        <v>4835.6000000000004</v>
      </c>
      <c r="H495" s="527">
        <f>F495+650</f>
        <v>5485.6</v>
      </c>
      <c r="I495" s="255">
        <f t="shared" ref="I495" si="1452">+H495*$X$1</f>
        <v>5485.6</v>
      </c>
      <c r="J495" s="527">
        <f>F495+230</f>
        <v>5065.6000000000004</v>
      </c>
      <c r="K495" s="255">
        <f t="shared" ref="K495" si="1453">+J495*$X$1</f>
        <v>5065.6000000000004</v>
      </c>
      <c r="L495" s="527">
        <f>F495+190</f>
        <v>5025.6000000000004</v>
      </c>
      <c r="M495" s="255">
        <f t="shared" ref="M495" si="1454">+L495*$X$1</f>
        <v>5025.6000000000004</v>
      </c>
      <c r="N495" s="527">
        <f>F495+150</f>
        <v>4985.6000000000004</v>
      </c>
      <c r="O495" s="255">
        <f t="shared" ref="O495" si="1455">+N495*$X$1</f>
        <v>4985.6000000000004</v>
      </c>
      <c r="P495" s="527">
        <f>F495+130</f>
        <v>4965.6000000000004</v>
      </c>
      <c r="Q495" s="255">
        <f t="shared" ref="Q495" si="1456">+P495*$X$1</f>
        <v>4965.6000000000004</v>
      </c>
      <c r="R495" s="527">
        <f>F495+110</f>
        <v>4945.6000000000004</v>
      </c>
      <c r="S495" s="255">
        <f t="shared" ref="S495" si="1457">+R495*$X$1</f>
        <v>4945.6000000000004</v>
      </c>
      <c r="T495" s="527">
        <f>F495+90</f>
        <v>4925.6000000000004</v>
      </c>
      <c r="U495" s="255">
        <f t="shared" ref="U495" si="1458">+T495*$X$1</f>
        <v>4925.6000000000004</v>
      </c>
      <c r="V495" s="527">
        <f>F495+70</f>
        <v>4905.6000000000004</v>
      </c>
      <c r="W495" s="255">
        <f t="shared" ref="W495" si="1459">+V495*$X$1</f>
        <v>4905.6000000000004</v>
      </c>
      <c r="X495" s="667"/>
      <c r="Y495" s="668"/>
      <c r="Z495" s="668"/>
      <c r="AA495" s="669"/>
      <c r="AB495" s="178" t="s">
        <v>943</v>
      </c>
    </row>
    <row r="496" spans="1:35" ht="12.6" customHeight="1" x14ac:dyDescent="0.2">
      <c r="A496" s="17"/>
      <c r="B496" s="662" t="s">
        <v>930</v>
      </c>
      <c r="C496" s="665"/>
      <c r="D496" s="665"/>
      <c r="E496" s="666"/>
      <c r="F496" s="324">
        <f>3.77*X2</f>
        <v>5805.8</v>
      </c>
      <c r="G496" s="256">
        <f t="shared" ref="G496" si="1460">+F496*$X$1</f>
        <v>5805.8</v>
      </c>
      <c r="H496" s="536">
        <f>F496+650</f>
        <v>6455.8</v>
      </c>
      <c r="I496" s="256">
        <f t="shared" si="1445"/>
        <v>6455.8</v>
      </c>
      <c r="J496" s="536">
        <f>F496+230</f>
        <v>6035.8</v>
      </c>
      <c r="K496" s="256">
        <f t="shared" si="1447"/>
        <v>6035.8</v>
      </c>
      <c r="L496" s="536">
        <f>F496+190</f>
        <v>5995.8</v>
      </c>
      <c r="M496" s="256">
        <f t="shared" si="1448"/>
        <v>5995.8</v>
      </c>
      <c r="N496" s="536">
        <f>F496+150</f>
        <v>5955.8</v>
      </c>
      <c r="O496" s="256">
        <f t="shared" ref="O496" si="1461">+N496*$X$1</f>
        <v>5955.8</v>
      </c>
      <c r="P496" s="536">
        <f>F496+130</f>
        <v>5935.8</v>
      </c>
      <c r="Q496" s="256">
        <f t="shared" si="1449"/>
        <v>5935.8</v>
      </c>
      <c r="R496" s="536">
        <f>F496+110</f>
        <v>5915.8</v>
      </c>
      <c r="S496" s="256">
        <f t="shared" ref="S496" si="1462">+R496*$X$1</f>
        <v>5915.8</v>
      </c>
      <c r="T496" s="536">
        <f>F496+90</f>
        <v>5895.8</v>
      </c>
      <c r="U496" s="256">
        <f t="shared" si="1450"/>
        <v>5895.8</v>
      </c>
      <c r="V496" s="536">
        <f>F496+70</f>
        <v>5875.8</v>
      </c>
      <c r="W496" s="256">
        <f t="shared" si="1451"/>
        <v>5875.8</v>
      </c>
      <c r="X496" s="667"/>
      <c r="Y496" s="668"/>
      <c r="Z496" s="668"/>
      <c r="AA496" s="669"/>
      <c r="AB496" s="178" t="s">
        <v>929</v>
      </c>
    </row>
    <row r="497" spans="1:33" ht="12.6" customHeight="1" x14ac:dyDescent="0.2">
      <c r="A497" s="94"/>
      <c r="B497" s="634" t="s">
        <v>936</v>
      </c>
      <c r="C497" s="635"/>
      <c r="D497" s="635"/>
      <c r="E497" s="635"/>
      <c r="F497" s="323">
        <f>3.77*X2</f>
        <v>5805.8</v>
      </c>
      <c r="G497" s="255">
        <f>+F497*$X$1</f>
        <v>5805.8</v>
      </c>
      <c r="H497" s="527">
        <f>F497+650</f>
        <v>6455.8</v>
      </c>
      <c r="I497" s="255">
        <f t="shared" ref="I497" si="1463">+H497*$X$1</f>
        <v>6455.8</v>
      </c>
      <c r="J497" s="527">
        <f>F497+230</f>
        <v>6035.8</v>
      </c>
      <c r="K497" s="255">
        <f t="shared" ref="K497" si="1464">+J497*$X$1</f>
        <v>6035.8</v>
      </c>
      <c r="L497" s="527">
        <f>F497+190</f>
        <v>5995.8</v>
      </c>
      <c r="M497" s="255">
        <f t="shared" ref="M497" si="1465">+L497*$X$1</f>
        <v>5995.8</v>
      </c>
      <c r="N497" s="527">
        <f>F497+150</f>
        <v>5955.8</v>
      </c>
      <c r="O497" s="255">
        <f t="shared" ref="O497" si="1466">+N497*$X$1</f>
        <v>5955.8</v>
      </c>
      <c r="P497" s="527">
        <f>F497+130</f>
        <v>5935.8</v>
      </c>
      <c r="Q497" s="255">
        <f t="shared" ref="Q497" si="1467">+P497*$X$1</f>
        <v>5935.8</v>
      </c>
      <c r="R497" s="527">
        <f>F497+110</f>
        <v>5915.8</v>
      </c>
      <c r="S497" s="255">
        <f t="shared" ref="S497" si="1468">+R497*$X$1</f>
        <v>5915.8</v>
      </c>
      <c r="T497" s="527">
        <f>F497+90</f>
        <v>5895.8</v>
      </c>
      <c r="U497" s="255">
        <f t="shared" ref="U497" si="1469">+T497*$X$1</f>
        <v>5895.8</v>
      </c>
      <c r="V497" s="527">
        <f>F497+70</f>
        <v>5875.8</v>
      </c>
      <c r="W497" s="255">
        <f t="shared" ref="W497" si="1470">+V497*$X$1</f>
        <v>5875.8</v>
      </c>
      <c r="X497" s="667"/>
      <c r="Y497" s="667"/>
      <c r="Z497" s="667"/>
      <c r="AA497" s="667"/>
      <c r="AB497" s="338" t="s">
        <v>937</v>
      </c>
      <c r="AC497" s="62"/>
    </row>
    <row r="498" spans="1:33" ht="12.6" customHeight="1" x14ac:dyDescent="0.2">
      <c r="A498" s="94"/>
      <c r="B498" s="636" t="s">
        <v>590</v>
      </c>
      <c r="C498" s="637"/>
      <c r="D498" s="637"/>
      <c r="E498" s="637"/>
      <c r="F498" s="324">
        <f>3.14*X2</f>
        <v>4835.6000000000004</v>
      </c>
      <c r="G498" s="256">
        <f>+F498*$X$1</f>
        <v>4835.6000000000004</v>
      </c>
      <c r="H498" s="536">
        <f>F498+650</f>
        <v>5485.6</v>
      </c>
      <c r="I498" s="256">
        <f>+H498*$X$1</f>
        <v>5485.6</v>
      </c>
      <c r="J498" s="536">
        <f>F498+230</f>
        <v>5065.6000000000004</v>
      </c>
      <c r="K498" s="256">
        <f>+J498*$X$1</f>
        <v>5065.6000000000004</v>
      </c>
      <c r="L498" s="536">
        <f>F498+190</f>
        <v>5025.6000000000004</v>
      </c>
      <c r="M498" s="256">
        <f>+L498*$X$1</f>
        <v>5025.6000000000004</v>
      </c>
      <c r="N498" s="536">
        <f>F498+150</f>
        <v>4985.6000000000004</v>
      </c>
      <c r="O498" s="256">
        <f t="shared" ref="O498" si="1471">+N498*$X$1</f>
        <v>4985.6000000000004</v>
      </c>
      <c r="P498" s="536">
        <f>F498+130</f>
        <v>4965.6000000000004</v>
      </c>
      <c r="Q498" s="256">
        <f>+P498*$X$1</f>
        <v>4965.6000000000004</v>
      </c>
      <c r="R498" s="536">
        <f>F498+110</f>
        <v>4945.6000000000004</v>
      </c>
      <c r="S498" s="256">
        <f t="shared" ref="S498" si="1472">+R498*$X$1</f>
        <v>4945.6000000000004</v>
      </c>
      <c r="T498" s="536">
        <f>F498+90</f>
        <v>4925.6000000000004</v>
      </c>
      <c r="U498" s="256">
        <f>+T498*$X$1</f>
        <v>4925.6000000000004</v>
      </c>
      <c r="V498" s="536">
        <f>F498+70</f>
        <v>4905.6000000000004</v>
      </c>
      <c r="W498" s="256">
        <f>+V498*$X$1</f>
        <v>4905.6000000000004</v>
      </c>
      <c r="X498" s="667"/>
      <c r="Y498" s="667"/>
      <c r="Z498" s="667"/>
      <c r="AA498" s="667"/>
      <c r="AB498" s="338" t="s">
        <v>589</v>
      </c>
      <c r="AC498" s="62"/>
    </row>
    <row r="499" spans="1:33" ht="12.6" customHeight="1" x14ac:dyDescent="0.2">
      <c r="A499" s="17"/>
      <c r="B499" s="662" t="s">
        <v>945</v>
      </c>
      <c r="C499" s="665"/>
      <c r="D499" s="665"/>
      <c r="E499" s="666"/>
      <c r="F499" s="323">
        <f>3.512*X2</f>
        <v>5408.48</v>
      </c>
      <c r="G499" s="255">
        <f t="shared" ref="G499" si="1473">+F499*$X$1</f>
        <v>5408.48</v>
      </c>
      <c r="H499" s="527">
        <f t="shared" ref="H499" si="1474">F499+600</f>
        <v>6008.48</v>
      </c>
      <c r="I499" s="255">
        <f t="shared" ref="I499" si="1475">+H499*$X$1</f>
        <v>6008.48</v>
      </c>
      <c r="J499" s="527">
        <f t="shared" ref="J499" si="1476">F499+200</f>
        <v>5608.48</v>
      </c>
      <c r="K499" s="255">
        <f t="shared" ref="K499" si="1477">+J499*$X$1</f>
        <v>5608.48</v>
      </c>
      <c r="L499" s="527">
        <f>F499+150</f>
        <v>5558.48</v>
      </c>
      <c r="M499" s="255">
        <f t="shared" ref="M499" si="1478">+L499*$X$1</f>
        <v>5558.48</v>
      </c>
      <c r="N499" s="527">
        <f>F499+110</f>
        <v>5518.48</v>
      </c>
      <c r="O499" s="255">
        <f>+N499*$X$1</f>
        <v>5518.48</v>
      </c>
      <c r="P499" s="527">
        <f>F499+90</f>
        <v>5498.48</v>
      </c>
      <c r="Q499" s="255">
        <f t="shared" ref="Q499" si="1479">+P499*$X$1</f>
        <v>5498.48</v>
      </c>
      <c r="R499" s="527">
        <f>F499+70</f>
        <v>5478.48</v>
      </c>
      <c r="S499" s="255">
        <f>+R499*$X$1</f>
        <v>5478.48</v>
      </c>
      <c r="T499" s="527">
        <f>F499+56</f>
        <v>5464.48</v>
      </c>
      <c r="U499" s="255">
        <f t="shared" ref="U499" si="1480">+T499*$X$1</f>
        <v>5464.48</v>
      </c>
      <c r="V499" s="527">
        <f>F499+49</f>
        <v>5457.48</v>
      </c>
      <c r="W499" s="255">
        <f t="shared" ref="W499" si="1481">+V499*$X$1</f>
        <v>5457.48</v>
      </c>
      <c r="X499" s="667"/>
      <c r="Y499" s="668"/>
      <c r="Z499" s="668"/>
      <c r="AA499" s="669"/>
      <c r="AB499" s="178" t="s">
        <v>931</v>
      </c>
    </row>
    <row r="500" spans="1:33" ht="12.6" customHeight="1" x14ac:dyDescent="0.2">
      <c r="A500" s="17"/>
      <c r="B500" s="662" t="s">
        <v>944</v>
      </c>
      <c r="C500" s="665"/>
      <c r="D500" s="665"/>
      <c r="E500" s="666"/>
      <c r="F500" s="324">
        <f>4.4*X2</f>
        <v>6776.0000000000009</v>
      </c>
      <c r="G500" s="256">
        <f t="shared" ref="G500" si="1482">+F500*$X$1</f>
        <v>6776.0000000000009</v>
      </c>
      <c r="H500" s="536">
        <f t="shared" ref="H500" si="1483">F500+600</f>
        <v>7376.0000000000009</v>
      </c>
      <c r="I500" s="256">
        <f t="shared" ref="I500" si="1484">+H500*$X$1</f>
        <v>7376.0000000000009</v>
      </c>
      <c r="J500" s="536">
        <f t="shared" ref="J500" si="1485">F500+200</f>
        <v>6976.0000000000009</v>
      </c>
      <c r="K500" s="256">
        <f t="shared" ref="K500" si="1486">+J500*$X$1</f>
        <v>6976.0000000000009</v>
      </c>
      <c r="L500" s="536">
        <f>F500+150</f>
        <v>6926.0000000000009</v>
      </c>
      <c r="M500" s="256">
        <f t="shared" ref="M500" si="1487">+L500*$X$1</f>
        <v>6926.0000000000009</v>
      </c>
      <c r="N500" s="536">
        <f>F500+110</f>
        <v>6886.0000000000009</v>
      </c>
      <c r="O500" s="256">
        <f>+N500*$X$1</f>
        <v>6886.0000000000009</v>
      </c>
      <c r="P500" s="536">
        <f>F500+90</f>
        <v>6866.0000000000009</v>
      </c>
      <c r="Q500" s="256">
        <f t="shared" ref="Q500" si="1488">+P500*$X$1</f>
        <v>6866.0000000000009</v>
      </c>
      <c r="R500" s="536">
        <f>F500+70</f>
        <v>6846.0000000000009</v>
      </c>
      <c r="S500" s="256">
        <f>+R500*$X$1</f>
        <v>6846.0000000000009</v>
      </c>
      <c r="T500" s="536">
        <f>F500+56</f>
        <v>6832.0000000000009</v>
      </c>
      <c r="U500" s="256">
        <f t="shared" ref="U500" si="1489">+T500*$X$1</f>
        <v>6832.0000000000009</v>
      </c>
      <c r="V500" s="536">
        <f>F500+49</f>
        <v>6825.0000000000009</v>
      </c>
      <c r="W500" s="256">
        <f t="shared" ref="W500" si="1490">+V500*$X$1</f>
        <v>6825.0000000000009</v>
      </c>
      <c r="X500" s="667"/>
      <c r="Y500" s="668"/>
      <c r="Z500" s="668"/>
      <c r="AA500" s="669"/>
      <c r="AB500" s="178" t="s">
        <v>946</v>
      </c>
    </row>
    <row r="501" spans="1:33" ht="12.6" customHeight="1" x14ac:dyDescent="0.2">
      <c r="A501" s="17"/>
      <c r="B501" s="683" t="s">
        <v>939</v>
      </c>
      <c r="C501" s="703"/>
      <c r="D501" s="703"/>
      <c r="E501" s="704"/>
      <c r="F501" s="323">
        <f>4.1*X2</f>
        <v>6313.9999999999991</v>
      </c>
      <c r="G501" s="255">
        <f t="shared" ref="G501" si="1491">+F501*$X$1</f>
        <v>6313.9999999999991</v>
      </c>
      <c r="H501" s="527"/>
      <c r="I501" s="255"/>
      <c r="J501" s="527">
        <f t="shared" ref="J501" si="1492">F501+200</f>
        <v>6513.9999999999991</v>
      </c>
      <c r="K501" s="255">
        <f t="shared" ref="K501" si="1493">+J501*$X$1</f>
        <v>6513.9999999999991</v>
      </c>
      <c r="L501" s="527">
        <f>F501+150</f>
        <v>6463.9999999999991</v>
      </c>
      <c r="M501" s="255">
        <f t="shared" ref="M501" si="1494">+L501*$X$1</f>
        <v>6463.9999999999991</v>
      </c>
      <c r="N501" s="527">
        <f>F501+110</f>
        <v>6423.9999999999991</v>
      </c>
      <c r="O501" s="255">
        <f>+N501*$X$1</f>
        <v>6423.9999999999991</v>
      </c>
      <c r="P501" s="527">
        <f>F501+90</f>
        <v>6403.9999999999991</v>
      </c>
      <c r="Q501" s="255">
        <f t="shared" ref="Q501" si="1495">+P501*$X$1</f>
        <v>6403.9999999999991</v>
      </c>
      <c r="R501" s="527">
        <f>F501+70</f>
        <v>6383.9999999999991</v>
      </c>
      <c r="S501" s="255">
        <f>+R501*$X$1</f>
        <v>6383.9999999999991</v>
      </c>
      <c r="T501" s="527">
        <f>F501+56</f>
        <v>6369.9999999999991</v>
      </c>
      <c r="U501" s="255">
        <f t="shared" ref="U501" si="1496">+T501*$X$1</f>
        <v>6369.9999999999991</v>
      </c>
      <c r="V501" s="527">
        <f>F501+49</f>
        <v>6362.9999999999991</v>
      </c>
      <c r="W501" s="255">
        <f t="shared" ref="W501" si="1497">+V501*$X$1</f>
        <v>6362.9999999999991</v>
      </c>
      <c r="X501" s="667"/>
      <c r="Y501" s="668"/>
      <c r="Z501" s="668"/>
      <c r="AA501" s="669"/>
      <c r="AB501" s="178" t="s">
        <v>938</v>
      </c>
    </row>
    <row r="502" spans="1:33" ht="12.6" customHeight="1" x14ac:dyDescent="0.2">
      <c r="A502" s="94"/>
      <c r="B502" s="636" t="s">
        <v>794</v>
      </c>
      <c r="C502" s="637"/>
      <c r="D502" s="637"/>
      <c r="E502" s="637"/>
      <c r="F502" s="324">
        <f>3.1*X2</f>
        <v>4774</v>
      </c>
      <c r="G502" s="256">
        <f t="shared" ref="G502" si="1498">+F502*$X$1</f>
        <v>4774</v>
      </c>
      <c r="H502" s="536"/>
      <c r="I502" s="256"/>
      <c r="J502" s="536">
        <f>F502+300</f>
        <v>5074</v>
      </c>
      <c r="K502" s="256">
        <f t="shared" ref="K502" si="1499">+J502*$X$1</f>
        <v>5074</v>
      </c>
      <c r="L502" s="536">
        <f>F502+240</f>
        <v>5014</v>
      </c>
      <c r="M502" s="256">
        <f t="shared" ref="M502" si="1500">+L502*$X$1</f>
        <v>5014</v>
      </c>
      <c r="N502" s="536">
        <f>F502+210</f>
        <v>4984</v>
      </c>
      <c r="O502" s="256">
        <f t="shared" ref="O502" si="1501">+N502*$X$1</f>
        <v>4984</v>
      </c>
      <c r="P502" s="536">
        <f>F502+180</f>
        <v>4954</v>
      </c>
      <c r="Q502" s="256">
        <f t="shared" ref="Q502" si="1502">+P502*$X$1</f>
        <v>4954</v>
      </c>
      <c r="R502" s="536">
        <f>F502+165</f>
        <v>4939</v>
      </c>
      <c r="S502" s="256">
        <f t="shared" ref="S502" si="1503">+R502*$X$1</f>
        <v>4939</v>
      </c>
      <c r="T502" s="536">
        <f>F502+140</f>
        <v>4914</v>
      </c>
      <c r="U502" s="256">
        <f t="shared" ref="U502" si="1504">+T502*$X$1</f>
        <v>4914</v>
      </c>
      <c r="V502" s="536">
        <f>F502+110</f>
        <v>4884</v>
      </c>
      <c r="W502" s="256">
        <f t="shared" ref="W502" si="1505">+V502*$X$1</f>
        <v>4884</v>
      </c>
      <c r="X502" s="667"/>
      <c r="Y502" s="667"/>
      <c r="Z502" s="667"/>
      <c r="AA502" s="667"/>
      <c r="AB502" s="338" t="s">
        <v>795</v>
      </c>
      <c r="AC502" s="62"/>
    </row>
    <row r="503" spans="1:33" ht="12.6" customHeight="1" x14ac:dyDescent="0.2">
      <c r="A503" s="94"/>
      <c r="B503" s="645" t="s">
        <v>809</v>
      </c>
      <c r="C503" s="646"/>
      <c r="D503" s="646"/>
      <c r="E503" s="646"/>
      <c r="F503" s="323">
        <v>30</v>
      </c>
      <c r="G503" s="255">
        <f t="shared" ref="G503" si="1506">+F503*$X$1</f>
        <v>30</v>
      </c>
      <c r="H503" s="527"/>
      <c r="I503" s="255"/>
      <c r="J503" s="527"/>
      <c r="K503" s="255"/>
      <c r="L503" s="527"/>
      <c r="M503" s="255"/>
      <c r="N503" s="527"/>
      <c r="O503" s="255"/>
      <c r="P503" s="527"/>
      <c r="Q503" s="255"/>
      <c r="R503" s="527"/>
      <c r="S503" s="255"/>
      <c r="T503" s="527"/>
      <c r="U503" s="255"/>
      <c r="V503" s="527"/>
      <c r="W503" s="255"/>
      <c r="X503" s="667"/>
      <c r="Y503" s="667"/>
      <c r="Z503" s="667"/>
      <c r="AA503" s="667"/>
      <c r="AB503" s="338" t="s">
        <v>810</v>
      </c>
      <c r="AC503" s="62"/>
    </row>
    <row r="504" spans="1:33" ht="12.6" customHeight="1" x14ac:dyDescent="0.2">
      <c r="A504" s="94"/>
      <c r="B504" s="645" t="s">
        <v>808</v>
      </c>
      <c r="C504" s="646"/>
      <c r="D504" s="646"/>
      <c r="E504" s="646"/>
      <c r="F504" s="324">
        <v>58</v>
      </c>
      <c r="G504" s="256">
        <f t="shared" ref="G504" si="1507">+F504*$X$1</f>
        <v>58</v>
      </c>
      <c r="H504" s="535"/>
      <c r="I504" s="256"/>
      <c r="J504" s="535"/>
      <c r="K504" s="256"/>
      <c r="L504" s="535"/>
      <c r="M504" s="256"/>
      <c r="N504" s="535"/>
      <c r="O504" s="256"/>
      <c r="P504" s="535"/>
      <c r="Q504" s="256"/>
      <c r="R504" s="535"/>
      <c r="S504" s="256"/>
      <c r="T504" s="535"/>
      <c r="U504" s="256"/>
      <c r="V504" s="535"/>
      <c r="W504" s="256"/>
      <c r="X504" s="667"/>
      <c r="Y504" s="667"/>
      <c r="Z504" s="667"/>
      <c r="AA504" s="667"/>
      <c r="AB504" s="338" t="s">
        <v>811</v>
      </c>
      <c r="AC504" s="62"/>
    </row>
    <row r="505" spans="1:33" ht="12.6" customHeight="1" x14ac:dyDescent="0.2">
      <c r="A505" s="17"/>
      <c r="B505" s="683" t="s">
        <v>307</v>
      </c>
      <c r="C505" s="703"/>
      <c r="D505" s="703"/>
      <c r="E505" s="704"/>
      <c r="F505" s="255">
        <v>1420</v>
      </c>
      <c r="G505" s="255">
        <f t="shared" ref="G505:G507" si="1508">+F505*$X$1</f>
        <v>1420</v>
      </c>
      <c r="H505" s="239"/>
      <c r="I505" s="1018" t="s">
        <v>451</v>
      </c>
      <c r="J505" s="1019"/>
      <c r="K505" s="1019"/>
      <c r="L505" s="1019"/>
      <c r="M505" s="1020"/>
      <c r="N505" s="527">
        <v>2020</v>
      </c>
      <c r="O505" s="255">
        <f>+N505*$X$1</f>
        <v>2020</v>
      </c>
      <c r="P505" s="91">
        <v>2010</v>
      </c>
      <c r="Q505" s="255">
        <f t="shared" ref="Q505" si="1509">+P505*$X$1</f>
        <v>2010</v>
      </c>
      <c r="R505" s="527">
        <v>1815</v>
      </c>
      <c r="S505" s="255">
        <f>+R505*$X$1</f>
        <v>1815</v>
      </c>
      <c r="T505" s="527">
        <v>1690</v>
      </c>
      <c r="U505" s="255">
        <f>+T505*$X$1</f>
        <v>1690</v>
      </c>
      <c r="V505" s="527">
        <v>1640</v>
      </c>
      <c r="W505" s="255">
        <f t="shared" ref="W505" si="1510">+V505*$X$1</f>
        <v>1640</v>
      </c>
      <c r="X505" s="122"/>
      <c r="Y505" s="122"/>
      <c r="Z505" s="122"/>
      <c r="AA505" s="125"/>
      <c r="AB505" s="27"/>
    </row>
    <row r="506" spans="1:33" ht="12.6" customHeight="1" x14ac:dyDescent="0.2">
      <c r="A506" s="17"/>
      <c r="B506" s="642" t="s">
        <v>308</v>
      </c>
      <c r="C506" s="680"/>
      <c r="D506" s="680"/>
      <c r="E506" s="681"/>
      <c r="F506" s="256">
        <v>1420</v>
      </c>
      <c r="G506" s="256">
        <f t="shared" si="1508"/>
        <v>1420</v>
      </c>
      <c r="H506" s="237"/>
      <c r="I506" s="1021"/>
      <c r="J506" s="1022"/>
      <c r="K506" s="1022"/>
      <c r="L506" s="1022"/>
      <c r="M506" s="1023"/>
      <c r="N506" s="536">
        <v>2020</v>
      </c>
      <c r="O506" s="256">
        <f>+N506*$X$1</f>
        <v>2020</v>
      </c>
      <c r="P506" s="95">
        <v>2010</v>
      </c>
      <c r="Q506" s="256">
        <f t="shared" ref="Q506:Q508" si="1511">+P506*$X$1</f>
        <v>2010</v>
      </c>
      <c r="R506" s="536">
        <v>1815</v>
      </c>
      <c r="S506" s="256">
        <f>+R506*$X$1</f>
        <v>1815</v>
      </c>
      <c r="T506" s="536">
        <v>1690</v>
      </c>
      <c r="U506" s="256">
        <f>+T506*$X$1</f>
        <v>1690</v>
      </c>
      <c r="V506" s="536">
        <v>1640</v>
      </c>
      <c r="W506" s="256">
        <f t="shared" ref="W506:W508" si="1512">+V506*$X$1</f>
        <v>1640</v>
      </c>
      <c r="X506" s="122"/>
      <c r="Y506" s="122"/>
      <c r="Z506" s="122"/>
      <c r="AA506" s="125"/>
      <c r="AB506" s="178"/>
    </row>
    <row r="507" spans="1:33" ht="12.6" customHeight="1" x14ac:dyDescent="0.2">
      <c r="A507" s="17"/>
      <c r="B507" s="683" t="s">
        <v>309</v>
      </c>
      <c r="C507" s="703"/>
      <c r="D507" s="703"/>
      <c r="E507" s="704"/>
      <c r="F507" s="255">
        <v>1420</v>
      </c>
      <c r="G507" s="255">
        <f t="shared" si="1508"/>
        <v>1420</v>
      </c>
      <c r="H507" s="239"/>
      <c r="I507" s="1024"/>
      <c r="J507" s="1025"/>
      <c r="K507" s="1025"/>
      <c r="L507" s="1025"/>
      <c r="M507" s="1026"/>
      <c r="N507" s="527">
        <v>2020</v>
      </c>
      <c r="O507" s="255">
        <f>+N507*$X$1</f>
        <v>2020</v>
      </c>
      <c r="P507" s="91">
        <v>2010</v>
      </c>
      <c r="Q507" s="255">
        <f t="shared" si="1511"/>
        <v>2010</v>
      </c>
      <c r="R507" s="527">
        <v>1815</v>
      </c>
      <c r="S507" s="255">
        <f>+R507*$X$1</f>
        <v>1815</v>
      </c>
      <c r="T507" s="527">
        <v>1690</v>
      </c>
      <c r="U507" s="255">
        <f>+T507*$X$1</f>
        <v>1690</v>
      </c>
      <c r="V507" s="527">
        <v>1640</v>
      </c>
      <c r="W507" s="255">
        <f t="shared" si="1512"/>
        <v>1640</v>
      </c>
      <c r="X507" s="122"/>
      <c r="Y507" s="122"/>
      <c r="Z507" s="122"/>
      <c r="AA507" s="125"/>
      <c r="AB507" s="178"/>
      <c r="AG507" s="211"/>
    </row>
    <row r="508" spans="1:33" ht="12.6" customHeight="1" x14ac:dyDescent="0.2">
      <c r="A508" s="17"/>
      <c r="B508" s="657" t="s">
        <v>230</v>
      </c>
      <c r="C508" s="633"/>
      <c r="D508" s="633"/>
      <c r="E508" s="633"/>
      <c r="F508" s="324">
        <f>3.11*X2</f>
        <v>4789.3999999999996</v>
      </c>
      <c r="G508" s="256">
        <f>+F508*$X$1</f>
        <v>4789.3999999999996</v>
      </c>
      <c r="H508" s="536"/>
      <c r="I508" s="256"/>
      <c r="J508" s="82">
        <f t="shared" ref="J508" si="1513">F508+280</f>
        <v>5069.3999999999996</v>
      </c>
      <c r="K508" s="256">
        <f t="shared" ref="K508" si="1514">+J508*$X$1</f>
        <v>5069.3999999999996</v>
      </c>
      <c r="L508" s="536">
        <f t="shared" ref="L508" si="1515">F508+210</f>
        <v>4999.3999999999996</v>
      </c>
      <c r="M508" s="256">
        <f t="shared" ref="M508" si="1516">+L508*$X$1</f>
        <v>4999.3999999999996</v>
      </c>
      <c r="N508" s="536">
        <f t="shared" ref="N508" si="1517">F508+160</f>
        <v>4949.3999999999996</v>
      </c>
      <c r="O508" s="256">
        <f t="shared" ref="O508" si="1518">+N508*$X$1</f>
        <v>4949.3999999999996</v>
      </c>
      <c r="P508" s="536">
        <f t="shared" ref="P508" si="1519">F508+130</f>
        <v>4919.3999999999996</v>
      </c>
      <c r="Q508" s="256">
        <f t="shared" si="1511"/>
        <v>4919.3999999999996</v>
      </c>
      <c r="R508" s="536">
        <f t="shared" ref="R508" si="1520">F508+110</f>
        <v>4899.3999999999996</v>
      </c>
      <c r="S508" s="256">
        <f t="shared" ref="S508" si="1521">+R508*$X$1</f>
        <v>4899.3999999999996</v>
      </c>
      <c r="T508" s="536">
        <f t="shared" ref="T508" si="1522">F508+90</f>
        <v>4879.3999999999996</v>
      </c>
      <c r="U508" s="256">
        <f t="shared" ref="U508" si="1523">+T508*$X$1</f>
        <v>4879.3999999999996</v>
      </c>
      <c r="V508" s="536">
        <f t="shared" ref="V508" si="1524">F508+70</f>
        <v>4859.3999999999996</v>
      </c>
      <c r="W508" s="256">
        <f t="shared" si="1512"/>
        <v>4859.3999999999996</v>
      </c>
      <c r="X508" s="715"/>
      <c r="Y508" s="715"/>
      <c r="Z508" s="715"/>
      <c r="AA508" s="716"/>
      <c r="AB508" s="178" t="s">
        <v>231</v>
      </c>
    </row>
    <row r="509" spans="1:33" ht="12.6" customHeight="1" x14ac:dyDescent="0.2">
      <c r="A509" s="17"/>
      <c r="B509" s="678" t="s">
        <v>879</v>
      </c>
      <c r="C509" s="679"/>
      <c r="D509" s="679"/>
      <c r="E509" s="679"/>
      <c r="F509" s="323">
        <f>0.77*X2</f>
        <v>1185.8</v>
      </c>
      <c r="G509" s="255">
        <f>+F509*$X$1</f>
        <v>1185.8</v>
      </c>
      <c r="H509" s="251"/>
      <c r="I509" s="251"/>
      <c r="J509" s="68">
        <f t="shared" ref="J509:J510" si="1525">F509+280</f>
        <v>1465.8</v>
      </c>
      <c r="K509" s="255">
        <f t="shared" ref="K509:K510" si="1526">+J509*$X$1</f>
        <v>1465.8</v>
      </c>
      <c r="L509" s="527">
        <f t="shared" ref="L509:L510" si="1527">F509+210</f>
        <v>1395.8</v>
      </c>
      <c r="M509" s="255">
        <f t="shared" ref="M509:M510" si="1528">+L509*$X$1</f>
        <v>1395.8</v>
      </c>
      <c r="N509" s="527">
        <f t="shared" ref="N509:N510" si="1529">F509+160</f>
        <v>1345.8</v>
      </c>
      <c r="O509" s="255">
        <f t="shared" ref="O509:O510" si="1530">+N509*$X$1</f>
        <v>1345.8</v>
      </c>
      <c r="P509" s="527">
        <f t="shared" ref="P509:P510" si="1531">F509+130</f>
        <v>1315.8</v>
      </c>
      <c r="Q509" s="255">
        <f t="shared" ref="Q509:Q510" si="1532">+P509*$X$1</f>
        <v>1315.8</v>
      </c>
      <c r="R509" s="527">
        <f t="shared" ref="R509:R510" si="1533">F509+110</f>
        <v>1295.8</v>
      </c>
      <c r="S509" s="255">
        <f t="shared" ref="S509:S510" si="1534">+R509*$X$1</f>
        <v>1295.8</v>
      </c>
      <c r="T509" s="527">
        <f t="shared" ref="T509:T510" si="1535">F509+90</f>
        <v>1275.8</v>
      </c>
      <c r="U509" s="255">
        <f t="shared" ref="U509:U510" si="1536">+T509*$X$1</f>
        <v>1275.8</v>
      </c>
      <c r="V509" s="527">
        <f t="shared" ref="V509:V510" si="1537">F509+70</f>
        <v>1255.8</v>
      </c>
      <c r="W509" s="255">
        <f t="shared" ref="W509:W510" si="1538">+V509*$X$1</f>
        <v>1255.8</v>
      </c>
      <c r="X509" s="715"/>
      <c r="Y509" s="715"/>
      <c r="Z509" s="715"/>
      <c r="AA509" s="716"/>
      <c r="AB509" s="178" t="s">
        <v>880</v>
      </c>
    </row>
    <row r="510" spans="1:33" ht="12.6" customHeight="1" x14ac:dyDescent="0.2">
      <c r="A510" s="17"/>
      <c r="B510" s="657" t="s">
        <v>355</v>
      </c>
      <c r="C510" s="633"/>
      <c r="D510" s="633"/>
      <c r="E510" s="633"/>
      <c r="F510" s="324">
        <f>0.843*X2</f>
        <v>1298.22</v>
      </c>
      <c r="G510" s="256">
        <f t="shared" ref="G510" si="1539">+F510*$X$1</f>
        <v>1298.22</v>
      </c>
      <c r="H510" s="250"/>
      <c r="I510" s="250"/>
      <c r="J510" s="82">
        <f t="shared" si="1525"/>
        <v>1578.22</v>
      </c>
      <c r="K510" s="256">
        <f t="shared" si="1526"/>
        <v>1578.22</v>
      </c>
      <c r="L510" s="536">
        <f t="shared" si="1527"/>
        <v>1508.22</v>
      </c>
      <c r="M510" s="256">
        <f t="shared" si="1528"/>
        <v>1508.22</v>
      </c>
      <c r="N510" s="536">
        <f t="shared" si="1529"/>
        <v>1458.22</v>
      </c>
      <c r="O510" s="256">
        <f t="shared" si="1530"/>
        <v>1458.22</v>
      </c>
      <c r="P510" s="536">
        <f t="shared" si="1531"/>
        <v>1428.22</v>
      </c>
      <c r="Q510" s="256">
        <f t="shared" si="1532"/>
        <v>1428.22</v>
      </c>
      <c r="R510" s="536">
        <f t="shared" si="1533"/>
        <v>1408.22</v>
      </c>
      <c r="S510" s="256">
        <f t="shared" si="1534"/>
        <v>1408.22</v>
      </c>
      <c r="T510" s="536">
        <f t="shared" si="1535"/>
        <v>1388.22</v>
      </c>
      <c r="U510" s="256">
        <f t="shared" si="1536"/>
        <v>1388.22</v>
      </c>
      <c r="V510" s="536">
        <f t="shared" si="1537"/>
        <v>1368.22</v>
      </c>
      <c r="W510" s="256">
        <f t="shared" si="1538"/>
        <v>1368.22</v>
      </c>
      <c r="X510" s="715"/>
      <c r="Y510" s="715"/>
      <c r="Z510" s="715"/>
      <c r="AA510" s="716"/>
      <c r="AB510" s="178" t="s">
        <v>383</v>
      </c>
    </row>
    <row r="511" spans="1:33" s="62" customFormat="1" ht="12.6" customHeight="1" x14ac:dyDescent="0.25">
      <c r="A511" s="88"/>
      <c r="B511" s="745" t="s">
        <v>305</v>
      </c>
      <c r="C511" s="1031"/>
      <c r="D511" s="1031"/>
      <c r="E511" s="1031"/>
      <c r="F511" s="255">
        <v>740</v>
      </c>
      <c r="G511" s="255">
        <f t="shared" ref="G511:G516" si="1540">+F511*$X$1</f>
        <v>740</v>
      </c>
      <c r="H511" s="249"/>
      <c r="I511" s="1018" t="s">
        <v>447</v>
      </c>
      <c r="J511" s="1155"/>
      <c r="K511" s="1155"/>
      <c r="L511" s="1156"/>
      <c r="M511" s="1157"/>
      <c r="N511" s="527">
        <v>1450</v>
      </c>
      <c r="O511" s="255">
        <f t="shared" ref="O511:O516" si="1541">+N511*$X$1</f>
        <v>1450</v>
      </c>
      <c r="P511" s="261">
        <v>1439</v>
      </c>
      <c r="Q511" s="255">
        <f t="shared" ref="Q511:Q516" si="1542">+P511*$X$1</f>
        <v>1439</v>
      </c>
      <c r="R511" s="527">
        <v>1320</v>
      </c>
      <c r="S511" s="255">
        <f t="shared" ref="S511:S516" si="1543">+R511*$X$1</f>
        <v>1320</v>
      </c>
      <c r="T511" s="527">
        <v>1201</v>
      </c>
      <c r="U511" s="255">
        <f t="shared" ref="U511:U516" si="1544">+T511*$X$1</f>
        <v>1201</v>
      </c>
      <c r="V511" s="527">
        <v>1143</v>
      </c>
      <c r="W511" s="255">
        <f t="shared" ref="W511:W516" si="1545">+V511*$X$1</f>
        <v>1143</v>
      </c>
      <c r="X511" s="136"/>
      <c r="Y511" s="136"/>
      <c r="Z511" s="136"/>
      <c r="AA511" s="137"/>
      <c r="AB511" s="355" t="s">
        <v>232</v>
      </c>
    </row>
    <row r="512" spans="1:33" s="62" customFormat="1" ht="12.6" customHeight="1" x14ac:dyDescent="0.25">
      <c r="A512" s="88"/>
      <c r="B512" s="657" t="s">
        <v>306</v>
      </c>
      <c r="C512" s="633"/>
      <c r="D512" s="633"/>
      <c r="E512" s="633"/>
      <c r="F512" s="256">
        <v>740</v>
      </c>
      <c r="G512" s="256">
        <f t="shared" si="1540"/>
        <v>740</v>
      </c>
      <c r="H512" s="253"/>
      <c r="I512" s="1158"/>
      <c r="J512" s="1159"/>
      <c r="K512" s="1159"/>
      <c r="L512" s="1160"/>
      <c r="M512" s="1161"/>
      <c r="N512" s="536">
        <v>1810</v>
      </c>
      <c r="O512" s="256">
        <f t="shared" si="1541"/>
        <v>1810</v>
      </c>
      <c r="P512" s="260">
        <v>1792</v>
      </c>
      <c r="Q512" s="256">
        <f t="shared" si="1542"/>
        <v>1792</v>
      </c>
      <c r="R512" s="536">
        <v>1710</v>
      </c>
      <c r="S512" s="256">
        <f t="shared" si="1543"/>
        <v>1710</v>
      </c>
      <c r="T512" s="536">
        <v>1640</v>
      </c>
      <c r="U512" s="256">
        <f t="shared" si="1544"/>
        <v>1640</v>
      </c>
      <c r="V512" s="536">
        <v>1560</v>
      </c>
      <c r="W512" s="256">
        <f t="shared" si="1545"/>
        <v>1560</v>
      </c>
      <c r="X512" s="158"/>
      <c r="Y512" s="122"/>
      <c r="Z512" s="122"/>
      <c r="AA512" s="125"/>
      <c r="AB512" s="356"/>
    </row>
    <row r="513" spans="1:31" s="62" customFormat="1" ht="12.6" customHeight="1" x14ac:dyDescent="0.25">
      <c r="A513" s="88"/>
      <c r="B513" s="678" t="s">
        <v>318</v>
      </c>
      <c r="C513" s="679"/>
      <c r="D513" s="679"/>
      <c r="E513" s="679"/>
      <c r="F513" s="255">
        <v>740</v>
      </c>
      <c r="G513" s="255">
        <f t="shared" si="1540"/>
        <v>740</v>
      </c>
      <c r="H513" s="248"/>
      <c r="I513" s="1158"/>
      <c r="J513" s="1159"/>
      <c r="K513" s="1159"/>
      <c r="L513" s="1160"/>
      <c r="M513" s="1161"/>
      <c r="N513" s="527">
        <v>1450</v>
      </c>
      <c r="O513" s="255">
        <f t="shared" ref="O513:O514" si="1546">+N513*$X$1</f>
        <v>1450</v>
      </c>
      <c r="P513" s="261">
        <v>1439</v>
      </c>
      <c r="Q513" s="255">
        <f t="shared" ref="Q513:Q514" si="1547">+P513*$X$1</f>
        <v>1439</v>
      </c>
      <c r="R513" s="527">
        <v>1320</v>
      </c>
      <c r="S513" s="255">
        <f t="shared" ref="S513:S514" si="1548">+R513*$X$1</f>
        <v>1320</v>
      </c>
      <c r="T513" s="527">
        <v>1201</v>
      </c>
      <c r="U513" s="255">
        <f t="shared" ref="U513:U514" si="1549">+T513*$X$1</f>
        <v>1201</v>
      </c>
      <c r="V513" s="527">
        <v>1143</v>
      </c>
      <c r="W513" s="255">
        <f t="shared" ref="W513:W514" si="1550">+V513*$X$1</f>
        <v>1143</v>
      </c>
      <c r="X513" s="122"/>
      <c r="Y513" s="122"/>
      <c r="Z513" s="122"/>
      <c r="AA513" s="125"/>
      <c r="AB513" s="355" t="s">
        <v>233</v>
      </c>
    </row>
    <row r="514" spans="1:31" s="62" customFormat="1" ht="12" customHeight="1" x14ac:dyDescent="0.25">
      <c r="A514" s="88"/>
      <c r="B514" s="657" t="s">
        <v>319</v>
      </c>
      <c r="C514" s="633"/>
      <c r="D514" s="633"/>
      <c r="E514" s="633"/>
      <c r="F514" s="256">
        <v>740</v>
      </c>
      <c r="G514" s="256">
        <f t="shared" si="1540"/>
        <v>740</v>
      </c>
      <c r="H514" s="253"/>
      <c r="I514" s="1158"/>
      <c r="J514" s="1159"/>
      <c r="K514" s="1159"/>
      <c r="L514" s="1160"/>
      <c r="M514" s="1161"/>
      <c r="N514" s="536">
        <v>1810</v>
      </c>
      <c r="O514" s="256">
        <f t="shared" si="1546"/>
        <v>1810</v>
      </c>
      <c r="P514" s="260">
        <v>1792</v>
      </c>
      <c r="Q514" s="256">
        <f t="shared" si="1547"/>
        <v>1792</v>
      </c>
      <c r="R514" s="536">
        <v>1710</v>
      </c>
      <c r="S514" s="256">
        <f t="shared" si="1548"/>
        <v>1710</v>
      </c>
      <c r="T514" s="536">
        <v>1640</v>
      </c>
      <c r="U514" s="256">
        <f t="shared" si="1549"/>
        <v>1640</v>
      </c>
      <c r="V514" s="536">
        <v>1560</v>
      </c>
      <c r="W514" s="256">
        <f t="shared" si="1550"/>
        <v>1560</v>
      </c>
      <c r="X514" s="136"/>
      <c r="Y514" s="136"/>
      <c r="Z514" s="122"/>
      <c r="AA514" s="125"/>
      <c r="AB514" s="356"/>
    </row>
    <row r="515" spans="1:31" s="62" customFormat="1" ht="12.6" customHeight="1" x14ac:dyDescent="0.25">
      <c r="A515" s="88"/>
      <c r="B515" s="678" t="s">
        <v>234</v>
      </c>
      <c r="C515" s="679"/>
      <c r="D515" s="679"/>
      <c r="E515" s="679"/>
      <c r="F515" s="255">
        <v>740</v>
      </c>
      <c r="G515" s="255">
        <f t="shared" si="1540"/>
        <v>740</v>
      </c>
      <c r="H515" s="248"/>
      <c r="I515" s="1162"/>
      <c r="J515" s="1163"/>
      <c r="K515" s="1163"/>
      <c r="L515" s="1160"/>
      <c r="M515" s="1161"/>
      <c r="N515" s="527">
        <v>1630</v>
      </c>
      <c r="O515" s="255">
        <f t="shared" ref="O515" si="1551">+N515*$X$1</f>
        <v>1630</v>
      </c>
      <c r="P515" s="261">
        <v>1620</v>
      </c>
      <c r="Q515" s="255">
        <f t="shared" ref="Q515" si="1552">+P515*$X$1</f>
        <v>1620</v>
      </c>
      <c r="R515" s="527">
        <v>1455</v>
      </c>
      <c r="S515" s="255">
        <f t="shared" ref="S515" si="1553">+R515*$X$1</f>
        <v>1455</v>
      </c>
      <c r="T515" s="527">
        <v>1350</v>
      </c>
      <c r="U515" s="255">
        <f t="shared" ref="U515" si="1554">+T515*$X$1</f>
        <v>1350</v>
      </c>
      <c r="V515" s="527">
        <v>1270</v>
      </c>
      <c r="W515" s="255">
        <f t="shared" ref="W515" si="1555">+V515*$X$1</f>
        <v>1270</v>
      </c>
      <c r="X515" s="122"/>
      <c r="Y515" s="122"/>
      <c r="Z515" s="122"/>
      <c r="AA515" s="125"/>
      <c r="AB515" s="355" t="s">
        <v>235</v>
      </c>
      <c r="AE515" s="219"/>
    </row>
    <row r="516" spans="1:31" s="62" customFormat="1" ht="12.6" customHeight="1" x14ac:dyDescent="0.25">
      <c r="A516" s="88"/>
      <c r="B516" s="657" t="s">
        <v>236</v>
      </c>
      <c r="C516" s="633"/>
      <c r="D516" s="633"/>
      <c r="E516" s="633"/>
      <c r="F516" s="256">
        <v>740</v>
      </c>
      <c r="G516" s="256">
        <f t="shared" si="1540"/>
        <v>740</v>
      </c>
      <c r="H516" s="253"/>
      <c r="I516" s="1164"/>
      <c r="J516" s="1165"/>
      <c r="K516" s="1165"/>
      <c r="L516" s="1165"/>
      <c r="M516" s="1166"/>
      <c r="N516" s="536">
        <v>1990</v>
      </c>
      <c r="O516" s="256">
        <f t="shared" si="1541"/>
        <v>1990</v>
      </c>
      <c r="P516" s="260">
        <v>1970</v>
      </c>
      <c r="Q516" s="256">
        <f t="shared" si="1542"/>
        <v>1970</v>
      </c>
      <c r="R516" s="536">
        <v>1890</v>
      </c>
      <c r="S516" s="256">
        <f t="shared" si="1543"/>
        <v>1890</v>
      </c>
      <c r="T516" s="536">
        <v>1824</v>
      </c>
      <c r="U516" s="256">
        <f t="shared" si="1544"/>
        <v>1824</v>
      </c>
      <c r="V516" s="536">
        <v>1736</v>
      </c>
      <c r="W516" s="256">
        <f t="shared" si="1545"/>
        <v>1736</v>
      </c>
      <c r="X516" s="122"/>
      <c r="Y516" s="122"/>
      <c r="Z516" s="122"/>
      <c r="AA516" s="125"/>
      <c r="AB516" s="355" t="s">
        <v>237</v>
      </c>
    </row>
    <row r="517" spans="1:31" ht="12.6" customHeight="1" x14ac:dyDescent="0.2">
      <c r="A517" s="17"/>
      <c r="B517" s="683" t="s">
        <v>238</v>
      </c>
      <c r="C517" s="703"/>
      <c r="D517" s="703"/>
      <c r="E517" s="704"/>
      <c r="F517" s="323">
        <f>2.98*X2</f>
        <v>4589.2</v>
      </c>
      <c r="G517" s="255">
        <f t="shared" ref="G517" si="1556">+F517*$X$1</f>
        <v>4589.2</v>
      </c>
      <c r="H517" s="507">
        <f t="shared" ref="H517" si="1557">F517+600</f>
        <v>5189.2</v>
      </c>
      <c r="I517" s="255">
        <f t="shared" ref="I517" si="1558">+H517*$X$1</f>
        <v>5189.2</v>
      </c>
      <c r="J517" s="507">
        <f t="shared" ref="J517" si="1559">F517+200</f>
        <v>4789.2</v>
      </c>
      <c r="K517" s="255">
        <f t="shared" ref="K517" si="1560">+J517*$X$1</f>
        <v>4789.2</v>
      </c>
      <c r="L517" s="507">
        <f>F517+150</f>
        <v>4739.2</v>
      </c>
      <c r="M517" s="255">
        <f t="shared" ref="M517" si="1561">+L517*$X$1</f>
        <v>4739.2</v>
      </c>
      <c r="N517" s="507">
        <f>F517+110</f>
        <v>4699.2</v>
      </c>
      <c r="O517" s="255">
        <f>+N517*$X$1</f>
        <v>4699.2</v>
      </c>
      <c r="P517" s="507">
        <f>F517+90</f>
        <v>4679.2</v>
      </c>
      <c r="Q517" s="255">
        <f t="shared" ref="Q517" si="1562">+P517*$X$1</f>
        <v>4679.2</v>
      </c>
      <c r="R517" s="507">
        <f>F517+70</f>
        <v>4659.2</v>
      </c>
      <c r="S517" s="255">
        <f>+R517*$X$1</f>
        <v>4659.2</v>
      </c>
      <c r="T517" s="507">
        <f>F517+56</f>
        <v>4645.2</v>
      </c>
      <c r="U517" s="255">
        <f t="shared" ref="U517" si="1563">+T517*$X$1</f>
        <v>4645.2</v>
      </c>
      <c r="V517" s="507">
        <f>F517+49</f>
        <v>4638.2</v>
      </c>
      <c r="W517" s="255">
        <f t="shared" ref="W517" si="1564">+V517*$X$1</f>
        <v>4638.2</v>
      </c>
      <c r="X517" s="667"/>
      <c r="Y517" s="667"/>
      <c r="Z517" s="667"/>
      <c r="AA517" s="669"/>
      <c r="AB517" s="178" t="s">
        <v>239</v>
      </c>
    </row>
    <row r="518" spans="1:31" ht="12.6" customHeight="1" x14ac:dyDescent="0.2">
      <c r="A518" s="17"/>
      <c r="B518" s="642" t="s">
        <v>700</v>
      </c>
      <c r="C518" s="680"/>
      <c r="D518" s="680"/>
      <c r="E518" s="681"/>
      <c r="F518" s="290">
        <v>3950</v>
      </c>
      <c r="G518" s="256">
        <f t="shared" ref="G518" si="1565">+F518*$X$1</f>
        <v>3950</v>
      </c>
      <c r="H518" s="536"/>
      <c r="I518" s="256"/>
      <c r="J518" s="536">
        <f t="shared" ref="J518" si="1566">F518+200</f>
        <v>4150</v>
      </c>
      <c r="K518" s="256">
        <f t="shared" ref="K518" si="1567">+J518*$X$1</f>
        <v>4150</v>
      </c>
      <c r="L518" s="536">
        <f>F518+150</f>
        <v>4100</v>
      </c>
      <c r="M518" s="256">
        <f t="shared" ref="M518" si="1568">+L518*$X$1</f>
        <v>4100</v>
      </c>
      <c r="N518" s="536">
        <f>F518+110</f>
        <v>4060</v>
      </c>
      <c r="O518" s="256">
        <f t="shared" ref="O518:O527" si="1569">+N518*$X$1</f>
        <v>4060</v>
      </c>
      <c r="P518" s="536">
        <f>F518+90</f>
        <v>4040</v>
      </c>
      <c r="Q518" s="256">
        <f t="shared" ref="Q518" si="1570">+P518*$X$1</f>
        <v>4040</v>
      </c>
      <c r="R518" s="536">
        <f>F518+70</f>
        <v>4020</v>
      </c>
      <c r="S518" s="256">
        <f t="shared" ref="S518:S527" si="1571">+R518*$X$1</f>
        <v>4020</v>
      </c>
      <c r="T518" s="536">
        <f>F518+56</f>
        <v>4006</v>
      </c>
      <c r="U518" s="256">
        <f t="shared" ref="U518" si="1572">+T518*$X$1</f>
        <v>4006</v>
      </c>
      <c r="V518" s="536">
        <f>F518+49</f>
        <v>3999</v>
      </c>
      <c r="W518" s="256">
        <f t="shared" ref="W518" si="1573">+V518*$X$1</f>
        <v>3999</v>
      </c>
      <c r="X518" s="667"/>
      <c r="Y518" s="667"/>
      <c r="Z518" s="667"/>
      <c r="AA518" s="669"/>
      <c r="AB518" s="178" t="s">
        <v>699</v>
      </c>
    </row>
    <row r="519" spans="1:31" ht="12.6" customHeight="1" x14ac:dyDescent="0.2">
      <c r="A519" s="17"/>
      <c r="B519" s="683" t="s">
        <v>344</v>
      </c>
      <c r="C519" s="703"/>
      <c r="D519" s="703"/>
      <c r="E519" s="704"/>
      <c r="F519" s="323">
        <f>0.71*X2</f>
        <v>1093.3999999999999</v>
      </c>
      <c r="G519" s="255">
        <f t="shared" ref="G519:G520" si="1574">+F519*$X$1</f>
        <v>1093.3999999999999</v>
      </c>
      <c r="H519" s="527">
        <f t="shared" ref="H519:H520" si="1575">F519+600</f>
        <v>1693.3999999999999</v>
      </c>
      <c r="I519" s="255">
        <f t="shared" ref="I519:I520" si="1576">+H519*$X$1</f>
        <v>1693.3999999999999</v>
      </c>
      <c r="J519" s="527">
        <f t="shared" ref="J519:J520" si="1577">F519+200</f>
        <v>1293.3999999999999</v>
      </c>
      <c r="K519" s="255">
        <f t="shared" ref="K519:K520" si="1578">+J519*$X$1</f>
        <v>1293.3999999999999</v>
      </c>
      <c r="L519" s="527">
        <f>F519+150</f>
        <v>1243.3999999999999</v>
      </c>
      <c r="M519" s="255">
        <f t="shared" ref="M519:M520" si="1579">+L519*$X$1</f>
        <v>1243.3999999999999</v>
      </c>
      <c r="N519" s="527">
        <f>F519+110</f>
        <v>1203.3999999999999</v>
      </c>
      <c r="O519" s="255">
        <f t="shared" si="1569"/>
        <v>1203.3999999999999</v>
      </c>
      <c r="P519" s="527">
        <f>F519+90</f>
        <v>1183.3999999999999</v>
      </c>
      <c r="Q519" s="255">
        <f t="shared" ref="Q519:Q520" si="1580">+P519*$X$1</f>
        <v>1183.3999999999999</v>
      </c>
      <c r="R519" s="527">
        <f>F519+70</f>
        <v>1163.3999999999999</v>
      </c>
      <c r="S519" s="255">
        <f t="shared" si="1571"/>
        <v>1163.3999999999999</v>
      </c>
      <c r="T519" s="527">
        <f>F519+56</f>
        <v>1149.3999999999999</v>
      </c>
      <c r="U519" s="255">
        <f t="shared" ref="U519:U520" si="1581">+T519*$X$1</f>
        <v>1149.3999999999999</v>
      </c>
      <c r="V519" s="527">
        <f>F519+49</f>
        <v>1142.3999999999999</v>
      </c>
      <c r="W519" s="255">
        <f t="shared" ref="W519:W520" si="1582">+V519*$X$1</f>
        <v>1142.3999999999999</v>
      </c>
      <c r="X519" s="667"/>
      <c r="Y519" s="668"/>
      <c r="Z519" s="668"/>
      <c r="AA519" s="669"/>
      <c r="AB519" s="178" t="s">
        <v>377</v>
      </c>
    </row>
    <row r="520" spans="1:31" ht="12.6" customHeight="1" x14ac:dyDescent="0.2">
      <c r="A520" s="17"/>
      <c r="B520" s="642" t="s">
        <v>793</v>
      </c>
      <c r="C520" s="680"/>
      <c r="D520" s="680"/>
      <c r="E520" s="681"/>
      <c r="F520" s="324">
        <f>2.7*X2</f>
        <v>4158</v>
      </c>
      <c r="G520" s="256">
        <f t="shared" si="1574"/>
        <v>4158</v>
      </c>
      <c r="H520" s="536">
        <f t="shared" si="1575"/>
        <v>4758</v>
      </c>
      <c r="I520" s="256">
        <f t="shared" si="1576"/>
        <v>4758</v>
      </c>
      <c r="J520" s="536">
        <f t="shared" si="1577"/>
        <v>4358</v>
      </c>
      <c r="K520" s="256">
        <f t="shared" si="1578"/>
        <v>4358</v>
      </c>
      <c r="L520" s="536">
        <f>F520+150</f>
        <v>4308</v>
      </c>
      <c r="M520" s="256">
        <f t="shared" si="1579"/>
        <v>4308</v>
      </c>
      <c r="N520" s="536">
        <f>F520+110</f>
        <v>4268</v>
      </c>
      <c r="O520" s="256">
        <f t="shared" si="1569"/>
        <v>4268</v>
      </c>
      <c r="P520" s="536">
        <f>F520+90</f>
        <v>4248</v>
      </c>
      <c r="Q520" s="256">
        <f t="shared" si="1580"/>
        <v>4248</v>
      </c>
      <c r="R520" s="536">
        <f>F520+70</f>
        <v>4228</v>
      </c>
      <c r="S520" s="256">
        <f t="shared" si="1571"/>
        <v>4228</v>
      </c>
      <c r="T520" s="536">
        <f>F520+56</f>
        <v>4214</v>
      </c>
      <c r="U520" s="256">
        <f t="shared" si="1581"/>
        <v>4214</v>
      </c>
      <c r="V520" s="536">
        <f>F520+49</f>
        <v>4207</v>
      </c>
      <c r="W520" s="256">
        <f t="shared" si="1582"/>
        <v>4207</v>
      </c>
      <c r="X520" s="667"/>
      <c r="Y520" s="667"/>
      <c r="Z520" s="667"/>
      <c r="AA520" s="669"/>
      <c r="AB520" s="178" t="s">
        <v>725</v>
      </c>
    </row>
    <row r="521" spans="1:31" ht="12.6" customHeight="1" x14ac:dyDescent="0.2">
      <c r="A521" s="17"/>
      <c r="B521" s="745" t="s">
        <v>240</v>
      </c>
      <c r="C521" s="700"/>
      <c r="D521" s="700"/>
      <c r="E521" s="700"/>
      <c r="F521" s="270">
        <v>4011</v>
      </c>
      <c r="G521" s="255">
        <f t="shared" ref="G521:G524" si="1583">+F521*$X$1</f>
        <v>4011</v>
      </c>
      <c r="H521" s="251"/>
      <c r="I521" s="302"/>
      <c r="J521" s="527">
        <f>F521+66</f>
        <v>4077</v>
      </c>
      <c r="K521" s="255"/>
      <c r="L521" s="527">
        <f t="shared" ref="L521:L527" si="1584">F521+400</f>
        <v>4411</v>
      </c>
      <c r="M521" s="255">
        <f t="shared" ref="M521:M542" si="1585">+L521*$X$1</f>
        <v>4411</v>
      </c>
      <c r="N521" s="527">
        <f t="shared" ref="N521:N527" si="1586">F521+350</f>
        <v>4361</v>
      </c>
      <c r="O521" s="255">
        <f t="shared" si="1569"/>
        <v>4361</v>
      </c>
      <c r="P521" s="527">
        <f t="shared" ref="P521:P527" si="1587">F521+310</f>
        <v>4321</v>
      </c>
      <c r="Q521" s="255">
        <f t="shared" ref="Q521:Q527" si="1588">+P521*$X$1</f>
        <v>4321</v>
      </c>
      <c r="R521" s="527">
        <f t="shared" ref="R521:R527" si="1589">F521+280</f>
        <v>4291</v>
      </c>
      <c r="S521" s="255">
        <f t="shared" si="1571"/>
        <v>4291</v>
      </c>
      <c r="T521" s="527">
        <f t="shared" ref="T521:T527" si="1590">F521+240</f>
        <v>4251</v>
      </c>
      <c r="U521" s="255">
        <f t="shared" ref="U521:U527" si="1591">+T521*$X$1</f>
        <v>4251</v>
      </c>
      <c r="V521" s="527">
        <f t="shared" ref="V521:V527" si="1592">F521+220</f>
        <v>4231</v>
      </c>
      <c r="W521" s="255">
        <f t="shared" ref="W521:W527" si="1593">+V521*$X$1</f>
        <v>4231</v>
      </c>
      <c r="X521" s="133"/>
      <c r="Y521" s="119"/>
      <c r="Z521" s="119"/>
      <c r="AA521" s="119"/>
      <c r="AB521" s="178" t="s">
        <v>241</v>
      </c>
    </row>
    <row r="522" spans="1:31" ht="12.6" customHeight="1" x14ac:dyDescent="0.2">
      <c r="A522" s="17"/>
      <c r="B522" s="657" t="s">
        <v>242</v>
      </c>
      <c r="C522" s="633"/>
      <c r="D522" s="633"/>
      <c r="E522" s="633"/>
      <c r="F522" s="256">
        <v>5592</v>
      </c>
      <c r="G522" s="256">
        <f t="shared" si="1583"/>
        <v>5592</v>
      </c>
      <c r="H522" s="250"/>
      <c r="I522" s="303"/>
      <c r="J522" s="536">
        <f>F522+66</f>
        <v>5658</v>
      </c>
      <c r="K522" s="256"/>
      <c r="L522" s="536">
        <f t="shared" si="1584"/>
        <v>5992</v>
      </c>
      <c r="M522" s="256">
        <f t="shared" si="1585"/>
        <v>5992</v>
      </c>
      <c r="N522" s="536">
        <f t="shared" si="1586"/>
        <v>5942</v>
      </c>
      <c r="O522" s="256">
        <f t="shared" si="1569"/>
        <v>5942</v>
      </c>
      <c r="P522" s="536">
        <f t="shared" si="1587"/>
        <v>5902</v>
      </c>
      <c r="Q522" s="256">
        <f t="shared" si="1588"/>
        <v>5902</v>
      </c>
      <c r="R522" s="536">
        <f t="shared" si="1589"/>
        <v>5872</v>
      </c>
      <c r="S522" s="256">
        <f t="shared" si="1571"/>
        <v>5872</v>
      </c>
      <c r="T522" s="536">
        <f t="shared" si="1590"/>
        <v>5832</v>
      </c>
      <c r="U522" s="256">
        <f t="shared" si="1591"/>
        <v>5832</v>
      </c>
      <c r="V522" s="536">
        <f t="shared" si="1592"/>
        <v>5812</v>
      </c>
      <c r="W522" s="256">
        <f t="shared" si="1593"/>
        <v>5812</v>
      </c>
      <c r="X522" s="133"/>
      <c r="Y522" s="119"/>
      <c r="Z522" s="119"/>
      <c r="AA522" s="119"/>
      <c r="AB522" s="354"/>
    </row>
    <row r="523" spans="1:31" ht="12.6" customHeight="1" x14ac:dyDescent="0.2">
      <c r="A523" s="17"/>
      <c r="B523" s="678" t="s">
        <v>243</v>
      </c>
      <c r="C523" s="679"/>
      <c r="D523" s="679"/>
      <c r="E523" s="679"/>
      <c r="F523" s="255">
        <v>4390</v>
      </c>
      <c r="G523" s="255">
        <f t="shared" si="1583"/>
        <v>4390</v>
      </c>
      <c r="H523" s="251"/>
      <c r="I523" s="302"/>
      <c r="J523" s="527">
        <f>F523+80</f>
        <v>4470</v>
      </c>
      <c r="K523" s="255"/>
      <c r="L523" s="527">
        <f t="shared" si="1584"/>
        <v>4790</v>
      </c>
      <c r="M523" s="255">
        <f t="shared" si="1585"/>
        <v>4790</v>
      </c>
      <c r="N523" s="527">
        <f t="shared" si="1586"/>
        <v>4740</v>
      </c>
      <c r="O523" s="255">
        <f t="shared" si="1569"/>
        <v>4740</v>
      </c>
      <c r="P523" s="527">
        <f t="shared" si="1587"/>
        <v>4700</v>
      </c>
      <c r="Q523" s="255">
        <f t="shared" si="1588"/>
        <v>4700</v>
      </c>
      <c r="R523" s="527">
        <f t="shared" si="1589"/>
        <v>4670</v>
      </c>
      <c r="S523" s="255">
        <f t="shared" si="1571"/>
        <v>4670</v>
      </c>
      <c r="T523" s="527">
        <f t="shared" si="1590"/>
        <v>4630</v>
      </c>
      <c r="U523" s="255">
        <f t="shared" si="1591"/>
        <v>4630</v>
      </c>
      <c r="V523" s="527">
        <f t="shared" si="1592"/>
        <v>4610</v>
      </c>
      <c r="W523" s="255">
        <f t="shared" si="1593"/>
        <v>4610</v>
      </c>
      <c r="X523" s="133"/>
      <c r="Y523" s="119"/>
      <c r="Z523" s="119"/>
      <c r="AA523" s="119"/>
      <c r="AB523" s="178" t="s">
        <v>244</v>
      </c>
    </row>
    <row r="524" spans="1:31" ht="12.6" customHeight="1" x14ac:dyDescent="0.2">
      <c r="A524" s="17"/>
      <c r="B524" s="657" t="s">
        <v>245</v>
      </c>
      <c r="C524" s="633"/>
      <c r="D524" s="633"/>
      <c r="E524" s="633"/>
      <c r="F524" s="256">
        <v>6160</v>
      </c>
      <c r="G524" s="256">
        <f t="shared" si="1583"/>
        <v>6160</v>
      </c>
      <c r="H524" s="250"/>
      <c r="I524" s="303"/>
      <c r="J524" s="536">
        <f>F524+80</f>
        <v>6240</v>
      </c>
      <c r="K524" s="256"/>
      <c r="L524" s="536">
        <f t="shared" si="1584"/>
        <v>6560</v>
      </c>
      <c r="M524" s="256">
        <f t="shared" si="1585"/>
        <v>6560</v>
      </c>
      <c r="N524" s="536">
        <f t="shared" si="1586"/>
        <v>6510</v>
      </c>
      <c r="O524" s="256">
        <f t="shared" si="1569"/>
        <v>6510</v>
      </c>
      <c r="P524" s="536">
        <f t="shared" si="1587"/>
        <v>6470</v>
      </c>
      <c r="Q524" s="256">
        <f t="shared" si="1588"/>
        <v>6470</v>
      </c>
      <c r="R524" s="536">
        <f t="shared" si="1589"/>
        <v>6440</v>
      </c>
      <c r="S524" s="256">
        <f t="shared" si="1571"/>
        <v>6440</v>
      </c>
      <c r="T524" s="536">
        <f t="shared" si="1590"/>
        <v>6400</v>
      </c>
      <c r="U524" s="256">
        <f t="shared" si="1591"/>
        <v>6400</v>
      </c>
      <c r="V524" s="536">
        <f t="shared" si="1592"/>
        <v>6380</v>
      </c>
      <c r="W524" s="256">
        <f t="shared" si="1593"/>
        <v>6380</v>
      </c>
      <c r="X524" s="133"/>
      <c r="Y524" s="119"/>
      <c r="Z524" s="119"/>
      <c r="AA524" s="119"/>
      <c r="AB524" s="354"/>
    </row>
    <row r="525" spans="1:31" ht="12.6" customHeight="1" x14ac:dyDescent="0.2">
      <c r="A525" s="17"/>
      <c r="B525" s="678" t="s">
        <v>797</v>
      </c>
      <c r="C525" s="679"/>
      <c r="D525" s="679"/>
      <c r="E525" s="679"/>
      <c r="F525" s="291">
        <v>12490</v>
      </c>
      <c r="G525" s="255">
        <f t="shared" ref="G525" si="1594">+F525*$X$1</f>
        <v>12490</v>
      </c>
      <c r="H525" s="251"/>
      <c r="I525" s="302"/>
      <c r="J525" s="527">
        <f>F525+430</f>
        <v>12920</v>
      </c>
      <c r="K525" s="255">
        <f t="shared" ref="K525" si="1595">+J525*$X$1</f>
        <v>12920</v>
      </c>
      <c r="L525" s="527">
        <f t="shared" si="1584"/>
        <v>12890</v>
      </c>
      <c r="M525" s="255">
        <f t="shared" si="1585"/>
        <v>12890</v>
      </c>
      <c r="N525" s="527">
        <f t="shared" si="1586"/>
        <v>12840</v>
      </c>
      <c r="O525" s="255">
        <f t="shared" si="1569"/>
        <v>12840</v>
      </c>
      <c r="P525" s="527">
        <f t="shared" si="1587"/>
        <v>12800</v>
      </c>
      <c r="Q525" s="255">
        <f t="shared" si="1588"/>
        <v>12800</v>
      </c>
      <c r="R525" s="527">
        <f t="shared" si="1589"/>
        <v>12770</v>
      </c>
      <c r="S525" s="255">
        <f t="shared" si="1571"/>
        <v>12770</v>
      </c>
      <c r="T525" s="527">
        <f t="shared" si="1590"/>
        <v>12730</v>
      </c>
      <c r="U525" s="255">
        <f t="shared" si="1591"/>
        <v>12730</v>
      </c>
      <c r="V525" s="527">
        <f t="shared" si="1592"/>
        <v>12710</v>
      </c>
      <c r="W525" s="255">
        <f t="shared" si="1593"/>
        <v>12710</v>
      </c>
      <c r="X525" s="133"/>
      <c r="Y525" s="119"/>
      <c r="Z525" s="119"/>
      <c r="AA525" s="119"/>
      <c r="AB525" s="178" t="s">
        <v>798</v>
      </c>
    </row>
    <row r="526" spans="1:31" ht="12.6" customHeight="1" x14ac:dyDescent="0.2">
      <c r="A526" s="17"/>
      <c r="B526" s="657" t="s">
        <v>574</v>
      </c>
      <c r="C526" s="633"/>
      <c r="D526" s="633"/>
      <c r="E526" s="633"/>
      <c r="F526" s="256">
        <v>5790</v>
      </c>
      <c r="G526" s="256">
        <f>+F526*$X$1</f>
        <v>5790</v>
      </c>
      <c r="H526" s="250"/>
      <c r="I526" s="303"/>
      <c r="J526" s="536">
        <f>F526+66</f>
        <v>5856</v>
      </c>
      <c r="K526" s="256"/>
      <c r="L526" s="536">
        <f t="shared" si="1584"/>
        <v>6190</v>
      </c>
      <c r="M526" s="256">
        <f t="shared" si="1585"/>
        <v>6190</v>
      </c>
      <c r="N526" s="536">
        <f t="shared" si="1586"/>
        <v>6140</v>
      </c>
      <c r="O526" s="256">
        <f t="shared" si="1569"/>
        <v>6140</v>
      </c>
      <c r="P526" s="536">
        <f t="shared" si="1587"/>
        <v>6100</v>
      </c>
      <c r="Q526" s="256">
        <f t="shared" si="1588"/>
        <v>6100</v>
      </c>
      <c r="R526" s="536">
        <f t="shared" si="1589"/>
        <v>6070</v>
      </c>
      <c r="S526" s="256">
        <f t="shared" si="1571"/>
        <v>6070</v>
      </c>
      <c r="T526" s="536">
        <f t="shared" si="1590"/>
        <v>6030</v>
      </c>
      <c r="U526" s="256">
        <f t="shared" si="1591"/>
        <v>6030</v>
      </c>
      <c r="V526" s="536">
        <f t="shared" si="1592"/>
        <v>6010</v>
      </c>
      <c r="W526" s="256">
        <f t="shared" si="1593"/>
        <v>6010</v>
      </c>
      <c r="X526" s="133"/>
      <c r="Y526" s="119"/>
      <c r="Z526" s="119"/>
      <c r="AA526" s="119"/>
      <c r="AB526" s="178" t="s">
        <v>246</v>
      </c>
    </row>
    <row r="527" spans="1:31" ht="12.6" customHeight="1" x14ac:dyDescent="0.2">
      <c r="A527" s="17"/>
      <c r="B527" s="678" t="s">
        <v>575</v>
      </c>
      <c r="C527" s="679"/>
      <c r="D527" s="679"/>
      <c r="E527" s="679"/>
      <c r="F527" s="255">
        <v>6310</v>
      </c>
      <c r="G527" s="255">
        <f>+F527*$X$1</f>
        <v>6310</v>
      </c>
      <c r="H527" s="251"/>
      <c r="I527" s="302"/>
      <c r="J527" s="527">
        <f>F527+80</f>
        <v>6390</v>
      </c>
      <c r="K527" s="255"/>
      <c r="L527" s="527">
        <f t="shared" si="1584"/>
        <v>6710</v>
      </c>
      <c r="M527" s="255">
        <f t="shared" si="1585"/>
        <v>6710</v>
      </c>
      <c r="N527" s="527">
        <f t="shared" si="1586"/>
        <v>6660</v>
      </c>
      <c r="O527" s="255">
        <f t="shared" si="1569"/>
        <v>6660</v>
      </c>
      <c r="P527" s="527">
        <f t="shared" si="1587"/>
        <v>6620</v>
      </c>
      <c r="Q527" s="255">
        <f t="shared" si="1588"/>
        <v>6620</v>
      </c>
      <c r="R527" s="527">
        <f t="shared" si="1589"/>
        <v>6590</v>
      </c>
      <c r="S527" s="255">
        <f t="shared" si="1571"/>
        <v>6590</v>
      </c>
      <c r="T527" s="527">
        <f t="shared" si="1590"/>
        <v>6550</v>
      </c>
      <c r="U527" s="255">
        <f t="shared" si="1591"/>
        <v>6550</v>
      </c>
      <c r="V527" s="527">
        <f t="shared" si="1592"/>
        <v>6530</v>
      </c>
      <c r="W527" s="255">
        <f t="shared" si="1593"/>
        <v>6530</v>
      </c>
      <c r="X527" s="133"/>
      <c r="Y527" s="119"/>
      <c r="Z527" s="119"/>
      <c r="AA527" s="119"/>
      <c r="AB527" s="178" t="s">
        <v>247</v>
      </c>
    </row>
    <row r="528" spans="1:31" ht="12.6" customHeight="1" x14ac:dyDescent="0.25">
      <c r="A528" s="17"/>
      <c r="B528" s="657" t="s">
        <v>294</v>
      </c>
      <c r="C528" s="633"/>
      <c r="D528" s="633"/>
      <c r="E528" s="633"/>
      <c r="F528" s="256">
        <v>6050</v>
      </c>
      <c r="G528" s="256">
        <f>+F528*$X$1</f>
        <v>6050</v>
      </c>
      <c r="H528" s="536">
        <f t="shared" ref="H528:H532" si="1596">F528+600</f>
        <v>6650</v>
      </c>
      <c r="I528" s="256">
        <f t="shared" ref="I528:I534" si="1597">+H528*$X$1</f>
        <v>6650</v>
      </c>
      <c r="J528" s="536">
        <f t="shared" ref="J528:J533" si="1598">F528+410</f>
        <v>6460</v>
      </c>
      <c r="K528" s="256">
        <f t="shared" ref="K528" si="1599">+J528*$X$1</f>
        <v>6460</v>
      </c>
      <c r="L528" s="536">
        <f t="shared" ref="L528:L533" si="1600">F528+360</f>
        <v>6410</v>
      </c>
      <c r="M528" s="256">
        <f t="shared" si="1585"/>
        <v>6410</v>
      </c>
      <c r="N528" s="536">
        <f t="shared" ref="N528:N533" si="1601">F528+320</f>
        <v>6370</v>
      </c>
      <c r="O528" s="256">
        <f t="shared" ref="O528" si="1602">+N528*$X$1</f>
        <v>6370</v>
      </c>
      <c r="P528" s="536">
        <f t="shared" ref="P528:P533" si="1603">F528+290</f>
        <v>6340</v>
      </c>
      <c r="Q528" s="256">
        <f t="shared" ref="Q528" si="1604">+P528*$X$1</f>
        <v>6340</v>
      </c>
      <c r="R528" s="536">
        <f t="shared" ref="R528:R533" si="1605">F528+270</f>
        <v>6320</v>
      </c>
      <c r="S528" s="256">
        <f t="shared" ref="S528" si="1606">+R528*$X$1</f>
        <v>6320</v>
      </c>
      <c r="T528" s="536">
        <f t="shared" ref="T528:T533" si="1607">F528+230</f>
        <v>6280</v>
      </c>
      <c r="U528" s="256">
        <f t="shared" ref="U528" si="1608">+T528*$X$1</f>
        <v>6280</v>
      </c>
      <c r="V528" s="536">
        <f t="shared" ref="V528:V533" si="1609">F528+210</f>
        <v>6260</v>
      </c>
      <c r="W528" s="256">
        <f t="shared" ref="W528" si="1610">+V528*$X$1</f>
        <v>6260</v>
      </c>
      <c r="X528" s="729"/>
      <c r="Y528" s="730"/>
      <c r="Z528" s="730"/>
      <c r="AA528" s="730"/>
      <c r="AB528" s="178" t="s">
        <v>248</v>
      </c>
    </row>
    <row r="529" spans="1:28" ht="12.6" customHeight="1" x14ac:dyDescent="0.25">
      <c r="A529" s="17"/>
      <c r="B529" s="1012" t="s">
        <v>455</v>
      </c>
      <c r="C529" s="703"/>
      <c r="D529" s="703"/>
      <c r="E529" s="704"/>
      <c r="F529" s="255">
        <v>4290</v>
      </c>
      <c r="G529" s="255">
        <f t="shared" ref="G529" si="1611">+F529*$X$1</f>
        <v>4290</v>
      </c>
      <c r="H529" s="527">
        <f t="shared" si="1596"/>
        <v>4890</v>
      </c>
      <c r="I529" s="255">
        <f t="shared" ref="I529:I532" si="1612">+H529*$X$1</f>
        <v>4890</v>
      </c>
      <c r="J529" s="527">
        <f t="shared" si="1598"/>
        <v>4700</v>
      </c>
      <c r="K529" s="255">
        <f t="shared" ref="K529:K540" si="1613">+J529*$X$1</f>
        <v>4700</v>
      </c>
      <c r="L529" s="527">
        <f t="shared" si="1600"/>
        <v>4650</v>
      </c>
      <c r="M529" s="255">
        <f t="shared" si="1585"/>
        <v>4650</v>
      </c>
      <c r="N529" s="527">
        <f t="shared" si="1601"/>
        <v>4610</v>
      </c>
      <c r="O529" s="255">
        <f t="shared" ref="O529:O533" si="1614">+N529*$X$1</f>
        <v>4610</v>
      </c>
      <c r="P529" s="527">
        <f t="shared" si="1603"/>
        <v>4580</v>
      </c>
      <c r="Q529" s="255">
        <f t="shared" ref="Q529:Q533" si="1615">+P529*$X$1</f>
        <v>4580</v>
      </c>
      <c r="R529" s="527">
        <f t="shared" si="1605"/>
        <v>4560</v>
      </c>
      <c r="S529" s="255">
        <f t="shared" ref="S529:S533" si="1616">+R529*$X$1</f>
        <v>4560</v>
      </c>
      <c r="T529" s="527">
        <f t="shared" si="1607"/>
        <v>4520</v>
      </c>
      <c r="U529" s="255">
        <f t="shared" ref="U529:U533" si="1617">+T529*$X$1</f>
        <v>4520</v>
      </c>
      <c r="V529" s="527">
        <f t="shared" si="1609"/>
        <v>4500</v>
      </c>
      <c r="W529" s="255">
        <f t="shared" ref="W529:W533" si="1618">+V529*$X$1</f>
        <v>4500</v>
      </c>
      <c r="X529" s="729"/>
      <c r="Y529" s="730"/>
      <c r="Z529" s="730"/>
      <c r="AA529" s="730"/>
      <c r="AB529" s="178" t="s">
        <v>390</v>
      </c>
    </row>
    <row r="530" spans="1:28" ht="12.6" customHeight="1" x14ac:dyDescent="0.2">
      <c r="A530" s="17"/>
      <c r="B530" s="630" t="s">
        <v>341</v>
      </c>
      <c r="C530" s="631"/>
      <c r="D530" s="631"/>
      <c r="E530" s="631"/>
      <c r="F530" s="451">
        <v>2700</v>
      </c>
      <c r="G530" s="451">
        <f>+F530*$X$1</f>
        <v>2700</v>
      </c>
      <c r="H530" s="580">
        <f t="shared" si="1596"/>
        <v>3300</v>
      </c>
      <c r="I530" s="451">
        <f t="shared" si="1612"/>
        <v>3300</v>
      </c>
      <c r="J530" s="580">
        <f t="shared" si="1598"/>
        <v>3110</v>
      </c>
      <c r="K530" s="451">
        <f t="shared" si="1613"/>
        <v>3110</v>
      </c>
      <c r="L530" s="580">
        <f t="shared" si="1600"/>
        <v>3060</v>
      </c>
      <c r="M530" s="451">
        <f t="shared" si="1585"/>
        <v>3060</v>
      </c>
      <c r="N530" s="580"/>
      <c r="O530" s="451"/>
      <c r="P530" s="580"/>
      <c r="Q530" s="451"/>
      <c r="R530" s="580"/>
      <c r="S530" s="451"/>
      <c r="T530" s="580"/>
      <c r="U530" s="451"/>
      <c r="V530" s="580"/>
      <c r="W530" s="451"/>
      <c r="X530" s="647"/>
      <c r="Y530" s="648"/>
      <c r="Z530" s="648"/>
      <c r="AA530" s="649"/>
      <c r="AB530" s="178" t="s">
        <v>249</v>
      </c>
    </row>
    <row r="531" spans="1:28" ht="12.6" customHeight="1" x14ac:dyDescent="0.25">
      <c r="A531" s="17"/>
      <c r="B531" s="823" t="s">
        <v>742</v>
      </c>
      <c r="C531" s="1017"/>
      <c r="D531" s="1017"/>
      <c r="E531" s="1017"/>
      <c r="F531" s="255">
        <v>3980</v>
      </c>
      <c r="G531" s="255">
        <f t="shared" ref="G531:G533" si="1619">+F531*$X$1</f>
        <v>3980</v>
      </c>
      <c r="H531" s="527">
        <f t="shared" si="1596"/>
        <v>4580</v>
      </c>
      <c r="I531" s="255">
        <f t="shared" si="1612"/>
        <v>4580</v>
      </c>
      <c r="J531" s="527">
        <f t="shared" si="1598"/>
        <v>4390</v>
      </c>
      <c r="K531" s="255">
        <f t="shared" si="1613"/>
        <v>4390</v>
      </c>
      <c r="L531" s="527">
        <f t="shared" si="1600"/>
        <v>4340</v>
      </c>
      <c r="M531" s="255">
        <f t="shared" si="1585"/>
        <v>4340</v>
      </c>
      <c r="N531" s="527">
        <f t="shared" si="1601"/>
        <v>4300</v>
      </c>
      <c r="O531" s="255">
        <f t="shared" si="1614"/>
        <v>4300</v>
      </c>
      <c r="P531" s="527">
        <f t="shared" si="1603"/>
        <v>4270</v>
      </c>
      <c r="Q531" s="255">
        <f t="shared" si="1615"/>
        <v>4270</v>
      </c>
      <c r="R531" s="527">
        <f t="shared" si="1605"/>
        <v>4250</v>
      </c>
      <c r="S531" s="255">
        <f t="shared" si="1616"/>
        <v>4250</v>
      </c>
      <c r="T531" s="527">
        <f t="shared" si="1607"/>
        <v>4210</v>
      </c>
      <c r="U531" s="255">
        <f t="shared" si="1617"/>
        <v>4210</v>
      </c>
      <c r="V531" s="527">
        <f t="shared" si="1609"/>
        <v>4190</v>
      </c>
      <c r="W531" s="255">
        <f t="shared" si="1618"/>
        <v>4190</v>
      </c>
      <c r="X531" s="729"/>
      <c r="Y531" s="730"/>
      <c r="Z531" s="730"/>
      <c r="AA531" s="730"/>
      <c r="AB531" s="178" t="s">
        <v>250</v>
      </c>
    </row>
    <row r="532" spans="1:28" ht="12.6" customHeight="1" x14ac:dyDescent="0.25">
      <c r="A532" s="17"/>
      <c r="B532" s="1016" t="s">
        <v>486</v>
      </c>
      <c r="C532" s="680"/>
      <c r="D532" s="680"/>
      <c r="E532" s="681"/>
      <c r="F532" s="258">
        <v>4290</v>
      </c>
      <c r="G532" s="256">
        <f>+F532*$X$1</f>
        <v>4290</v>
      </c>
      <c r="H532" s="536">
        <f t="shared" si="1596"/>
        <v>4890</v>
      </c>
      <c r="I532" s="256">
        <f t="shared" si="1612"/>
        <v>4890</v>
      </c>
      <c r="J532" s="536">
        <f t="shared" si="1598"/>
        <v>4700</v>
      </c>
      <c r="K532" s="256">
        <f t="shared" si="1613"/>
        <v>4700</v>
      </c>
      <c r="L532" s="536">
        <f t="shared" si="1600"/>
        <v>4650</v>
      </c>
      <c r="M532" s="256">
        <f t="shared" si="1585"/>
        <v>4650</v>
      </c>
      <c r="N532" s="536">
        <f t="shared" si="1601"/>
        <v>4610</v>
      </c>
      <c r="O532" s="256">
        <f t="shared" si="1614"/>
        <v>4610</v>
      </c>
      <c r="P532" s="536">
        <f t="shared" si="1603"/>
        <v>4580</v>
      </c>
      <c r="Q532" s="256">
        <f t="shared" si="1615"/>
        <v>4580</v>
      </c>
      <c r="R532" s="536">
        <f t="shared" si="1605"/>
        <v>4560</v>
      </c>
      <c r="S532" s="256">
        <f t="shared" si="1616"/>
        <v>4560</v>
      </c>
      <c r="T532" s="536">
        <f t="shared" si="1607"/>
        <v>4520</v>
      </c>
      <c r="U532" s="256">
        <f t="shared" si="1617"/>
        <v>4520</v>
      </c>
      <c r="V532" s="536">
        <f t="shared" si="1609"/>
        <v>4500</v>
      </c>
      <c r="W532" s="256">
        <f t="shared" si="1618"/>
        <v>4500</v>
      </c>
      <c r="X532" s="729"/>
      <c r="Y532" s="730"/>
      <c r="Z532" s="730"/>
      <c r="AA532" s="730"/>
      <c r="AB532" s="27"/>
    </row>
    <row r="533" spans="1:28" ht="12.6" customHeight="1" x14ac:dyDescent="0.25">
      <c r="A533" s="17"/>
      <c r="B533" s="678" t="s">
        <v>293</v>
      </c>
      <c r="C533" s="679"/>
      <c r="D533" s="679"/>
      <c r="E533" s="679"/>
      <c r="F533" s="291">
        <v>6780</v>
      </c>
      <c r="G533" s="255">
        <f t="shared" si="1619"/>
        <v>6780</v>
      </c>
      <c r="H533" s="527"/>
      <c r="I533" s="255"/>
      <c r="J533" s="527">
        <f t="shared" si="1598"/>
        <v>7190</v>
      </c>
      <c r="K533" s="255">
        <f t="shared" si="1613"/>
        <v>7190</v>
      </c>
      <c r="L533" s="527">
        <f t="shared" si="1600"/>
        <v>7140</v>
      </c>
      <c r="M533" s="255">
        <f t="shared" si="1585"/>
        <v>7140</v>
      </c>
      <c r="N533" s="527">
        <f t="shared" si="1601"/>
        <v>7100</v>
      </c>
      <c r="O533" s="255">
        <f t="shared" si="1614"/>
        <v>7100</v>
      </c>
      <c r="P533" s="527">
        <f t="shared" si="1603"/>
        <v>7070</v>
      </c>
      <c r="Q533" s="255">
        <f t="shared" si="1615"/>
        <v>7070</v>
      </c>
      <c r="R533" s="527">
        <f t="shared" si="1605"/>
        <v>7050</v>
      </c>
      <c r="S533" s="255">
        <f t="shared" si="1616"/>
        <v>7050</v>
      </c>
      <c r="T533" s="527">
        <f t="shared" si="1607"/>
        <v>7010</v>
      </c>
      <c r="U533" s="255">
        <f t="shared" si="1617"/>
        <v>7010</v>
      </c>
      <c r="V533" s="527">
        <f t="shared" si="1609"/>
        <v>6990</v>
      </c>
      <c r="W533" s="255">
        <f t="shared" si="1618"/>
        <v>6990</v>
      </c>
      <c r="X533" s="729"/>
      <c r="Y533" s="730"/>
      <c r="Z533" s="730"/>
      <c r="AA533" s="730"/>
      <c r="AB533" s="178" t="s">
        <v>251</v>
      </c>
    </row>
    <row r="534" spans="1:28" ht="12.6" customHeight="1" x14ac:dyDescent="0.2">
      <c r="A534" s="17"/>
      <c r="B534" s="657" t="s">
        <v>682</v>
      </c>
      <c r="C534" s="1015"/>
      <c r="D534" s="1015"/>
      <c r="E534" s="1015"/>
      <c r="F534" s="256">
        <v>12630</v>
      </c>
      <c r="G534" s="256">
        <f>+F534*$X$1</f>
        <v>12630</v>
      </c>
      <c r="H534" s="536">
        <f>F534+700</f>
        <v>13330</v>
      </c>
      <c r="I534" s="256">
        <f t="shared" si="1597"/>
        <v>13330</v>
      </c>
      <c r="J534" s="536">
        <f t="shared" ref="J534:J540" si="1620">F534+430</f>
        <v>13060</v>
      </c>
      <c r="K534" s="256">
        <f t="shared" si="1613"/>
        <v>13060</v>
      </c>
      <c r="L534" s="536">
        <f t="shared" ref="L534:L540" si="1621">F534+400</f>
        <v>13030</v>
      </c>
      <c r="M534" s="256">
        <f t="shared" si="1585"/>
        <v>13030</v>
      </c>
      <c r="N534" s="536">
        <f t="shared" ref="N534:N540" si="1622">F534+350</f>
        <v>12980</v>
      </c>
      <c r="O534" s="256">
        <f t="shared" ref="O534:O540" si="1623">+N534*$X$1</f>
        <v>12980</v>
      </c>
      <c r="P534" s="536">
        <f t="shared" ref="P534:P540" si="1624">F534+310</f>
        <v>12940</v>
      </c>
      <c r="Q534" s="256">
        <f t="shared" ref="Q534:Q540" si="1625">+P534*$X$1</f>
        <v>12940</v>
      </c>
      <c r="R534" s="536">
        <f t="shared" ref="R534:R540" si="1626">F534+280</f>
        <v>12910</v>
      </c>
      <c r="S534" s="256">
        <f t="shared" ref="S534:S540" si="1627">+R534*$X$1</f>
        <v>12910</v>
      </c>
      <c r="T534" s="536">
        <f t="shared" ref="T534:T540" si="1628">F534+240</f>
        <v>12870</v>
      </c>
      <c r="U534" s="256">
        <f t="shared" ref="U534:U540" si="1629">+T534*$X$1</f>
        <v>12870</v>
      </c>
      <c r="V534" s="536">
        <f t="shared" ref="V534:V540" si="1630">F534+220</f>
        <v>12850</v>
      </c>
      <c r="W534" s="256">
        <f t="shared" ref="W534:W540" si="1631">+V534*$X$1</f>
        <v>12850</v>
      </c>
      <c r="X534" s="134"/>
      <c r="Y534" s="122"/>
      <c r="Z534" s="122"/>
      <c r="AA534" s="125"/>
      <c r="AB534" s="178" t="s">
        <v>252</v>
      </c>
    </row>
    <row r="535" spans="1:28" ht="12.6" customHeight="1" x14ac:dyDescent="0.2">
      <c r="A535" s="17"/>
      <c r="B535" s="678" t="s">
        <v>683</v>
      </c>
      <c r="C535" s="1014"/>
      <c r="D535" s="1014"/>
      <c r="E535" s="1014"/>
      <c r="F535" s="255">
        <v>12700</v>
      </c>
      <c r="G535" s="255">
        <f t="shared" ref="G535" si="1632">+F535*$X$1</f>
        <v>12700</v>
      </c>
      <c r="H535" s="527">
        <f>F535+700</f>
        <v>13400</v>
      </c>
      <c r="I535" s="255">
        <f>+H535*$X$1</f>
        <v>13400</v>
      </c>
      <c r="J535" s="527">
        <f t="shared" si="1620"/>
        <v>13130</v>
      </c>
      <c r="K535" s="255">
        <f t="shared" si="1613"/>
        <v>13130</v>
      </c>
      <c r="L535" s="527">
        <f t="shared" si="1621"/>
        <v>13100</v>
      </c>
      <c r="M535" s="255">
        <f t="shared" si="1585"/>
        <v>13100</v>
      </c>
      <c r="N535" s="527">
        <f t="shared" si="1622"/>
        <v>13050</v>
      </c>
      <c r="O535" s="255">
        <f t="shared" si="1623"/>
        <v>13050</v>
      </c>
      <c r="P535" s="527">
        <f t="shared" si="1624"/>
        <v>13010</v>
      </c>
      <c r="Q535" s="255">
        <f t="shared" si="1625"/>
        <v>13010</v>
      </c>
      <c r="R535" s="527">
        <f t="shared" si="1626"/>
        <v>12980</v>
      </c>
      <c r="S535" s="255">
        <f t="shared" si="1627"/>
        <v>12980</v>
      </c>
      <c r="T535" s="527">
        <f t="shared" si="1628"/>
        <v>12940</v>
      </c>
      <c r="U535" s="255">
        <f t="shared" si="1629"/>
        <v>12940</v>
      </c>
      <c r="V535" s="527">
        <f t="shared" si="1630"/>
        <v>12920</v>
      </c>
      <c r="W535" s="255">
        <f t="shared" si="1631"/>
        <v>12920</v>
      </c>
      <c r="X535" s="134"/>
      <c r="Y535" s="122"/>
      <c r="Z535" s="122"/>
      <c r="AA535" s="125"/>
      <c r="AB535" s="178" t="s">
        <v>253</v>
      </c>
    </row>
    <row r="536" spans="1:28" ht="12.6" customHeight="1" x14ac:dyDescent="0.2">
      <c r="A536" s="17"/>
      <c r="B536" s="657" t="s">
        <v>816</v>
      </c>
      <c r="C536" s="1015"/>
      <c r="D536" s="1015"/>
      <c r="E536" s="1015"/>
      <c r="F536" s="324">
        <f>9.22*X2</f>
        <v>14198.800000000001</v>
      </c>
      <c r="G536" s="256">
        <f t="shared" ref="G536" si="1633">+F536*$X$1</f>
        <v>14198.800000000001</v>
      </c>
      <c r="H536" s="536">
        <f>F536+700</f>
        <v>14898.800000000001</v>
      </c>
      <c r="I536" s="256">
        <f>+H536*$X$1</f>
        <v>14898.800000000001</v>
      </c>
      <c r="J536" s="536">
        <f t="shared" si="1620"/>
        <v>14628.800000000001</v>
      </c>
      <c r="K536" s="256">
        <f t="shared" si="1613"/>
        <v>14628.800000000001</v>
      </c>
      <c r="L536" s="536">
        <f t="shared" si="1621"/>
        <v>14598.800000000001</v>
      </c>
      <c r="M536" s="256">
        <f t="shared" si="1585"/>
        <v>14598.800000000001</v>
      </c>
      <c r="N536" s="536">
        <f t="shared" si="1622"/>
        <v>14548.800000000001</v>
      </c>
      <c r="O536" s="256">
        <f t="shared" si="1623"/>
        <v>14548.800000000001</v>
      </c>
      <c r="P536" s="536">
        <f t="shared" si="1624"/>
        <v>14508.800000000001</v>
      </c>
      <c r="Q536" s="256">
        <f t="shared" si="1625"/>
        <v>14508.800000000001</v>
      </c>
      <c r="R536" s="536">
        <f t="shared" si="1626"/>
        <v>14478.800000000001</v>
      </c>
      <c r="S536" s="256">
        <f t="shared" si="1627"/>
        <v>14478.800000000001</v>
      </c>
      <c r="T536" s="536">
        <f t="shared" si="1628"/>
        <v>14438.800000000001</v>
      </c>
      <c r="U536" s="256">
        <f t="shared" si="1629"/>
        <v>14438.800000000001</v>
      </c>
      <c r="V536" s="536">
        <f t="shared" si="1630"/>
        <v>14418.800000000001</v>
      </c>
      <c r="W536" s="256">
        <f t="shared" si="1631"/>
        <v>14418.800000000001</v>
      </c>
      <c r="X536" s="134"/>
      <c r="Y536" s="122"/>
      <c r="Z536" s="122"/>
      <c r="AA536" s="125"/>
      <c r="AB536" s="178" t="s">
        <v>817</v>
      </c>
    </row>
    <row r="537" spans="1:28" ht="12.6" customHeight="1" x14ac:dyDescent="0.2">
      <c r="A537" s="17"/>
      <c r="B537" s="678" t="s">
        <v>818</v>
      </c>
      <c r="C537" s="1014"/>
      <c r="D537" s="1014"/>
      <c r="E537" s="1014"/>
      <c r="F537" s="323">
        <f>9.4*X2</f>
        <v>14476</v>
      </c>
      <c r="G537" s="255">
        <f t="shared" ref="G537" si="1634">+F537*$X$1</f>
        <v>14476</v>
      </c>
      <c r="H537" s="527">
        <f>F537+700</f>
        <v>15176</v>
      </c>
      <c r="I537" s="255">
        <f t="shared" ref="I537" si="1635">+H537*$X$1</f>
        <v>15176</v>
      </c>
      <c r="J537" s="527">
        <f t="shared" si="1620"/>
        <v>14906</v>
      </c>
      <c r="K537" s="255">
        <f t="shared" si="1613"/>
        <v>14906</v>
      </c>
      <c r="L537" s="527">
        <f t="shared" si="1621"/>
        <v>14876</v>
      </c>
      <c r="M537" s="255">
        <f t="shared" si="1585"/>
        <v>14876</v>
      </c>
      <c r="N537" s="527">
        <f t="shared" si="1622"/>
        <v>14826</v>
      </c>
      <c r="O537" s="255">
        <f t="shared" si="1623"/>
        <v>14826</v>
      </c>
      <c r="P537" s="527">
        <f t="shared" si="1624"/>
        <v>14786</v>
      </c>
      <c r="Q537" s="255">
        <f t="shared" si="1625"/>
        <v>14786</v>
      </c>
      <c r="R537" s="527">
        <f t="shared" si="1626"/>
        <v>14756</v>
      </c>
      <c r="S537" s="255">
        <f t="shared" si="1627"/>
        <v>14756</v>
      </c>
      <c r="T537" s="527">
        <f t="shared" si="1628"/>
        <v>14716</v>
      </c>
      <c r="U537" s="255">
        <f t="shared" si="1629"/>
        <v>14716</v>
      </c>
      <c r="V537" s="527">
        <f t="shared" si="1630"/>
        <v>14696</v>
      </c>
      <c r="W537" s="255">
        <f t="shared" si="1631"/>
        <v>14696</v>
      </c>
      <c r="X537" s="134"/>
      <c r="Y537" s="122"/>
      <c r="Z537" s="122"/>
      <c r="AA537" s="125"/>
      <c r="AB537" s="178" t="s">
        <v>819</v>
      </c>
    </row>
    <row r="538" spans="1:28" ht="12.6" customHeight="1" x14ac:dyDescent="0.2">
      <c r="A538" s="17"/>
      <c r="B538" s="657" t="s">
        <v>254</v>
      </c>
      <c r="C538" s="633"/>
      <c r="D538" s="633"/>
      <c r="E538" s="633"/>
      <c r="F538" s="256">
        <v>8740</v>
      </c>
      <c r="G538" s="256">
        <f>+F538*$X$1</f>
        <v>8740</v>
      </c>
      <c r="H538" s="536"/>
      <c r="I538" s="256"/>
      <c r="J538" s="536">
        <f t="shared" si="1620"/>
        <v>9170</v>
      </c>
      <c r="K538" s="256">
        <f t="shared" si="1613"/>
        <v>9170</v>
      </c>
      <c r="L538" s="536">
        <f t="shared" si="1621"/>
        <v>9140</v>
      </c>
      <c r="M538" s="256">
        <f t="shared" si="1585"/>
        <v>9140</v>
      </c>
      <c r="N538" s="536">
        <f t="shared" si="1622"/>
        <v>9090</v>
      </c>
      <c r="O538" s="256">
        <f t="shared" si="1623"/>
        <v>9090</v>
      </c>
      <c r="P538" s="536">
        <f t="shared" si="1624"/>
        <v>9050</v>
      </c>
      <c r="Q538" s="256">
        <f t="shared" si="1625"/>
        <v>9050</v>
      </c>
      <c r="R538" s="536">
        <f t="shared" si="1626"/>
        <v>9020</v>
      </c>
      <c r="S538" s="256">
        <f t="shared" si="1627"/>
        <v>9020</v>
      </c>
      <c r="T538" s="536">
        <f t="shared" si="1628"/>
        <v>8980</v>
      </c>
      <c r="U538" s="256">
        <f t="shared" si="1629"/>
        <v>8980</v>
      </c>
      <c r="V538" s="536">
        <f t="shared" si="1630"/>
        <v>8960</v>
      </c>
      <c r="W538" s="256">
        <f t="shared" si="1631"/>
        <v>8960</v>
      </c>
      <c r="X538" s="134"/>
      <c r="Y538" s="122"/>
      <c r="Z538" s="122"/>
      <c r="AA538" s="125"/>
      <c r="AB538" s="178" t="s">
        <v>255</v>
      </c>
    </row>
    <row r="539" spans="1:28" ht="12.6" customHeight="1" x14ac:dyDescent="0.2">
      <c r="A539" s="17"/>
      <c r="B539" s="678" t="s">
        <v>256</v>
      </c>
      <c r="C539" s="679"/>
      <c r="D539" s="679"/>
      <c r="E539" s="679"/>
      <c r="F539" s="255">
        <v>9710</v>
      </c>
      <c r="G539" s="255">
        <f>+F539*$X$1</f>
        <v>9710</v>
      </c>
      <c r="H539" s="527"/>
      <c r="I539" s="255"/>
      <c r="J539" s="527">
        <f t="shared" si="1620"/>
        <v>10140</v>
      </c>
      <c r="K539" s="255">
        <f t="shared" si="1613"/>
        <v>10140</v>
      </c>
      <c r="L539" s="527">
        <f t="shared" si="1621"/>
        <v>10110</v>
      </c>
      <c r="M539" s="255">
        <f t="shared" si="1585"/>
        <v>10110</v>
      </c>
      <c r="N539" s="527">
        <f t="shared" si="1622"/>
        <v>10060</v>
      </c>
      <c r="O539" s="255">
        <f t="shared" si="1623"/>
        <v>10060</v>
      </c>
      <c r="P539" s="527">
        <f t="shared" si="1624"/>
        <v>10020</v>
      </c>
      <c r="Q539" s="255">
        <f t="shared" si="1625"/>
        <v>10020</v>
      </c>
      <c r="R539" s="527">
        <f t="shared" si="1626"/>
        <v>9990</v>
      </c>
      <c r="S539" s="255">
        <f t="shared" si="1627"/>
        <v>9990</v>
      </c>
      <c r="T539" s="527">
        <f t="shared" si="1628"/>
        <v>9950</v>
      </c>
      <c r="U539" s="255">
        <f t="shared" si="1629"/>
        <v>9950</v>
      </c>
      <c r="V539" s="527">
        <f t="shared" si="1630"/>
        <v>9930</v>
      </c>
      <c r="W539" s="255">
        <f t="shared" si="1631"/>
        <v>9930</v>
      </c>
      <c r="X539" s="134"/>
      <c r="Y539" s="122"/>
      <c r="Z539" s="122"/>
      <c r="AA539" s="125"/>
      <c r="AB539" s="178" t="s">
        <v>257</v>
      </c>
    </row>
    <row r="540" spans="1:28" ht="12.6" customHeight="1" x14ac:dyDescent="0.2">
      <c r="A540" s="17"/>
      <c r="B540" s="657" t="s">
        <v>821</v>
      </c>
      <c r="C540" s="1015"/>
      <c r="D540" s="1015"/>
      <c r="E540" s="1015"/>
      <c r="F540" s="290">
        <v>17980</v>
      </c>
      <c r="G540" s="256">
        <f t="shared" ref="G540:G542" si="1636">+F540*$X$1</f>
        <v>17980</v>
      </c>
      <c r="H540" s="536"/>
      <c r="I540" s="256"/>
      <c r="J540" s="536">
        <f t="shared" si="1620"/>
        <v>18410</v>
      </c>
      <c r="K540" s="256">
        <f t="shared" si="1613"/>
        <v>18410</v>
      </c>
      <c r="L540" s="536">
        <f t="shared" si="1621"/>
        <v>18380</v>
      </c>
      <c r="M540" s="256">
        <f t="shared" si="1585"/>
        <v>18380</v>
      </c>
      <c r="N540" s="536">
        <f t="shared" si="1622"/>
        <v>18330</v>
      </c>
      <c r="O540" s="256">
        <f t="shared" si="1623"/>
        <v>18330</v>
      </c>
      <c r="P540" s="536">
        <f t="shared" si="1624"/>
        <v>18290</v>
      </c>
      <c r="Q540" s="256">
        <f t="shared" si="1625"/>
        <v>18290</v>
      </c>
      <c r="R540" s="536">
        <f t="shared" si="1626"/>
        <v>18260</v>
      </c>
      <c r="S540" s="256">
        <f t="shared" si="1627"/>
        <v>18260</v>
      </c>
      <c r="T540" s="536">
        <f t="shared" si="1628"/>
        <v>18220</v>
      </c>
      <c r="U540" s="256">
        <f t="shared" si="1629"/>
        <v>18220</v>
      </c>
      <c r="V540" s="536">
        <f t="shared" si="1630"/>
        <v>18200</v>
      </c>
      <c r="W540" s="256">
        <f t="shared" si="1631"/>
        <v>18200</v>
      </c>
      <c r="X540" s="134"/>
      <c r="Y540" s="122"/>
      <c r="Z540" s="122"/>
      <c r="AA540" s="125"/>
      <c r="AB540" s="178" t="s">
        <v>820</v>
      </c>
    </row>
    <row r="541" spans="1:28" ht="12.6" customHeight="1" x14ac:dyDescent="0.2">
      <c r="A541" s="17"/>
      <c r="B541" s="678" t="s">
        <v>882</v>
      </c>
      <c r="C541" s="679"/>
      <c r="D541" s="679"/>
      <c r="E541" s="679"/>
      <c r="F541" s="323">
        <f>3.51*X2</f>
        <v>5405.4</v>
      </c>
      <c r="G541" s="255">
        <f t="shared" si="1636"/>
        <v>5405.4</v>
      </c>
      <c r="H541" s="527">
        <f t="shared" ref="H541:H545" si="1637">F541+600</f>
        <v>6005.4</v>
      </c>
      <c r="I541" s="255">
        <f t="shared" ref="I541:I542" si="1638">+H541*$X$1</f>
        <v>6005.4</v>
      </c>
      <c r="J541" s="527">
        <f>F541+410</f>
        <v>5815.4</v>
      </c>
      <c r="K541" s="255">
        <f t="shared" ref="K541:K542" si="1639">+J541*$X$1</f>
        <v>5815.4</v>
      </c>
      <c r="L541" s="527">
        <f>F541+360</f>
        <v>5765.4</v>
      </c>
      <c r="M541" s="255">
        <f t="shared" si="1585"/>
        <v>5765.4</v>
      </c>
      <c r="N541" s="527">
        <f>F541+320</f>
        <v>5725.4</v>
      </c>
      <c r="O541" s="255">
        <f t="shared" ref="O541:O542" si="1640">+N541*$X$1</f>
        <v>5725.4</v>
      </c>
      <c r="P541" s="527">
        <f>F541+290</f>
        <v>5695.4</v>
      </c>
      <c r="Q541" s="255">
        <f t="shared" ref="Q541:Q542" si="1641">+P541*$X$1</f>
        <v>5695.4</v>
      </c>
      <c r="R541" s="527">
        <f>F541+270</f>
        <v>5675.4</v>
      </c>
      <c r="S541" s="255">
        <f t="shared" ref="S541:S542" si="1642">+R541*$X$1</f>
        <v>5675.4</v>
      </c>
      <c r="T541" s="527">
        <f>F541+230</f>
        <v>5635.4</v>
      </c>
      <c r="U541" s="255">
        <f t="shared" ref="U541:U542" si="1643">+T541*$X$1</f>
        <v>5635.4</v>
      </c>
      <c r="V541" s="527">
        <f>F541+210</f>
        <v>5615.4</v>
      </c>
      <c r="W541" s="255">
        <f t="shared" ref="W541:W542" si="1644">+V541*$X$1</f>
        <v>5615.4</v>
      </c>
      <c r="X541" s="647"/>
      <c r="Y541" s="648"/>
      <c r="Z541" s="648"/>
      <c r="AA541" s="649"/>
      <c r="AB541" s="178" t="s">
        <v>859</v>
      </c>
    </row>
    <row r="542" spans="1:28" ht="12.6" customHeight="1" x14ac:dyDescent="0.2">
      <c r="A542" s="17"/>
      <c r="B542" s="657" t="s">
        <v>860</v>
      </c>
      <c r="C542" s="633"/>
      <c r="D542" s="633"/>
      <c r="E542" s="633"/>
      <c r="F542" s="324">
        <f>2.75*X2</f>
        <v>4235</v>
      </c>
      <c r="G542" s="256">
        <f t="shared" si="1636"/>
        <v>4235</v>
      </c>
      <c r="H542" s="536">
        <f t="shared" si="1637"/>
        <v>4835</v>
      </c>
      <c r="I542" s="256">
        <f t="shared" si="1638"/>
        <v>4835</v>
      </c>
      <c r="J542" s="536">
        <f>F542+410</f>
        <v>4645</v>
      </c>
      <c r="K542" s="256">
        <f t="shared" si="1639"/>
        <v>4645</v>
      </c>
      <c r="L542" s="536">
        <f>F542+360</f>
        <v>4595</v>
      </c>
      <c r="M542" s="256">
        <f t="shared" si="1585"/>
        <v>4595</v>
      </c>
      <c r="N542" s="536">
        <f>F542+320</f>
        <v>4555</v>
      </c>
      <c r="O542" s="256">
        <f t="shared" si="1640"/>
        <v>4555</v>
      </c>
      <c r="P542" s="536">
        <f>F542+290</f>
        <v>4525</v>
      </c>
      <c r="Q542" s="256">
        <f t="shared" si="1641"/>
        <v>4525</v>
      </c>
      <c r="R542" s="536">
        <f>F542+270</f>
        <v>4505</v>
      </c>
      <c r="S542" s="256">
        <f t="shared" si="1642"/>
        <v>4505</v>
      </c>
      <c r="T542" s="536">
        <f>F542+230</f>
        <v>4465</v>
      </c>
      <c r="U542" s="256">
        <f t="shared" si="1643"/>
        <v>4465</v>
      </c>
      <c r="V542" s="536">
        <f>F542+210</f>
        <v>4445</v>
      </c>
      <c r="W542" s="256">
        <f t="shared" si="1644"/>
        <v>4445</v>
      </c>
      <c r="X542" s="647"/>
      <c r="Y542" s="648"/>
      <c r="Z542" s="648"/>
      <c r="AA542" s="649"/>
      <c r="AB542" s="178" t="s">
        <v>861</v>
      </c>
    </row>
    <row r="543" spans="1:28" ht="12.6" customHeight="1" x14ac:dyDescent="0.2">
      <c r="A543" s="17"/>
      <c r="B543" s="678" t="s">
        <v>515</v>
      </c>
      <c r="C543" s="679"/>
      <c r="D543" s="679"/>
      <c r="E543" s="679"/>
      <c r="F543" s="323">
        <f>3.08*X2</f>
        <v>4743.2</v>
      </c>
      <c r="G543" s="255">
        <f t="shared" ref="G543" si="1645">+F543*$X$1</f>
        <v>4743.2</v>
      </c>
      <c r="H543" s="527">
        <f t="shared" si="1637"/>
        <v>5343.2</v>
      </c>
      <c r="I543" s="255">
        <f t="shared" ref="I543:I545" si="1646">+H543*$X$1</f>
        <v>5343.2</v>
      </c>
      <c r="J543" s="527">
        <f>F543+350</f>
        <v>5093.2</v>
      </c>
      <c r="K543" s="255">
        <f t="shared" ref="K543:K546" si="1647">+J543*$X$1</f>
        <v>5093.2</v>
      </c>
      <c r="L543" s="527">
        <f>F543+300</f>
        <v>5043.2</v>
      </c>
      <c r="M543" s="255">
        <f t="shared" ref="M543" si="1648">+L543*$X$1</f>
        <v>5043.2</v>
      </c>
      <c r="N543" s="527">
        <f>F543+270</f>
        <v>5013.2</v>
      </c>
      <c r="O543" s="255">
        <f>+N543*$X$1</f>
        <v>5013.2</v>
      </c>
      <c r="P543" s="527">
        <f>F543+240</f>
        <v>4983.2</v>
      </c>
      <c r="Q543" s="255">
        <f t="shared" ref="Q543:Q546" si="1649">+P543*$X$1</f>
        <v>4983.2</v>
      </c>
      <c r="R543" s="527">
        <f>F543+220</f>
        <v>4963.2</v>
      </c>
      <c r="S543" s="255">
        <f t="shared" ref="S543:S546" si="1650">+R543*$X$1</f>
        <v>4963.2</v>
      </c>
      <c r="T543" s="527">
        <f>F543+190</f>
        <v>4933.2</v>
      </c>
      <c r="U543" s="255">
        <f t="shared" ref="U543:U546" si="1651">+T543*$X$1</f>
        <v>4933.2</v>
      </c>
      <c r="V543" s="527">
        <f>F543+150</f>
        <v>4893.2</v>
      </c>
      <c r="W543" s="255">
        <f t="shared" ref="W543:W546" si="1652">+V543*$X$1</f>
        <v>4893.2</v>
      </c>
      <c r="X543" s="647"/>
      <c r="Y543" s="648"/>
      <c r="Z543" s="648"/>
      <c r="AA543" s="649"/>
      <c r="AB543" s="178" t="s">
        <v>258</v>
      </c>
    </row>
    <row r="544" spans="1:28" ht="12.6" customHeight="1" x14ac:dyDescent="0.2">
      <c r="A544" s="17"/>
      <c r="B544" s="657" t="s">
        <v>581</v>
      </c>
      <c r="C544" s="633"/>
      <c r="D544" s="633"/>
      <c r="E544" s="633"/>
      <c r="F544" s="324">
        <v>4360</v>
      </c>
      <c r="G544" s="256">
        <f t="shared" ref="G544" si="1653">+F544*$X$1</f>
        <v>4360</v>
      </c>
      <c r="H544" s="536">
        <f t="shared" si="1637"/>
        <v>4960</v>
      </c>
      <c r="I544" s="256">
        <f t="shared" si="1646"/>
        <v>4960</v>
      </c>
      <c r="J544" s="536">
        <f>F544+410</f>
        <v>4770</v>
      </c>
      <c r="K544" s="256">
        <f t="shared" si="1647"/>
        <v>4770</v>
      </c>
      <c r="L544" s="536">
        <f>F544+360</f>
        <v>4720</v>
      </c>
      <c r="M544" s="256">
        <f>+L544*$X$1</f>
        <v>4720</v>
      </c>
      <c r="N544" s="536">
        <f>F544+320</f>
        <v>4680</v>
      </c>
      <c r="O544" s="256">
        <f t="shared" ref="O544:O546" si="1654">+N544*$X$1</f>
        <v>4680</v>
      </c>
      <c r="P544" s="536">
        <f>F544+290</f>
        <v>4650</v>
      </c>
      <c r="Q544" s="256">
        <f t="shared" si="1649"/>
        <v>4650</v>
      </c>
      <c r="R544" s="536">
        <f>F544+270</f>
        <v>4630</v>
      </c>
      <c r="S544" s="256">
        <f t="shared" si="1650"/>
        <v>4630</v>
      </c>
      <c r="T544" s="536">
        <f>F544+230</f>
        <v>4590</v>
      </c>
      <c r="U544" s="256">
        <f t="shared" si="1651"/>
        <v>4590</v>
      </c>
      <c r="V544" s="536">
        <f>F544+210</f>
        <v>4570</v>
      </c>
      <c r="W544" s="256">
        <f t="shared" si="1652"/>
        <v>4570</v>
      </c>
      <c r="X544" s="647"/>
      <c r="Y544" s="648"/>
      <c r="Z544" s="648"/>
      <c r="AA544" s="649"/>
      <c r="AB544" s="178" t="s">
        <v>582</v>
      </c>
    </row>
    <row r="545" spans="1:34" ht="12.6" customHeight="1" x14ac:dyDescent="0.2">
      <c r="A545" s="17"/>
      <c r="B545" s="678" t="s">
        <v>353</v>
      </c>
      <c r="C545" s="774"/>
      <c r="D545" s="774"/>
      <c r="E545" s="774"/>
      <c r="F545" s="323">
        <f>3.116*X2</f>
        <v>4798.6400000000003</v>
      </c>
      <c r="G545" s="255">
        <f t="shared" ref="G545" si="1655">+F545*$X$1</f>
        <v>4798.6400000000003</v>
      </c>
      <c r="H545" s="527">
        <f t="shared" si="1637"/>
        <v>5398.64</v>
      </c>
      <c r="I545" s="255">
        <f t="shared" si="1646"/>
        <v>5398.64</v>
      </c>
      <c r="J545" s="527">
        <f>F545+410</f>
        <v>5208.6400000000003</v>
      </c>
      <c r="K545" s="255">
        <f t="shared" si="1647"/>
        <v>5208.6400000000003</v>
      </c>
      <c r="L545" s="527">
        <f>F545+360</f>
        <v>5158.6400000000003</v>
      </c>
      <c r="M545" s="255">
        <f>+L545*$X$1</f>
        <v>5158.6400000000003</v>
      </c>
      <c r="N545" s="527">
        <f>F545+320</f>
        <v>5118.6400000000003</v>
      </c>
      <c r="O545" s="255">
        <f t="shared" si="1654"/>
        <v>5118.6400000000003</v>
      </c>
      <c r="P545" s="527">
        <f>F545+290</f>
        <v>5088.6400000000003</v>
      </c>
      <c r="Q545" s="255">
        <f t="shared" si="1649"/>
        <v>5088.6400000000003</v>
      </c>
      <c r="R545" s="527">
        <f>F545+270</f>
        <v>5068.6400000000003</v>
      </c>
      <c r="S545" s="255">
        <f t="shared" si="1650"/>
        <v>5068.6400000000003</v>
      </c>
      <c r="T545" s="527">
        <f>F545+230</f>
        <v>5028.6400000000003</v>
      </c>
      <c r="U545" s="255">
        <f t="shared" si="1651"/>
        <v>5028.6400000000003</v>
      </c>
      <c r="V545" s="527">
        <f>F545+210</f>
        <v>5008.6400000000003</v>
      </c>
      <c r="W545" s="255">
        <f t="shared" si="1652"/>
        <v>5008.6400000000003</v>
      </c>
      <c r="X545" s="647"/>
      <c r="Y545" s="648"/>
      <c r="Z545" s="648"/>
      <c r="AA545" s="649"/>
      <c r="AB545" s="178" t="s">
        <v>414</v>
      </c>
    </row>
    <row r="546" spans="1:34" ht="12.6" customHeight="1" x14ac:dyDescent="0.2">
      <c r="A546" s="17"/>
      <c r="B546" s="657" t="s">
        <v>619</v>
      </c>
      <c r="C546" s="694"/>
      <c r="D546" s="694"/>
      <c r="E546" s="694"/>
      <c r="F546" s="324">
        <f>4.705*X2</f>
        <v>7245.7</v>
      </c>
      <c r="G546" s="256">
        <f t="shared" ref="G546" si="1656">+F546*$X$1</f>
        <v>7245.7</v>
      </c>
      <c r="H546" s="536"/>
      <c r="I546" s="256"/>
      <c r="J546" s="536">
        <f>F546+410</f>
        <v>7655.7</v>
      </c>
      <c r="K546" s="256">
        <f t="shared" si="1647"/>
        <v>7655.7</v>
      </c>
      <c r="L546" s="536">
        <f>F546+360</f>
        <v>7605.7</v>
      </c>
      <c r="M546" s="256">
        <f>+L546*$X$1</f>
        <v>7605.7</v>
      </c>
      <c r="N546" s="536">
        <f>F546+320</f>
        <v>7565.7</v>
      </c>
      <c r="O546" s="256">
        <f t="shared" si="1654"/>
        <v>7565.7</v>
      </c>
      <c r="P546" s="536">
        <f>F546+290</f>
        <v>7535.7</v>
      </c>
      <c r="Q546" s="256">
        <f t="shared" si="1649"/>
        <v>7535.7</v>
      </c>
      <c r="R546" s="536">
        <f>F546+270</f>
        <v>7515.7</v>
      </c>
      <c r="S546" s="256">
        <f t="shared" si="1650"/>
        <v>7515.7</v>
      </c>
      <c r="T546" s="536">
        <f>F546+230</f>
        <v>7475.7</v>
      </c>
      <c r="U546" s="256">
        <f t="shared" si="1651"/>
        <v>7475.7</v>
      </c>
      <c r="V546" s="536">
        <f>F546+210</f>
        <v>7455.7</v>
      </c>
      <c r="W546" s="256">
        <f t="shared" si="1652"/>
        <v>7455.7</v>
      </c>
      <c r="X546" s="647"/>
      <c r="Y546" s="648"/>
      <c r="Z546" s="648"/>
      <c r="AA546" s="649"/>
      <c r="AB546" s="178" t="s">
        <v>620</v>
      </c>
    </row>
    <row r="547" spans="1:34" ht="12" customHeight="1" x14ac:dyDescent="0.2">
      <c r="A547" s="94"/>
      <c r="B547" s="212"/>
      <c r="C547" s="59"/>
      <c r="D547" s="59"/>
      <c r="E547" s="59"/>
      <c r="F547" s="117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213"/>
      <c r="Y547" s="214"/>
      <c r="Z547" s="214"/>
      <c r="AA547" s="213"/>
      <c r="AB547" s="36"/>
      <c r="AC547" s="62"/>
    </row>
    <row r="548" spans="1:34" ht="12" customHeight="1" x14ac:dyDescent="0.2">
      <c r="A548" s="94"/>
      <c r="B548" s="212"/>
      <c r="C548" s="59"/>
      <c r="D548" s="59"/>
      <c r="E548" s="59"/>
      <c r="F548" s="117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213"/>
      <c r="Y548" s="214"/>
      <c r="Z548" s="214"/>
      <c r="AA548" s="213"/>
      <c r="AB548" s="36"/>
      <c r="AC548" s="62"/>
    </row>
    <row r="549" spans="1:34" ht="12" customHeight="1" x14ac:dyDescent="0.2">
      <c r="A549" s="94"/>
      <c r="B549" s="212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3"/>
      <c r="Y549" s="214"/>
      <c r="Z549" s="214"/>
      <c r="AA549" s="213"/>
      <c r="AB549" s="36"/>
      <c r="AC549" s="62"/>
    </row>
    <row r="550" spans="1:34" ht="12" customHeight="1" x14ac:dyDescent="0.2">
      <c r="A550" s="94"/>
      <c r="B550" s="212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3"/>
      <c r="Y550" s="214"/>
      <c r="Z550" s="214"/>
      <c r="AA550" s="213"/>
      <c r="AB550" s="36"/>
      <c r="AC550" s="62"/>
    </row>
    <row r="551" spans="1:34" ht="12" customHeight="1" x14ac:dyDescent="0.2">
      <c r="A551" s="94"/>
      <c r="B551" s="212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3"/>
      <c r="Y551" s="214"/>
      <c r="Z551" s="214"/>
      <c r="AA551" s="213"/>
      <c r="AB551" s="36"/>
      <c r="AC551" s="62"/>
    </row>
    <row r="552" spans="1:34" ht="12" customHeight="1" x14ac:dyDescent="0.2">
      <c r="A552" s="94"/>
      <c r="B552" s="212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3"/>
      <c r="Y552" s="214"/>
      <c r="Z552" s="214"/>
      <c r="AA552" s="213"/>
      <c r="AB552" s="36"/>
      <c r="AC552" s="62"/>
    </row>
    <row r="553" spans="1:34" ht="12" customHeight="1" x14ac:dyDescent="0.2">
      <c r="A553" s="94"/>
      <c r="B553" s="212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3"/>
      <c r="Y553" s="214"/>
      <c r="Z553" s="214"/>
      <c r="AA553" s="213"/>
      <c r="AB553" s="36"/>
      <c r="AC553" s="62"/>
    </row>
    <row r="554" spans="1:34" ht="12.6" customHeight="1" x14ac:dyDescent="0.2">
      <c r="A554" s="4"/>
      <c r="B554" s="98"/>
      <c r="C554" s="541"/>
      <c r="D554" s="541"/>
      <c r="E554" s="541"/>
      <c r="F554" s="361"/>
      <c r="G554" s="295"/>
      <c r="H554" s="106"/>
      <c r="I554" s="295"/>
      <c r="J554" s="106"/>
      <c r="K554" s="295"/>
      <c r="L554" s="106"/>
      <c r="M554" s="295"/>
      <c r="N554" s="106"/>
      <c r="O554" s="295"/>
      <c r="P554" s="106"/>
      <c r="Q554" s="295"/>
      <c r="R554" s="106"/>
      <c r="S554" s="295"/>
      <c r="T554" s="106"/>
      <c r="U554" s="295"/>
      <c r="V554" s="106"/>
      <c r="W554" s="295"/>
      <c r="X554" s="185"/>
      <c r="Y554" s="71"/>
      <c r="Z554" s="186"/>
      <c r="AA554" s="186"/>
      <c r="AB554" s="540"/>
    </row>
    <row r="555" spans="1:34" ht="12.6" customHeight="1" x14ac:dyDescent="0.2">
      <c r="A555" s="4"/>
      <c r="B555" s="98"/>
      <c r="C555" s="541"/>
      <c r="D555" s="541"/>
      <c r="E555" s="541"/>
      <c r="F555" s="361"/>
      <c r="G555" s="295"/>
      <c r="H555" s="106"/>
      <c r="I555" s="295"/>
      <c r="J555" s="106"/>
      <c r="K555" s="295"/>
      <c r="L555" s="106"/>
      <c r="M555" s="295"/>
      <c r="N555" s="106"/>
      <c r="O555" s="295"/>
      <c r="P555" s="106"/>
      <c r="Q555" s="295"/>
      <c r="R555" s="106"/>
      <c r="S555" s="295"/>
      <c r="T555" s="106"/>
      <c r="U555" s="295"/>
      <c r="V555" s="106"/>
      <c r="W555" s="295"/>
      <c r="X555" s="185"/>
      <c r="Y555" s="71"/>
      <c r="Z555" s="186"/>
      <c r="AA555" s="186"/>
      <c r="AB555" s="540"/>
    </row>
    <row r="556" spans="1:34" ht="12.6" customHeight="1" x14ac:dyDescent="0.2">
      <c r="A556" s="4"/>
      <c r="B556" s="98"/>
      <c r="C556" s="541"/>
      <c r="D556" s="541"/>
      <c r="E556" s="541"/>
      <c r="F556" s="361"/>
      <c r="G556" s="295"/>
      <c r="H556" s="106"/>
      <c r="I556" s="295"/>
      <c r="J556" s="106"/>
      <c r="K556" s="295"/>
      <c r="L556" s="106"/>
      <c r="M556" s="295"/>
      <c r="N556" s="106"/>
      <c r="O556" s="295"/>
      <c r="P556" s="106"/>
      <c r="Q556" s="295"/>
      <c r="R556" s="106"/>
      <c r="S556" s="295"/>
      <c r="T556" s="106"/>
      <c r="U556" s="295"/>
      <c r="V556" s="106"/>
      <c r="W556" s="295"/>
      <c r="X556" s="185"/>
      <c r="Y556" s="71"/>
      <c r="Z556" s="186"/>
      <c r="AA556" s="186"/>
      <c r="AB556" s="540"/>
    </row>
    <row r="557" spans="1:34" ht="12.6" customHeight="1" x14ac:dyDescent="0.2">
      <c r="A557" s="4"/>
      <c r="B557" s="98"/>
      <c r="C557" s="541"/>
      <c r="D557" s="541"/>
      <c r="E557" s="541"/>
      <c r="F557" s="361"/>
      <c r="G557" s="295"/>
      <c r="H557" s="106"/>
      <c r="I557" s="295"/>
      <c r="J557" s="106"/>
      <c r="K557" s="295"/>
      <c r="L557" s="106"/>
      <c r="M557" s="295"/>
      <c r="N557" s="106"/>
      <c r="O557" s="295"/>
      <c r="P557" s="106"/>
      <c r="Q557" s="295"/>
      <c r="R557" s="106"/>
      <c r="S557" s="295"/>
      <c r="T557" s="106"/>
      <c r="U557" s="295"/>
      <c r="V557" s="106"/>
      <c r="W557" s="295"/>
      <c r="X557" s="185"/>
      <c r="Y557" s="71"/>
      <c r="Z557" s="186"/>
      <c r="AA557" s="186"/>
      <c r="AB557" s="540"/>
    </row>
    <row r="558" spans="1:34" ht="15.75" customHeight="1" x14ac:dyDescent="0.2">
      <c r="B558" s="772" t="s">
        <v>445</v>
      </c>
      <c r="C558" s="773"/>
      <c r="D558" s="773"/>
      <c r="E558" s="773"/>
      <c r="F558" s="773"/>
      <c r="G558" s="773"/>
      <c r="H558" s="773"/>
      <c r="I558" s="773"/>
      <c r="J558" s="773"/>
      <c r="K558" s="773"/>
      <c r="L558" s="773"/>
      <c r="M558" s="773"/>
      <c r="N558" s="773"/>
      <c r="O558" s="773"/>
      <c r="P558" s="773"/>
      <c r="Q558" s="773"/>
      <c r="R558" s="773"/>
      <c r="S558" s="773"/>
      <c r="T558" s="773"/>
      <c r="U558" s="773"/>
      <c r="V558" s="773"/>
      <c r="W558" s="773"/>
      <c r="AB558" s="4"/>
      <c r="AF558" s="640"/>
      <c r="AG558" s="641"/>
      <c r="AH558" s="641"/>
    </row>
    <row r="559" spans="1:34" ht="12" customHeight="1" x14ac:dyDescent="0.2">
      <c r="B559" s="1028" t="s">
        <v>11</v>
      </c>
      <c r="C559" s="1028" t="s">
        <v>12</v>
      </c>
      <c r="D559" s="1029"/>
      <c r="E559" s="1029"/>
      <c r="F559" s="650" t="s">
        <v>259</v>
      </c>
      <c r="G559" s="650" t="s">
        <v>13</v>
      </c>
      <c r="H559" s="695" t="s">
        <v>923</v>
      </c>
      <c r="I559" s="695"/>
      <c r="J559" s="696"/>
      <c r="K559" s="696"/>
      <c r="L559" s="696"/>
      <c r="M559" s="696"/>
      <c r="N559" s="696"/>
      <c r="O559" s="696"/>
      <c r="P559" s="696"/>
      <c r="Q559" s="696"/>
      <c r="R559" s="696"/>
      <c r="S559" s="696"/>
      <c r="T559" s="696"/>
      <c r="U559" s="696"/>
      <c r="V559" s="696"/>
      <c r="W559" s="696"/>
      <c r="X559" s="739" t="s">
        <v>14</v>
      </c>
      <c r="Y559" s="740"/>
      <c r="Z559" s="740"/>
      <c r="AA559" s="741"/>
      <c r="AB559" s="638" t="s">
        <v>15</v>
      </c>
      <c r="AF559" s="640" t="s">
        <v>3</v>
      </c>
      <c r="AG559" s="641"/>
      <c r="AH559" s="641"/>
    </row>
    <row r="560" spans="1:34" ht="12" customHeight="1" x14ac:dyDescent="0.2">
      <c r="B560" s="1029"/>
      <c r="C560" s="1029"/>
      <c r="D560" s="1029"/>
      <c r="E560" s="1029"/>
      <c r="F560" s="651"/>
      <c r="G560" s="651"/>
      <c r="H560" s="399"/>
      <c r="I560" s="398" t="s">
        <v>510</v>
      </c>
      <c r="J560" s="399"/>
      <c r="K560" s="398" t="s">
        <v>260</v>
      </c>
      <c r="L560" s="399"/>
      <c r="M560" s="398" t="s">
        <v>261</v>
      </c>
      <c r="N560" s="399"/>
      <c r="O560" s="398" t="s">
        <v>512</v>
      </c>
      <c r="P560" s="399"/>
      <c r="Q560" s="398" t="s">
        <v>17</v>
      </c>
      <c r="R560" s="399"/>
      <c r="S560" s="398" t="s">
        <v>18</v>
      </c>
      <c r="T560" s="399"/>
      <c r="U560" s="398" t="s">
        <v>19</v>
      </c>
      <c r="V560" s="399"/>
      <c r="W560" s="398" t="s">
        <v>513</v>
      </c>
      <c r="X560" s="742"/>
      <c r="Y560" s="743"/>
      <c r="Z560" s="743"/>
      <c r="AA560" s="744"/>
      <c r="AB560" s="639"/>
    </row>
    <row r="561" spans="1:28" ht="12" customHeight="1" x14ac:dyDescent="0.2">
      <c r="A561" s="4"/>
      <c r="B561" s="697" t="s">
        <v>995</v>
      </c>
      <c r="C561" s="698"/>
      <c r="D561" s="698"/>
      <c r="E561" s="698"/>
      <c r="F561" s="280">
        <f>14.6*X2</f>
        <v>22484</v>
      </c>
      <c r="G561" s="280">
        <f t="shared" ref="G561" si="1657">+F561*$X$1</f>
        <v>22484</v>
      </c>
      <c r="H561" s="92">
        <f>F561+5000</f>
        <v>27484</v>
      </c>
      <c r="I561" s="280">
        <f t="shared" ref="I561" si="1658">+H561*$X$1</f>
        <v>27484</v>
      </c>
      <c r="J561" s="92">
        <f>F561+1200</f>
        <v>23684</v>
      </c>
      <c r="K561" s="280">
        <f t="shared" ref="K561" si="1659">+J561*$X$1</f>
        <v>23684</v>
      </c>
      <c r="L561" s="92">
        <f>F561+1000</f>
        <v>23484</v>
      </c>
      <c r="M561" s="280">
        <f t="shared" ref="M561" si="1660">+L561*$X$1</f>
        <v>23484</v>
      </c>
      <c r="N561" s="92">
        <f>F561+850</f>
        <v>23334</v>
      </c>
      <c r="O561" s="280">
        <f t="shared" ref="O561" si="1661">+N561*$X$1</f>
        <v>23334</v>
      </c>
      <c r="P561" s="92">
        <f>F561+740</f>
        <v>23224</v>
      </c>
      <c r="Q561" s="280">
        <f t="shared" ref="Q561" si="1662">+P561*$X$1</f>
        <v>23224</v>
      </c>
      <c r="R561" s="92">
        <f>F561+650</f>
        <v>23134</v>
      </c>
      <c r="S561" s="280">
        <f t="shared" ref="S561" si="1663">+R561*$X$1</f>
        <v>23134</v>
      </c>
      <c r="T561" s="92">
        <f>F561+560</f>
        <v>23044</v>
      </c>
      <c r="U561" s="280">
        <f t="shared" ref="U561" si="1664">+T561*$X$1</f>
        <v>23044</v>
      </c>
      <c r="V561" s="92">
        <f>F561+450</f>
        <v>22934</v>
      </c>
      <c r="W561" s="280">
        <f t="shared" ref="W561" si="1665">+V561*$X$1</f>
        <v>22934</v>
      </c>
      <c r="X561" s="127"/>
      <c r="Y561" s="122"/>
      <c r="Z561" s="128"/>
      <c r="AA561" s="129"/>
      <c r="AB561" s="338">
        <v>872</v>
      </c>
    </row>
    <row r="562" spans="1:28" ht="12" customHeight="1" x14ac:dyDescent="0.2">
      <c r="A562" s="4"/>
      <c r="B562" s="699" t="s">
        <v>675</v>
      </c>
      <c r="C562" s="700"/>
      <c r="D562" s="700"/>
      <c r="E562" s="700"/>
      <c r="F562" s="270">
        <f>7.9*X2</f>
        <v>12166</v>
      </c>
      <c r="G562" s="270">
        <f t="shared" ref="G562" si="1666">+F562*$X$1</f>
        <v>12166</v>
      </c>
      <c r="H562" s="93">
        <f>F562+6000</f>
        <v>18166</v>
      </c>
      <c r="I562" s="270">
        <f t="shared" ref="I562" si="1667">+H562*$X$1</f>
        <v>18166</v>
      </c>
      <c r="J562" s="93">
        <f>F562+2000</f>
        <v>14166</v>
      </c>
      <c r="K562" s="270">
        <f t="shared" ref="K562" si="1668">+J562*$X$1</f>
        <v>14166</v>
      </c>
      <c r="L562" s="93">
        <f>F562+1700</f>
        <v>13866</v>
      </c>
      <c r="M562" s="270">
        <f t="shared" ref="M562" si="1669">+L562*$X$1</f>
        <v>13866</v>
      </c>
      <c r="N562" s="93">
        <f>F562+1550</f>
        <v>13716</v>
      </c>
      <c r="O562" s="270">
        <f t="shared" ref="O562" si="1670">+N562*$X$1</f>
        <v>13716</v>
      </c>
      <c r="P562" s="93">
        <f>F562+1350</f>
        <v>13516</v>
      </c>
      <c r="Q562" s="270">
        <f t="shared" ref="Q562" si="1671">+P562*$X$1</f>
        <v>13516</v>
      </c>
      <c r="R562" s="93">
        <f>F562+1200</f>
        <v>13366</v>
      </c>
      <c r="S562" s="270">
        <f t="shared" ref="S562" si="1672">+R562*$X$1</f>
        <v>13366</v>
      </c>
      <c r="T562" s="93">
        <f>F562+1050</f>
        <v>13216</v>
      </c>
      <c r="U562" s="270">
        <f t="shared" ref="U562" si="1673">+T562*$X$1</f>
        <v>13216</v>
      </c>
      <c r="V562" s="93">
        <f>F562+900</f>
        <v>13066</v>
      </c>
      <c r="W562" s="270">
        <f t="shared" ref="W562" si="1674">+V562*$X$1</f>
        <v>13066</v>
      </c>
      <c r="X562" s="127"/>
      <c r="Y562" s="122"/>
      <c r="Z562" s="128"/>
      <c r="AA562" s="129"/>
      <c r="AB562" s="352" t="s">
        <v>679</v>
      </c>
    </row>
    <row r="563" spans="1:28" ht="12" customHeight="1" x14ac:dyDescent="0.2">
      <c r="A563" s="4"/>
      <c r="B563" s="725" t="s">
        <v>674</v>
      </c>
      <c r="C563" s="726"/>
      <c r="D563" s="726"/>
      <c r="E563" s="726"/>
      <c r="F563" s="280">
        <f>7.9*X2</f>
        <v>12166</v>
      </c>
      <c r="G563" s="280">
        <f t="shared" ref="G563" si="1675">+F563*$X$1</f>
        <v>12166</v>
      </c>
      <c r="H563" s="92">
        <f>F563+5000</f>
        <v>17166</v>
      </c>
      <c r="I563" s="280">
        <f t="shared" ref="I563" si="1676">+H563*$X$1</f>
        <v>17166</v>
      </c>
      <c r="J563" s="92">
        <f>F563+1200</f>
        <v>13366</v>
      </c>
      <c r="K563" s="280">
        <f t="shared" ref="K563" si="1677">+J563*$X$1</f>
        <v>13366</v>
      </c>
      <c r="L563" s="92">
        <f>F563+1000</f>
        <v>13166</v>
      </c>
      <c r="M563" s="280">
        <f t="shared" ref="M563" si="1678">+L563*$X$1</f>
        <v>13166</v>
      </c>
      <c r="N563" s="92">
        <f>F563+850</f>
        <v>13016</v>
      </c>
      <c r="O563" s="280">
        <f t="shared" ref="O563" si="1679">+N563*$X$1</f>
        <v>13016</v>
      </c>
      <c r="P563" s="92">
        <f>F563+740</f>
        <v>12906</v>
      </c>
      <c r="Q563" s="280">
        <f t="shared" ref="Q563" si="1680">+P563*$X$1</f>
        <v>12906</v>
      </c>
      <c r="R563" s="92">
        <f>F563+650</f>
        <v>12816</v>
      </c>
      <c r="S563" s="280">
        <f t="shared" ref="S563" si="1681">+R563*$X$1</f>
        <v>12816</v>
      </c>
      <c r="T563" s="92">
        <f>F563+560</f>
        <v>12726</v>
      </c>
      <c r="U563" s="280">
        <f t="shared" ref="U563" si="1682">+T563*$X$1</f>
        <v>12726</v>
      </c>
      <c r="V563" s="92">
        <f>F563+450</f>
        <v>12616</v>
      </c>
      <c r="W563" s="280">
        <f t="shared" ref="W563" si="1683">+V563*$X$1</f>
        <v>12616</v>
      </c>
      <c r="X563" s="127"/>
      <c r="Y563" s="122"/>
      <c r="Z563" s="128"/>
      <c r="AA563" s="129"/>
      <c r="AB563" s="338">
        <v>873</v>
      </c>
    </row>
    <row r="564" spans="1:28" ht="12" customHeight="1" x14ac:dyDescent="0.2">
      <c r="A564" s="4"/>
      <c r="B564" s="699" t="s">
        <v>635</v>
      </c>
      <c r="C564" s="700"/>
      <c r="D564" s="700"/>
      <c r="E564" s="700"/>
      <c r="F564" s="270">
        <f>14*X2</f>
        <v>21560</v>
      </c>
      <c r="G564" s="270">
        <f t="shared" ref="G564" si="1684">+F564*$X$1</f>
        <v>21560</v>
      </c>
      <c r="H564" s="93">
        <f>F564+5000</f>
        <v>26560</v>
      </c>
      <c r="I564" s="270">
        <f t="shared" ref="I564" si="1685">+H564*$X$1</f>
        <v>26560</v>
      </c>
      <c r="J564" s="93">
        <f>F564+1200</f>
        <v>22760</v>
      </c>
      <c r="K564" s="270">
        <f t="shared" ref="K564" si="1686">+J564*$X$1</f>
        <v>22760</v>
      </c>
      <c r="L564" s="93">
        <f>F564+1000</f>
        <v>22560</v>
      </c>
      <c r="M564" s="270">
        <f t="shared" ref="M564" si="1687">+L564*$X$1</f>
        <v>22560</v>
      </c>
      <c r="N564" s="93">
        <f>F564+850</f>
        <v>22410</v>
      </c>
      <c r="O564" s="270">
        <f t="shared" ref="O564" si="1688">+N564*$X$1</f>
        <v>22410</v>
      </c>
      <c r="P564" s="93">
        <f>F564+740</f>
        <v>22300</v>
      </c>
      <c r="Q564" s="270">
        <f t="shared" ref="Q564" si="1689">+P564*$X$1</f>
        <v>22300</v>
      </c>
      <c r="R564" s="93">
        <f>F564+650</f>
        <v>22210</v>
      </c>
      <c r="S564" s="270">
        <f t="shared" ref="S564" si="1690">+R564*$X$1</f>
        <v>22210</v>
      </c>
      <c r="T564" s="93">
        <f>F564+560</f>
        <v>22120</v>
      </c>
      <c r="U564" s="270">
        <f t="shared" ref="U564" si="1691">+T564*$X$1</f>
        <v>22120</v>
      </c>
      <c r="V564" s="93">
        <f>F564+450</f>
        <v>22010</v>
      </c>
      <c r="W564" s="270">
        <f t="shared" ref="W564" si="1692">+V564*$X$1</f>
        <v>22010</v>
      </c>
      <c r="X564" s="127"/>
      <c r="Y564" s="122"/>
      <c r="Z564" s="128"/>
      <c r="AA564" s="129"/>
      <c r="AB564" s="338">
        <v>874</v>
      </c>
    </row>
    <row r="565" spans="1:28" ht="12.6" customHeight="1" x14ac:dyDescent="0.2">
      <c r="A565" s="4"/>
      <c r="B565" s="725" t="s">
        <v>603</v>
      </c>
      <c r="C565" s="726"/>
      <c r="D565" s="726"/>
      <c r="E565" s="726"/>
      <c r="F565" s="280">
        <f>9.1*X2</f>
        <v>14014</v>
      </c>
      <c r="G565" s="280">
        <f t="shared" ref="G565:G566" si="1693">+F565*$X$1</f>
        <v>14014</v>
      </c>
      <c r="H565" s="92">
        <f>F565+6000</f>
        <v>20014</v>
      </c>
      <c r="I565" s="280">
        <f>+H565*$X$1</f>
        <v>20014</v>
      </c>
      <c r="J565" s="92">
        <f>F565+2000</f>
        <v>16014</v>
      </c>
      <c r="K565" s="280">
        <f>+J565*$X$1</f>
        <v>16014</v>
      </c>
      <c r="L565" s="92">
        <f>F565+1700</f>
        <v>15714</v>
      </c>
      <c r="M565" s="280">
        <f>+L565*$X$1</f>
        <v>15714</v>
      </c>
      <c r="N565" s="92">
        <f>F565+1550</f>
        <v>15564</v>
      </c>
      <c r="O565" s="280">
        <f>+N565*$X$1</f>
        <v>15564</v>
      </c>
      <c r="P565" s="92">
        <f>F565+1350</f>
        <v>15364</v>
      </c>
      <c r="Q565" s="280">
        <f>+P565*$X$1</f>
        <v>15364</v>
      </c>
      <c r="R565" s="92">
        <f>F565+1200</f>
        <v>15214</v>
      </c>
      <c r="S565" s="280">
        <f>+R565*$X$1</f>
        <v>15214</v>
      </c>
      <c r="T565" s="92">
        <f>F565+1050</f>
        <v>15064</v>
      </c>
      <c r="U565" s="280">
        <f>+T565*$X$1</f>
        <v>15064</v>
      </c>
      <c r="V565" s="92">
        <f>F565+900</f>
        <v>14914</v>
      </c>
      <c r="W565" s="280">
        <f>+V565*$X$1</f>
        <v>14914</v>
      </c>
      <c r="X565" s="127"/>
      <c r="Y565" s="122"/>
      <c r="Z565" s="128"/>
      <c r="AA565" s="129"/>
      <c r="AB565" s="338" t="s">
        <v>613</v>
      </c>
    </row>
    <row r="566" spans="1:28" ht="12" customHeight="1" x14ac:dyDescent="0.2">
      <c r="A566" s="4"/>
      <c r="B566" s="748" t="s">
        <v>604</v>
      </c>
      <c r="C566" s="679"/>
      <c r="D566" s="679"/>
      <c r="E566" s="679"/>
      <c r="F566" s="270">
        <f>9.1*X2</f>
        <v>14014</v>
      </c>
      <c r="G566" s="270">
        <f t="shared" si="1693"/>
        <v>14014</v>
      </c>
      <c r="H566" s="93">
        <f>F566+5000</f>
        <v>19014</v>
      </c>
      <c r="I566" s="270">
        <f t="shared" ref="I566:I568" si="1694">+H566*$X$1</f>
        <v>19014</v>
      </c>
      <c r="J566" s="93">
        <f>F566+1200</f>
        <v>15214</v>
      </c>
      <c r="K566" s="270">
        <f t="shared" ref="K566:K568" si="1695">+J566*$X$1</f>
        <v>15214</v>
      </c>
      <c r="L566" s="93">
        <f>F566+1000</f>
        <v>15014</v>
      </c>
      <c r="M566" s="270">
        <f t="shared" ref="M566:M568" si="1696">+L566*$X$1</f>
        <v>15014</v>
      </c>
      <c r="N566" s="93">
        <f>F566+850</f>
        <v>14864</v>
      </c>
      <c r="O566" s="270">
        <f t="shared" ref="O566:O568" si="1697">+N566*$X$1</f>
        <v>14864</v>
      </c>
      <c r="P566" s="93">
        <f>F566+740</f>
        <v>14754</v>
      </c>
      <c r="Q566" s="270">
        <f t="shared" ref="Q566:Q568" si="1698">+P566*$X$1</f>
        <v>14754</v>
      </c>
      <c r="R566" s="93">
        <f>F566+650</f>
        <v>14664</v>
      </c>
      <c r="S566" s="270">
        <f t="shared" ref="S566:S568" si="1699">+R566*$X$1</f>
        <v>14664</v>
      </c>
      <c r="T566" s="93">
        <f>F566+560</f>
        <v>14574</v>
      </c>
      <c r="U566" s="270">
        <f t="shared" ref="U566:U568" si="1700">+T566*$X$1</f>
        <v>14574</v>
      </c>
      <c r="V566" s="93">
        <f>F566+450</f>
        <v>14464</v>
      </c>
      <c r="W566" s="270">
        <f t="shared" ref="W566:W568" si="1701">+V566*$X$1</f>
        <v>14464</v>
      </c>
      <c r="X566" s="127"/>
      <c r="Y566" s="122"/>
      <c r="Z566" s="128"/>
      <c r="AA566" s="129"/>
      <c r="AB566" s="338">
        <v>875</v>
      </c>
    </row>
    <row r="567" spans="1:28" ht="12.6" customHeight="1" x14ac:dyDescent="0.2">
      <c r="A567" s="4"/>
      <c r="B567" s="725" t="s">
        <v>676</v>
      </c>
      <c r="C567" s="726"/>
      <c r="D567" s="726"/>
      <c r="E567" s="726"/>
      <c r="F567" s="280">
        <f>18.1*X2</f>
        <v>27874.000000000004</v>
      </c>
      <c r="G567" s="280">
        <f t="shared" ref="G567" si="1702">+F567*$X$1</f>
        <v>27874.000000000004</v>
      </c>
      <c r="H567" s="92">
        <f>F567+5000</f>
        <v>32874</v>
      </c>
      <c r="I567" s="280">
        <f t="shared" si="1694"/>
        <v>32874</v>
      </c>
      <c r="J567" s="92">
        <f>F567+1200</f>
        <v>29074.000000000004</v>
      </c>
      <c r="K567" s="280">
        <f t="shared" si="1695"/>
        <v>29074.000000000004</v>
      </c>
      <c r="L567" s="92">
        <f>F567+1000</f>
        <v>28874.000000000004</v>
      </c>
      <c r="M567" s="280">
        <f t="shared" si="1696"/>
        <v>28874.000000000004</v>
      </c>
      <c r="N567" s="92">
        <f>F567+850</f>
        <v>28724.000000000004</v>
      </c>
      <c r="O567" s="280">
        <f t="shared" si="1697"/>
        <v>28724.000000000004</v>
      </c>
      <c r="P567" s="92">
        <f>F567+740</f>
        <v>28614.000000000004</v>
      </c>
      <c r="Q567" s="280">
        <f t="shared" si="1698"/>
        <v>28614.000000000004</v>
      </c>
      <c r="R567" s="92">
        <f>F567+650</f>
        <v>28524.000000000004</v>
      </c>
      <c r="S567" s="280">
        <f t="shared" si="1699"/>
        <v>28524.000000000004</v>
      </c>
      <c r="T567" s="92">
        <f>F567+560</f>
        <v>28434.000000000004</v>
      </c>
      <c r="U567" s="280">
        <f t="shared" si="1700"/>
        <v>28434.000000000004</v>
      </c>
      <c r="V567" s="92">
        <f>F567+450</f>
        <v>28324.000000000004</v>
      </c>
      <c r="W567" s="280">
        <f t="shared" si="1701"/>
        <v>28324.000000000004</v>
      </c>
      <c r="X567" s="127"/>
      <c r="Y567" s="122"/>
      <c r="Z567" s="128"/>
      <c r="AA567" s="129"/>
      <c r="AB567" s="338">
        <v>876</v>
      </c>
    </row>
    <row r="568" spans="1:28" ht="12.6" customHeight="1" x14ac:dyDescent="0.2">
      <c r="A568" s="4"/>
      <c r="B568" s="699" t="s">
        <v>636</v>
      </c>
      <c r="C568" s="700"/>
      <c r="D568" s="700"/>
      <c r="E568" s="700"/>
      <c r="F568" s="270">
        <f>15.37*X2</f>
        <v>23669.8</v>
      </c>
      <c r="G568" s="270">
        <f t="shared" ref="G568" si="1703">+F568*$X$1</f>
        <v>23669.8</v>
      </c>
      <c r="H568" s="93">
        <f>F568+6000</f>
        <v>29669.8</v>
      </c>
      <c r="I568" s="270">
        <f t="shared" si="1694"/>
        <v>29669.8</v>
      </c>
      <c r="J568" s="93">
        <f>F568+2000</f>
        <v>25669.8</v>
      </c>
      <c r="K568" s="270">
        <f t="shared" si="1695"/>
        <v>25669.8</v>
      </c>
      <c r="L568" s="93">
        <f>F568+1700</f>
        <v>25369.8</v>
      </c>
      <c r="M568" s="270">
        <f t="shared" si="1696"/>
        <v>25369.8</v>
      </c>
      <c r="N568" s="93">
        <f>F568+1550</f>
        <v>25219.8</v>
      </c>
      <c r="O568" s="270">
        <f t="shared" si="1697"/>
        <v>25219.8</v>
      </c>
      <c r="P568" s="93">
        <f>F568+1350</f>
        <v>25019.8</v>
      </c>
      <c r="Q568" s="270">
        <f t="shared" si="1698"/>
        <v>25019.8</v>
      </c>
      <c r="R568" s="93">
        <f>F568+1200</f>
        <v>24869.8</v>
      </c>
      <c r="S568" s="270">
        <f t="shared" si="1699"/>
        <v>24869.8</v>
      </c>
      <c r="T568" s="93">
        <f>F568+1050</f>
        <v>24719.8</v>
      </c>
      <c r="U568" s="270">
        <f t="shared" si="1700"/>
        <v>24719.8</v>
      </c>
      <c r="V568" s="93">
        <f>F568+900</f>
        <v>24569.8</v>
      </c>
      <c r="W568" s="270">
        <f t="shared" si="1701"/>
        <v>24569.8</v>
      </c>
      <c r="X568" s="127"/>
      <c r="Y568" s="122"/>
      <c r="Z568" s="128"/>
      <c r="AA568" s="129"/>
      <c r="AB568" s="338" t="s">
        <v>568</v>
      </c>
    </row>
    <row r="569" spans="1:28" ht="12.6" customHeight="1" x14ac:dyDescent="0.2">
      <c r="A569" s="4"/>
      <c r="B569" s="725" t="s">
        <v>637</v>
      </c>
      <c r="C569" s="726"/>
      <c r="D569" s="726"/>
      <c r="E569" s="726"/>
      <c r="F569" s="280">
        <f>15.37*X2</f>
        <v>23669.8</v>
      </c>
      <c r="G569" s="280">
        <f t="shared" ref="G569" si="1704">+F569*$X$1</f>
        <v>23669.8</v>
      </c>
      <c r="H569" s="92">
        <f>F569+5000</f>
        <v>28669.8</v>
      </c>
      <c r="I569" s="280">
        <f t="shared" ref="I569:I570" si="1705">+H569*$X$1</f>
        <v>28669.8</v>
      </c>
      <c r="J569" s="92">
        <f>F569+1200</f>
        <v>24869.8</v>
      </c>
      <c r="K569" s="280">
        <f t="shared" ref="K569:K570" si="1706">+J569*$X$1</f>
        <v>24869.8</v>
      </c>
      <c r="L569" s="92">
        <f>F569+1000</f>
        <v>24669.8</v>
      </c>
      <c r="M569" s="280">
        <f t="shared" ref="M569:M570" si="1707">+L569*$X$1</f>
        <v>24669.8</v>
      </c>
      <c r="N569" s="92">
        <f>F569+850</f>
        <v>24519.8</v>
      </c>
      <c r="O569" s="280">
        <f t="shared" ref="O569:O570" si="1708">+N569*$X$1</f>
        <v>24519.8</v>
      </c>
      <c r="P569" s="92">
        <f>F569+740</f>
        <v>24409.8</v>
      </c>
      <c r="Q569" s="280">
        <f t="shared" ref="Q569:Q570" si="1709">+P569*$X$1</f>
        <v>24409.8</v>
      </c>
      <c r="R569" s="92">
        <f>F569+650</f>
        <v>24319.8</v>
      </c>
      <c r="S569" s="280">
        <f t="shared" ref="S569:S570" si="1710">+R569*$X$1</f>
        <v>24319.8</v>
      </c>
      <c r="T569" s="92">
        <f>F569+560</f>
        <v>24229.8</v>
      </c>
      <c r="U569" s="280">
        <f t="shared" ref="U569:U570" si="1711">+T569*$X$1</f>
        <v>24229.8</v>
      </c>
      <c r="V569" s="92">
        <f>F569+450</f>
        <v>24119.8</v>
      </c>
      <c r="W569" s="280">
        <f t="shared" ref="W569:W570" si="1712">+V569*$X$1</f>
        <v>24119.8</v>
      </c>
      <c r="X569" s="127"/>
      <c r="Y569" s="122"/>
      <c r="Z569" s="128"/>
      <c r="AA569" s="129"/>
      <c r="AB569" s="338">
        <v>878</v>
      </c>
    </row>
    <row r="570" spans="1:28" ht="12.6" customHeight="1" x14ac:dyDescent="0.2">
      <c r="A570" s="4"/>
      <c r="B570" s="970" t="s">
        <v>605</v>
      </c>
      <c r="C570" s="853"/>
      <c r="D570" s="853"/>
      <c r="E570" s="853"/>
      <c r="F570" s="450">
        <f>12*X2</f>
        <v>18480</v>
      </c>
      <c r="G570" s="450">
        <f t="shared" ref="G570" si="1713">+F570*$X$1</f>
        <v>18480</v>
      </c>
      <c r="H570" s="522">
        <f>F570+6000</f>
        <v>24480</v>
      </c>
      <c r="I570" s="450">
        <f t="shared" si="1705"/>
        <v>24480</v>
      </c>
      <c r="J570" s="522">
        <f>F570+2000</f>
        <v>20480</v>
      </c>
      <c r="K570" s="450">
        <f t="shared" si="1706"/>
        <v>20480</v>
      </c>
      <c r="L570" s="522">
        <f>F570+1700</f>
        <v>20180</v>
      </c>
      <c r="M570" s="450">
        <f t="shared" si="1707"/>
        <v>20180</v>
      </c>
      <c r="N570" s="522">
        <f>F570+1550</f>
        <v>20030</v>
      </c>
      <c r="O570" s="450">
        <f t="shared" si="1708"/>
        <v>20030</v>
      </c>
      <c r="P570" s="522">
        <f>F570+1350</f>
        <v>19830</v>
      </c>
      <c r="Q570" s="450">
        <f t="shared" si="1709"/>
        <v>19830</v>
      </c>
      <c r="R570" s="522">
        <f>F570+1200</f>
        <v>19680</v>
      </c>
      <c r="S570" s="450">
        <f t="shared" si="1710"/>
        <v>19680</v>
      </c>
      <c r="T570" s="522">
        <f>F570+1050</f>
        <v>19530</v>
      </c>
      <c r="U570" s="450">
        <f t="shared" si="1711"/>
        <v>19530</v>
      </c>
      <c r="V570" s="522">
        <f>F570+900</f>
        <v>19380</v>
      </c>
      <c r="W570" s="450">
        <f t="shared" si="1712"/>
        <v>19380</v>
      </c>
      <c r="X570" s="127"/>
      <c r="Y570" s="122"/>
      <c r="Z570" s="128"/>
      <c r="AA570" s="129"/>
      <c r="AB570" s="338" t="s">
        <v>539</v>
      </c>
    </row>
    <row r="571" spans="1:28" ht="12.6" customHeight="1" x14ac:dyDescent="0.2">
      <c r="A571" s="4"/>
      <c r="B571" s="1027" t="s">
        <v>606</v>
      </c>
      <c r="C571" s="790"/>
      <c r="D571" s="790"/>
      <c r="E571" s="790"/>
      <c r="F571" s="450">
        <f>12*X2</f>
        <v>18480</v>
      </c>
      <c r="G571" s="450">
        <f t="shared" ref="G571" si="1714">+F571*$X$1</f>
        <v>18480</v>
      </c>
      <c r="H571" s="522">
        <f>F571+5000</f>
        <v>23480</v>
      </c>
      <c r="I571" s="450">
        <f t="shared" ref="I571" si="1715">+H571*$X$1</f>
        <v>23480</v>
      </c>
      <c r="J571" s="522">
        <f>F571+1200</f>
        <v>19680</v>
      </c>
      <c r="K571" s="450">
        <f t="shared" ref="K571" si="1716">+J571*$X$1</f>
        <v>19680</v>
      </c>
      <c r="L571" s="522">
        <f>F571+1000</f>
        <v>19480</v>
      </c>
      <c r="M571" s="450">
        <f t="shared" ref="M571" si="1717">+L571*$X$1</f>
        <v>19480</v>
      </c>
      <c r="N571" s="522">
        <f>F571+850</f>
        <v>19330</v>
      </c>
      <c r="O571" s="450">
        <f t="shared" ref="O571" si="1718">+N571*$X$1</f>
        <v>19330</v>
      </c>
      <c r="P571" s="522">
        <f>F571+740</f>
        <v>19220</v>
      </c>
      <c r="Q571" s="450">
        <f t="shared" ref="Q571" si="1719">+P571*$X$1</f>
        <v>19220</v>
      </c>
      <c r="R571" s="522">
        <f>F571+650</f>
        <v>19130</v>
      </c>
      <c r="S571" s="450">
        <f t="shared" ref="S571" si="1720">+R571*$X$1</f>
        <v>19130</v>
      </c>
      <c r="T571" s="522">
        <f>F571+560</f>
        <v>19040</v>
      </c>
      <c r="U571" s="450">
        <f t="shared" ref="U571" si="1721">+T571*$X$1</f>
        <v>19040</v>
      </c>
      <c r="V571" s="522">
        <f>F571+450</f>
        <v>18930</v>
      </c>
      <c r="W571" s="450">
        <f t="shared" ref="W571" si="1722">+V571*$X$1</f>
        <v>18930</v>
      </c>
      <c r="X571" s="127"/>
      <c r="Y571" s="122"/>
      <c r="Z571" s="128"/>
      <c r="AA571" s="129"/>
      <c r="AB571" s="338">
        <v>880</v>
      </c>
    </row>
    <row r="572" spans="1:28" ht="12.6" customHeight="1" x14ac:dyDescent="0.2">
      <c r="A572" s="4"/>
      <c r="B572" s="725" t="s">
        <v>607</v>
      </c>
      <c r="C572" s="726"/>
      <c r="D572" s="726"/>
      <c r="E572" s="726"/>
      <c r="F572" s="280">
        <f>31.386*X2</f>
        <v>48334.44</v>
      </c>
      <c r="G572" s="280">
        <f>+F572*$X$1</f>
        <v>48334.44</v>
      </c>
      <c r="H572" s="92">
        <f>F572+6000</f>
        <v>54334.44</v>
      </c>
      <c r="I572" s="280">
        <f>+H572*$X$1</f>
        <v>54334.44</v>
      </c>
      <c r="J572" s="92">
        <f>F572+2000</f>
        <v>50334.44</v>
      </c>
      <c r="K572" s="280">
        <f>+J572*$X$1</f>
        <v>50334.44</v>
      </c>
      <c r="L572" s="92">
        <f>F572+1700</f>
        <v>50034.44</v>
      </c>
      <c r="M572" s="280">
        <f>+L572*$X$1</f>
        <v>50034.44</v>
      </c>
      <c r="N572" s="92">
        <f>F572+1550</f>
        <v>49884.44</v>
      </c>
      <c r="O572" s="280">
        <f>+N572*$X$1</f>
        <v>49884.44</v>
      </c>
      <c r="P572" s="92">
        <f>F572+1350</f>
        <v>49684.44</v>
      </c>
      <c r="Q572" s="280">
        <f>+P572*$X$1</f>
        <v>49684.44</v>
      </c>
      <c r="R572" s="92">
        <f>F572+1200</f>
        <v>49534.44</v>
      </c>
      <c r="S572" s="280">
        <f>+R572*$X$1</f>
        <v>49534.44</v>
      </c>
      <c r="T572" s="92">
        <f>F572+1050</f>
        <v>49384.44</v>
      </c>
      <c r="U572" s="280">
        <f>+T572*$X$1</f>
        <v>49384.44</v>
      </c>
      <c r="V572" s="92">
        <f>F572+900</f>
        <v>49234.44</v>
      </c>
      <c r="W572" s="280">
        <f>+V572*$X$1</f>
        <v>49234.44</v>
      </c>
      <c r="X572" s="127"/>
      <c r="Y572" s="122"/>
      <c r="Z572" s="128"/>
      <c r="AA572" s="129"/>
      <c r="AB572" s="338" t="s">
        <v>540</v>
      </c>
    </row>
    <row r="573" spans="1:28" ht="12.6" customHeight="1" x14ac:dyDescent="0.2">
      <c r="A573" s="4"/>
      <c r="B573" s="748" t="s">
        <v>608</v>
      </c>
      <c r="C573" s="679"/>
      <c r="D573" s="679"/>
      <c r="E573" s="679"/>
      <c r="F573" s="270">
        <f>31.386*X2</f>
        <v>48334.44</v>
      </c>
      <c r="G573" s="270">
        <f t="shared" ref="G573" si="1723">+F573*$X$1</f>
        <v>48334.44</v>
      </c>
      <c r="H573" s="93">
        <f>F573+5000</f>
        <v>53334.44</v>
      </c>
      <c r="I573" s="270">
        <f t="shared" ref="I573" si="1724">+H573*$X$1</f>
        <v>53334.44</v>
      </c>
      <c r="J573" s="93">
        <f>F573+1200</f>
        <v>49534.44</v>
      </c>
      <c r="K573" s="270">
        <f t="shared" ref="K573" si="1725">+J573*$X$1</f>
        <v>49534.44</v>
      </c>
      <c r="L573" s="93">
        <f>F573+1000</f>
        <v>49334.44</v>
      </c>
      <c r="M573" s="270">
        <f t="shared" ref="M573" si="1726">+L573*$X$1</f>
        <v>49334.44</v>
      </c>
      <c r="N573" s="93">
        <f>F573+850</f>
        <v>49184.44</v>
      </c>
      <c r="O573" s="270">
        <f t="shared" ref="O573" si="1727">+N573*$X$1</f>
        <v>49184.44</v>
      </c>
      <c r="P573" s="93">
        <f>F573+740</f>
        <v>49074.44</v>
      </c>
      <c r="Q573" s="270">
        <f t="shared" ref="Q573" si="1728">+P573*$X$1</f>
        <v>49074.44</v>
      </c>
      <c r="R573" s="93">
        <f>F573+650</f>
        <v>48984.44</v>
      </c>
      <c r="S573" s="270">
        <f t="shared" ref="S573" si="1729">+R573*$X$1</f>
        <v>48984.44</v>
      </c>
      <c r="T573" s="93">
        <f>F573+560</f>
        <v>48894.44</v>
      </c>
      <c r="U573" s="270">
        <f t="shared" ref="U573" si="1730">+T573*$X$1</f>
        <v>48894.44</v>
      </c>
      <c r="V573" s="93">
        <f>F573+450</f>
        <v>48784.44</v>
      </c>
      <c r="W573" s="270">
        <f t="shared" ref="W573" si="1731">+V573*$X$1</f>
        <v>48784.44</v>
      </c>
      <c r="X573" s="127"/>
      <c r="Y573" s="122"/>
      <c r="Z573" s="128"/>
      <c r="AA573" s="129"/>
      <c r="AB573" s="338">
        <v>881</v>
      </c>
    </row>
    <row r="574" spans="1:28" ht="12.6" customHeight="1" x14ac:dyDescent="0.2">
      <c r="A574" s="4"/>
      <c r="B574" s="725" t="s">
        <v>609</v>
      </c>
      <c r="C574" s="726"/>
      <c r="D574" s="726"/>
      <c r="E574" s="726"/>
      <c r="F574" s="280">
        <f>13.2*X2</f>
        <v>20328</v>
      </c>
      <c r="G574" s="280">
        <f>+F574*$X$1</f>
        <v>20328</v>
      </c>
      <c r="H574" s="92">
        <f>F574+5000</f>
        <v>25328</v>
      </c>
      <c r="I574" s="280">
        <f>+H574*$X$1</f>
        <v>25328</v>
      </c>
      <c r="J574" s="92">
        <f>F574+1200</f>
        <v>21528</v>
      </c>
      <c r="K574" s="280">
        <f>+J574*$X$1</f>
        <v>21528</v>
      </c>
      <c r="L574" s="92">
        <f>F574+1000</f>
        <v>21328</v>
      </c>
      <c r="M574" s="280">
        <f>+L574*$X$1</f>
        <v>21328</v>
      </c>
      <c r="N574" s="92">
        <f>F574+850</f>
        <v>21178</v>
      </c>
      <c r="O574" s="280">
        <f>+N574*$X$1</f>
        <v>21178</v>
      </c>
      <c r="P574" s="92">
        <f>F574+740</f>
        <v>21068</v>
      </c>
      <c r="Q574" s="280">
        <f>+P574*$X$1</f>
        <v>21068</v>
      </c>
      <c r="R574" s="92">
        <f>F574+650</f>
        <v>20978</v>
      </c>
      <c r="S574" s="280">
        <f>+R574*$X$1</f>
        <v>20978</v>
      </c>
      <c r="T574" s="92">
        <f>F574+560</f>
        <v>20888</v>
      </c>
      <c r="U574" s="280">
        <f>+T574*$X$1</f>
        <v>20888</v>
      </c>
      <c r="V574" s="92">
        <f>F574+450</f>
        <v>20778</v>
      </c>
      <c r="W574" s="280">
        <f>+V574*$X$1</f>
        <v>20778</v>
      </c>
      <c r="X574" s="127"/>
      <c r="Y574" s="122"/>
      <c r="Z574" s="128"/>
      <c r="AA574" s="129"/>
      <c r="AB574" s="338">
        <v>882</v>
      </c>
    </row>
    <row r="575" spans="1:28" ht="12.6" customHeight="1" x14ac:dyDescent="0.2">
      <c r="A575" s="4"/>
      <c r="B575" s="699" t="s">
        <v>413</v>
      </c>
      <c r="C575" s="700"/>
      <c r="D575" s="700"/>
      <c r="E575" s="700"/>
      <c r="F575" s="270">
        <f>24*X2</f>
        <v>36960</v>
      </c>
      <c r="G575" s="270">
        <f t="shared" ref="G575" si="1732">+F575*$X$1</f>
        <v>36960</v>
      </c>
      <c r="H575" s="93">
        <f>F575+5000</f>
        <v>41960</v>
      </c>
      <c r="I575" s="270">
        <f>+H575*$X$1</f>
        <v>41960</v>
      </c>
      <c r="J575" s="93">
        <f>F575+1200</f>
        <v>38160</v>
      </c>
      <c r="K575" s="270">
        <f>+J575*$X$1</f>
        <v>38160</v>
      </c>
      <c r="L575" s="93">
        <f>F575+1000</f>
        <v>37960</v>
      </c>
      <c r="M575" s="270">
        <f>+L575*$X$1</f>
        <v>37960</v>
      </c>
      <c r="N575" s="93">
        <f>F575+850</f>
        <v>37810</v>
      </c>
      <c r="O575" s="270">
        <f>+N575*$X$1</f>
        <v>37810</v>
      </c>
      <c r="P575" s="93">
        <f>F575+740</f>
        <v>37700</v>
      </c>
      <c r="Q575" s="270">
        <f>+P575*$X$1</f>
        <v>37700</v>
      </c>
      <c r="R575" s="93">
        <f>F575+650</f>
        <v>37610</v>
      </c>
      <c r="S575" s="270">
        <f>+R575*$X$1</f>
        <v>37610</v>
      </c>
      <c r="T575" s="93">
        <f>F575+560</f>
        <v>37520</v>
      </c>
      <c r="U575" s="270">
        <f>+T575*$X$1</f>
        <v>37520</v>
      </c>
      <c r="V575" s="93">
        <f>F575+450</f>
        <v>37410</v>
      </c>
      <c r="W575" s="270">
        <f>+V575*$X$1</f>
        <v>37410</v>
      </c>
      <c r="X575" s="127"/>
      <c r="Y575" s="122"/>
      <c r="Z575" s="128"/>
      <c r="AA575" s="129"/>
      <c r="AB575" s="338">
        <v>883</v>
      </c>
    </row>
    <row r="576" spans="1:28" ht="12.6" customHeight="1" x14ac:dyDescent="0.2">
      <c r="A576" s="4"/>
      <c r="B576" s="632" t="s">
        <v>885</v>
      </c>
      <c r="C576" s="694"/>
      <c r="D576" s="694"/>
      <c r="E576" s="694"/>
      <c r="F576" s="256">
        <f>36.4*X2</f>
        <v>56056</v>
      </c>
      <c r="G576" s="256">
        <f>+F576*$X$1</f>
        <v>56056</v>
      </c>
      <c r="H576" s="92">
        <f>F576+5000</f>
        <v>61056</v>
      </c>
      <c r="I576" s="280">
        <f>+H576*$X$1</f>
        <v>61056</v>
      </c>
      <c r="J576" s="92">
        <f>F576+1200</f>
        <v>57256</v>
      </c>
      <c r="K576" s="280">
        <f>+J576*$X$1</f>
        <v>57256</v>
      </c>
      <c r="L576" s="92">
        <f>F576+1000</f>
        <v>57056</v>
      </c>
      <c r="M576" s="280">
        <f>+L576*$X$1</f>
        <v>57056</v>
      </c>
      <c r="N576" s="92">
        <f>F576+850</f>
        <v>56906</v>
      </c>
      <c r="O576" s="280">
        <f>+N576*$X$1</f>
        <v>56906</v>
      </c>
      <c r="P576" s="92">
        <f>F576+740</f>
        <v>56796</v>
      </c>
      <c r="Q576" s="280">
        <f>+P576*$X$1</f>
        <v>56796</v>
      </c>
      <c r="R576" s="92">
        <f>F576+650</f>
        <v>56706</v>
      </c>
      <c r="S576" s="280">
        <f>+R576*$X$1</f>
        <v>56706</v>
      </c>
      <c r="T576" s="92">
        <f>F576+560</f>
        <v>56616</v>
      </c>
      <c r="U576" s="280">
        <f>+T576*$X$1</f>
        <v>56616</v>
      </c>
      <c r="V576" s="92">
        <f>F576+450</f>
        <v>56506</v>
      </c>
      <c r="W576" s="280">
        <f>+V576*$X$1</f>
        <v>56506</v>
      </c>
      <c r="X576" s="127"/>
      <c r="Y576" s="122"/>
      <c r="Z576" s="128"/>
      <c r="AA576" s="129"/>
      <c r="AB576" s="338">
        <v>884</v>
      </c>
    </row>
    <row r="577" spans="1:28" ht="12.6" customHeight="1" x14ac:dyDescent="0.2">
      <c r="A577" s="4"/>
      <c r="B577" s="731" t="s">
        <v>686</v>
      </c>
      <c r="C577" s="703"/>
      <c r="D577" s="703"/>
      <c r="E577" s="704"/>
      <c r="F577" s="270">
        <f>12*X2</f>
        <v>18480</v>
      </c>
      <c r="G577" s="270">
        <f>+F577*$X$1</f>
        <v>18480</v>
      </c>
      <c r="H577" s="93">
        <f>F577+6000</f>
        <v>24480</v>
      </c>
      <c r="I577" s="270">
        <f>+H577*$X$1</f>
        <v>24480</v>
      </c>
      <c r="J577" s="93">
        <f>F577+2000</f>
        <v>20480</v>
      </c>
      <c r="K577" s="270">
        <f>+J577*$X$1</f>
        <v>20480</v>
      </c>
      <c r="L577" s="93">
        <f>F577+1700</f>
        <v>20180</v>
      </c>
      <c r="M577" s="270">
        <f>+L577*$X$1</f>
        <v>20180</v>
      </c>
      <c r="N577" s="93">
        <f>F577+1550</f>
        <v>20030</v>
      </c>
      <c r="O577" s="270">
        <f>+N577*$X$1</f>
        <v>20030</v>
      </c>
      <c r="P577" s="93">
        <f>F577+1350</f>
        <v>19830</v>
      </c>
      <c r="Q577" s="270">
        <f>+P577*$X$1</f>
        <v>19830</v>
      </c>
      <c r="R577" s="93">
        <f>F577+1200</f>
        <v>19680</v>
      </c>
      <c r="S577" s="270">
        <f>+R577*$X$1</f>
        <v>19680</v>
      </c>
      <c r="T577" s="93">
        <f>F577+1050</f>
        <v>19530</v>
      </c>
      <c r="U577" s="270">
        <f>+T577*$X$1</f>
        <v>19530</v>
      </c>
      <c r="V577" s="93">
        <f>F577+900</f>
        <v>19380</v>
      </c>
      <c r="W577" s="270">
        <f>+V577*$X$1</f>
        <v>19380</v>
      </c>
      <c r="X577" s="127"/>
      <c r="Y577" s="122"/>
      <c r="Z577" s="128"/>
      <c r="AA577" s="129"/>
      <c r="AB577" s="338" t="s">
        <v>685</v>
      </c>
    </row>
    <row r="578" spans="1:28" ht="12.6" customHeight="1" x14ac:dyDescent="0.2">
      <c r="A578" s="4"/>
      <c r="B578" s="1032" t="s">
        <v>687</v>
      </c>
      <c r="C578" s="805"/>
      <c r="D578" s="805"/>
      <c r="E578" s="806"/>
      <c r="F578" s="280">
        <f>12*X2</f>
        <v>18480</v>
      </c>
      <c r="G578" s="280">
        <f>+F578*$X$1</f>
        <v>18480</v>
      </c>
      <c r="H578" s="92">
        <f>F578+5000</f>
        <v>23480</v>
      </c>
      <c r="I578" s="280">
        <f t="shared" ref="I578:I579" si="1733">+H578*$X$1</f>
        <v>23480</v>
      </c>
      <c r="J578" s="92">
        <f>F578+1200</f>
        <v>19680</v>
      </c>
      <c r="K578" s="280">
        <f t="shared" ref="K578:K579" si="1734">+J578*$X$1</f>
        <v>19680</v>
      </c>
      <c r="L578" s="92">
        <f>F578+1000</f>
        <v>19480</v>
      </c>
      <c r="M578" s="280">
        <f t="shared" ref="M578:M579" si="1735">+L578*$X$1</f>
        <v>19480</v>
      </c>
      <c r="N578" s="92">
        <f>F578+850</f>
        <v>19330</v>
      </c>
      <c r="O578" s="280">
        <f t="shared" ref="O578:O579" si="1736">+N578*$X$1</f>
        <v>19330</v>
      </c>
      <c r="P578" s="92">
        <f>F578+740</f>
        <v>19220</v>
      </c>
      <c r="Q578" s="280">
        <f t="shared" ref="Q578:Q579" si="1737">+P578*$X$1</f>
        <v>19220</v>
      </c>
      <c r="R578" s="92">
        <f>F578+650</f>
        <v>19130</v>
      </c>
      <c r="S578" s="280">
        <f t="shared" ref="S578:S579" si="1738">+R578*$X$1</f>
        <v>19130</v>
      </c>
      <c r="T578" s="92">
        <f>F578+560</f>
        <v>19040</v>
      </c>
      <c r="U578" s="280">
        <f t="shared" ref="U578:U579" si="1739">+T578*$X$1</f>
        <v>19040</v>
      </c>
      <c r="V578" s="92">
        <f>F578+450</f>
        <v>18930</v>
      </c>
      <c r="W578" s="280">
        <f t="shared" ref="W578:W579" si="1740">+V578*$X$1</f>
        <v>18930</v>
      </c>
      <c r="X578" s="127"/>
      <c r="Y578" s="122"/>
      <c r="Z578" s="128"/>
      <c r="AA578" s="129"/>
      <c r="AB578" s="338">
        <v>886</v>
      </c>
    </row>
    <row r="579" spans="1:28" ht="12.6" customHeight="1" x14ac:dyDescent="0.2">
      <c r="A579" s="4"/>
      <c r="B579" s="699" t="s">
        <v>639</v>
      </c>
      <c r="C579" s="700"/>
      <c r="D579" s="700"/>
      <c r="E579" s="700"/>
      <c r="F579" s="255">
        <f>16.1*X2</f>
        <v>24794.000000000004</v>
      </c>
      <c r="G579" s="255">
        <f t="shared" ref="G579" si="1741">+F579*$X$1</f>
        <v>24794.000000000004</v>
      </c>
      <c r="H579" s="93">
        <f>F579+6000</f>
        <v>30794.000000000004</v>
      </c>
      <c r="I579" s="270">
        <f t="shared" si="1733"/>
        <v>30794.000000000004</v>
      </c>
      <c r="J579" s="93">
        <f>F579+2000</f>
        <v>26794.000000000004</v>
      </c>
      <c r="K579" s="270">
        <f t="shared" si="1734"/>
        <v>26794.000000000004</v>
      </c>
      <c r="L579" s="93">
        <f>F579+1700</f>
        <v>26494.000000000004</v>
      </c>
      <c r="M579" s="270">
        <f t="shared" si="1735"/>
        <v>26494.000000000004</v>
      </c>
      <c r="N579" s="93">
        <f>F579+1550</f>
        <v>26344.000000000004</v>
      </c>
      <c r="O579" s="270">
        <f t="shared" si="1736"/>
        <v>26344.000000000004</v>
      </c>
      <c r="P579" s="93">
        <f>F579+1350</f>
        <v>26144.000000000004</v>
      </c>
      <c r="Q579" s="270">
        <f t="shared" si="1737"/>
        <v>26144.000000000004</v>
      </c>
      <c r="R579" s="93">
        <f>F579+1200</f>
        <v>25994.000000000004</v>
      </c>
      <c r="S579" s="270">
        <f t="shared" si="1738"/>
        <v>25994.000000000004</v>
      </c>
      <c r="T579" s="93">
        <f>F579+1050</f>
        <v>25844.000000000004</v>
      </c>
      <c r="U579" s="270">
        <f t="shared" si="1739"/>
        <v>25844.000000000004</v>
      </c>
      <c r="V579" s="93">
        <f>F579+900</f>
        <v>25694.000000000004</v>
      </c>
      <c r="W579" s="270">
        <f t="shared" si="1740"/>
        <v>25694.000000000004</v>
      </c>
      <c r="X579" s="127"/>
      <c r="Y579" s="122"/>
      <c r="Z579" s="128"/>
      <c r="AA579" s="129"/>
      <c r="AB579" s="338" t="s">
        <v>623</v>
      </c>
    </row>
    <row r="580" spans="1:28" ht="12.6" customHeight="1" x14ac:dyDescent="0.2">
      <c r="A580" s="4"/>
      <c r="B580" s="725" t="s">
        <v>638</v>
      </c>
      <c r="C580" s="726"/>
      <c r="D580" s="726"/>
      <c r="E580" s="726"/>
      <c r="F580" s="256">
        <f>16.1*X2</f>
        <v>24794.000000000004</v>
      </c>
      <c r="G580" s="256">
        <f t="shared" ref="G580" si="1742">+F580*$X$1</f>
        <v>24794.000000000004</v>
      </c>
      <c r="H580" s="92">
        <f>F580+5000</f>
        <v>29794.000000000004</v>
      </c>
      <c r="I580" s="280">
        <f t="shared" ref="I580" si="1743">+H580*$X$1</f>
        <v>29794.000000000004</v>
      </c>
      <c r="J580" s="92">
        <f>F580+1200</f>
        <v>25994.000000000004</v>
      </c>
      <c r="K580" s="280">
        <f t="shared" ref="K580" si="1744">+J580*$X$1</f>
        <v>25994.000000000004</v>
      </c>
      <c r="L580" s="92">
        <f>F580+1000</f>
        <v>25794.000000000004</v>
      </c>
      <c r="M580" s="280">
        <f t="shared" ref="M580" si="1745">+L580*$X$1</f>
        <v>25794.000000000004</v>
      </c>
      <c r="N580" s="92">
        <f>F580+850</f>
        <v>25644.000000000004</v>
      </c>
      <c r="O580" s="280">
        <f t="shared" ref="O580" si="1746">+N580*$X$1</f>
        <v>25644.000000000004</v>
      </c>
      <c r="P580" s="92">
        <f>F580+740</f>
        <v>25534.000000000004</v>
      </c>
      <c r="Q580" s="280">
        <f t="shared" ref="Q580" si="1747">+P580*$X$1</f>
        <v>25534.000000000004</v>
      </c>
      <c r="R580" s="92">
        <f>F580+650</f>
        <v>25444.000000000004</v>
      </c>
      <c r="S580" s="280">
        <f t="shared" ref="S580" si="1748">+R580*$X$1</f>
        <v>25444.000000000004</v>
      </c>
      <c r="T580" s="92">
        <f>F580+560</f>
        <v>25354.000000000004</v>
      </c>
      <c r="U580" s="280">
        <f t="shared" ref="U580" si="1749">+T580*$X$1</f>
        <v>25354.000000000004</v>
      </c>
      <c r="V580" s="92">
        <f>F580+450</f>
        <v>25244.000000000004</v>
      </c>
      <c r="W580" s="280">
        <f t="shared" ref="W580" si="1750">+V580*$X$1</f>
        <v>25244.000000000004</v>
      </c>
      <c r="X580" s="127"/>
      <c r="Y580" s="122"/>
      <c r="Z580" s="128"/>
      <c r="AA580" s="129"/>
      <c r="AB580" s="338">
        <v>887</v>
      </c>
    </row>
    <row r="581" spans="1:28" ht="12.6" customHeight="1" x14ac:dyDescent="0.2">
      <c r="A581" s="4"/>
      <c r="B581" s="748" t="s">
        <v>567</v>
      </c>
      <c r="C581" s="679"/>
      <c r="D581" s="679"/>
      <c r="E581" s="679"/>
      <c r="F581" s="255">
        <f>14.7*X2</f>
        <v>22638</v>
      </c>
      <c r="G581" s="255">
        <f t="shared" ref="G581:G582" si="1751">+F581*$X$1</f>
        <v>22638</v>
      </c>
      <c r="H581" s="93">
        <f>F581+5000</f>
        <v>27638</v>
      </c>
      <c r="I581" s="270">
        <f>+H581*$X$1</f>
        <v>27638</v>
      </c>
      <c r="J581" s="93">
        <f>F581+1200</f>
        <v>23838</v>
      </c>
      <c r="K581" s="270">
        <f>+J581*$X$1</f>
        <v>23838</v>
      </c>
      <c r="L581" s="93">
        <f>F581+1000</f>
        <v>23638</v>
      </c>
      <c r="M581" s="270">
        <f>+L581*$X$1</f>
        <v>23638</v>
      </c>
      <c r="N581" s="93">
        <f>F581+850</f>
        <v>23488</v>
      </c>
      <c r="O581" s="270">
        <f>+N581*$X$1</f>
        <v>23488</v>
      </c>
      <c r="P581" s="93">
        <f>F581+740</f>
        <v>23378</v>
      </c>
      <c r="Q581" s="270">
        <f>+P581*$X$1</f>
        <v>23378</v>
      </c>
      <c r="R581" s="93">
        <f>F581+650</f>
        <v>23288</v>
      </c>
      <c r="S581" s="270">
        <f>+R581*$X$1</f>
        <v>23288</v>
      </c>
      <c r="T581" s="93">
        <f>F581+560</f>
        <v>23198</v>
      </c>
      <c r="U581" s="270">
        <f>+T581*$X$1</f>
        <v>23198</v>
      </c>
      <c r="V581" s="93">
        <f>F581+450</f>
        <v>23088</v>
      </c>
      <c r="W581" s="270">
        <f>+V581*$X$1</f>
        <v>23088</v>
      </c>
      <c r="X581" s="127"/>
      <c r="Y581" s="122"/>
      <c r="Z581" s="128"/>
      <c r="AA581" s="129"/>
      <c r="AB581" s="338">
        <v>888</v>
      </c>
    </row>
    <row r="582" spans="1:28" ht="12.6" customHeight="1" x14ac:dyDescent="0.2">
      <c r="A582" s="4"/>
      <c r="B582" s="697" t="s">
        <v>1037</v>
      </c>
      <c r="C582" s="698"/>
      <c r="D582" s="698"/>
      <c r="E582" s="698"/>
      <c r="F582" s="256">
        <f>12.47*X2</f>
        <v>19203.8</v>
      </c>
      <c r="G582" s="256">
        <f t="shared" si="1751"/>
        <v>19203.8</v>
      </c>
      <c r="H582" s="92">
        <f>F582+5000</f>
        <v>24203.8</v>
      </c>
      <c r="I582" s="280">
        <f t="shared" ref="I582" si="1752">+H582*$X$1</f>
        <v>24203.8</v>
      </c>
      <c r="J582" s="92">
        <f>F582+1200</f>
        <v>20403.8</v>
      </c>
      <c r="K582" s="280">
        <f t="shared" ref="K582" si="1753">+J582*$X$1</f>
        <v>20403.8</v>
      </c>
      <c r="L582" s="92">
        <f>F582+1000</f>
        <v>20203.8</v>
      </c>
      <c r="M582" s="280">
        <f t="shared" ref="M582" si="1754">+L582*$X$1</f>
        <v>20203.8</v>
      </c>
      <c r="N582" s="92">
        <f>F582+850</f>
        <v>20053.8</v>
      </c>
      <c r="O582" s="280">
        <f t="shared" ref="O582" si="1755">+N582*$X$1</f>
        <v>20053.8</v>
      </c>
      <c r="P582" s="92">
        <f>F582+740</f>
        <v>19943.8</v>
      </c>
      <c r="Q582" s="280">
        <f t="shared" ref="Q582" si="1756">+P582*$X$1</f>
        <v>19943.8</v>
      </c>
      <c r="R582" s="92">
        <f>F582+650</f>
        <v>19853.8</v>
      </c>
      <c r="S582" s="280">
        <f t="shared" ref="S582" si="1757">+R582*$X$1</f>
        <v>19853.8</v>
      </c>
      <c r="T582" s="92">
        <f>F582+560</f>
        <v>19763.8</v>
      </c>
      <c r="U582" s="280">
        <f t="shared" ref="U582" si="1758">+T582*$X$1</f>
        <v>19763.8</v>
      </c>
      <c r="V582" s="92">
        <f>F582+450</f>
        <v>19653.8</v>
      </c>
      <c r="W582" s="280">
        <f t="shared" ref="W582" si="1759">+V582*$X$1</f>
        <v>19653.8</v>
      </c>
      <c r="X582" s="127"/>
      <c r="Y582" s="122"/>
      <c r="Z582" s="128"/>
      <c r="AA582" s="129"/>
      <c r="AB582" s="338">
        <v>894</v>
      </c>
    </row>
    <row r="583" spans="1:28" ht="12.6" customHeight="1" x14ac:dyDescent="0.2">
      <c r="A583" s="4"/>
      <c r="B583" s="748" t="s">
        <v>601</v>
      </c>
      <c r="C583" s="679"/>
      <c r="D583" s="679"/>
      <c r="E583" s="679"/>
      <c r="F583" s="255">
        <f>12*X2</f>
        <v>18480</v>
      </c>
      <c r="G583" s="255">
        <f t="shared" ref="G583:G588" si="1760">+F583*$X$1</f>
        <v>18480</v>
      </c>
      <c r="H583" s="93">
        <f>F583+6000</f>
        <v>24480</v>
      </c>
      <c r="I583" s="270">
        <f>+H583*$X$1</f>
        <v>24480</v>
      </c>
      <c r="J583" s="93">
        <f>F583+2000</f>
        <v>20480</v>
      </c>
      <c r="K583" s="270">
        <f>+J583*$X$1</f>
        <v>20480</v>
      </c>
      <c r="L583" s="93">
        <f>F583+1700</f>
        <v>20180</v>
      </c>
      <c r="M583" s="270">
        <f>+L583*$X$1</f>
        <v>20180</v>
      </c>
      <c r="N583" s="93">
        <f>F583+1550</f>
        <v>20030</v>
      </c>
      <c r="O583" s="270">
        <f>+N583*$X$1</f>
        <v>20030</v>
      </c>
      <c r="P583" s="93">
        <f>F583+1350</f>
        <v>19830</v>
      </c>
      <c r="Q583" s="270">
        <f>+P583*$X$1</f>
        <v>19830</v>
      </c>
      <c r="R583" s="93">
        <f>F583+1200</f>
        <v>19680</v>
      </c>
      <c r="S583" s="270">
        <f>+R583*$X$1</f>
        <v>19680</v>
      </c>
      <c r="T583" s="93">
        <f>F583+1050</f>
        <v>19530</v>
      </c>
      <c r="U583" s="270">
        <f>+T583*$X$1</f>
        <v>19530</v>
      </c>
      <c r="V583" s="93">
        <f>F583+900</f>
        <v>19380</v>
      </c>
      <c r="W583" s="270">
        <f>+V583*$X$1</f>
        <v>19380</v>
      </c>
      <c r="X583" s="127"/>
      <c r="Y583" s="122"/>
      <c r="Z583" s="128"/>
      <c r="AA583" s="129"/>
      <c r="AB583" s="338">
        <v>896</v>
      </c>
    </row>
    <row r="584" spans="1:28" ht="12.6" customHeight="1" x14ac:dyDescent="0.2">
      <c r="A584" s="4"/>
      <c r="B584" s="632" t="s">
        <v>889</v>
      </c>
      <c r="C584" s="633"/>
      <c r="D584" s="633"/>
      <c r="E584" s="633"/>
      <c r="F584" s="256">
        <f>12*X2</f>
        <v>18480</v>
      </c>
      <c r="G584" s="256">
        <f t="shared" si="1760"/>
        <v>18480</v>
      </c>
      <c r="H584" s="92">
        <f>F584+5000</f>
        <v>23480</v>
      </c>
      <c r="I584" s="280">
        <f t="shared" ref="I584:I588" si="1761">+H584*$X$1</f>
        <v>23480</v>
      </c>
      <c r="J584" s="92">
        <f>F584+1200</f>
        <v>19680</v>
      </c>
      <c r="K584" s="280">
        <f t="shared" ref="K584:K588" si="1762">+J584*$X$1</f>
        <v>19680</v>
      </c>
      <c r="L584" s="92">
        <f>F584+1000</f>
        <v>19480</v>
      </c>
      <c r="M584" s="280">
        <f t="shared" ref="M584:M588" si="1763">+L584*$X$1</f>
        <v>19480</v>
      </c>
      <c r="N584" s="92">
        <f>F584+850</f>
        <v>19330</v>
      </c>
      <c r="O584" s="280">
        <f t="shared" ref="O584:O588" si="1764">+N584*$X$1</f>
        <v>19330</v>
      </c>
      <c r="P584" s="92">
        <f>F584+740</f>
        <v>19220</v>
      </c>
      <c r="Q584" s="280">
        <f t="shared" ref="Q584:Q588" si="1765">+P584*$X$1</f>
        <v>19220</v>
      </c>
      <c r="R584" s="92">
        <f>F584+650</f>
        <v>19130</v>
      </c>
      <c r="S584" s="280">
        <f t="shared" ref="S584:S588" si="1766">+R584*$X$1</f>
        <v>19130</v>
      </c>
      <c r="T584" s="92">
        <f>F584+560</f>
        <v>19040</v>
      </c>
      <c r="U584" s="280">
        <f t="shared" ref="U584:U588" si="1767">+T584*$X$1</f>
        <v>19040</v>
      </c>
      <c r="V584" s="92">
        <f>F584+450</f>
        <v>18930</v>
      </c>
      <c r="W584" s="280">
        <f t="shared" ref="W584:W588" si="1768">+V584*$X$1</f>
        <v>18930</v>
      </c>
      <c r="X584" s="127"/>
      <c r="Y584" s="122"/>
      <c r="Z584" s="128"/>
      <c r="AA584" s="129"/>
      <c r="AB584" s="338">
        <v>896</v>
      </c>
    </row>
    <row r="585" spans="1:28" ht="12.6" customHeight="1" x14ac:dyDescent="0.2">
      <c r="A585" s="4"/>
      <c r="B585" s="697" t="s">
        <v>1034</v>
      </c>
      <c r="C585" s="698"/>
      <c r="D585" s="698"/>
      <c r="E585" s="698"/>
      <c r="F585" s="255">
        <f>12.3*X2</f>
        <v>18942</v>
      </c>
      <c r="G585" s="255">
        <f t="shared" ref="G585:G586" si="1769">+F585*$X$1</f>
        <v>18942</v>
      </c>
      <c r="H585" s="93">
        <f>F585+6000</f>
        <v>24942</v>
      </c>
      <c r="I585" s="270">
        <f>+H585*$X$1</f>
        <v>24942</v>
      </c>
      <c r="J585" s="93">
        <f>F585+2000</f>
        <v>20942</v>
      </c>
      <c r="K585" s="270">
        <f>+J585*$X$1</f>
        <v>20942</v>
      </c>
      <c r="L585" s="93">
        <f>F585+1700</f>
        <v>20642</v>
      </c>
      <c r="M585" s="270">
        <f>+L585*$X$1</f>
        <v>20642</v>
      </c>
      <c r="N585" s="93">
        <f>F585+1550</f>
        <v>20492</v>
      </c>
      <c r="O585" s="270">
        <f>+N585*$X$1</f>
        <v>20492</v>
      </c>
      <c r="P585" s="93">
        <f>F585+1350</f>
        <v>20292</v>
      </c>
      <c r="Q585" s="270">
        <f>+P585*$X$1</f>
        <v>20292</v>
      </c>
      <c r="R585" s="93">
        <f>F585+1200</f>
        <v>20142</v>
      </c>
      <c r="S585" s="270">
        <f>+R585*$X$1</f>
        <v>20142</v>
      </c>
      <c r="T585" s="93">
        <f>F585+1050</f>
        <v>19992</v>
      </c>
      <c r="U585" s="270">
        <f>+T585*$X$1</f>
        <v>19992</v>
      </c>
      <c r="V585" s="93">
        <f>F585+900</f>
        <v>19842</v>
      </c>
      <c r="W585" s="270">
        <f>+V585*$X$1</f>
        <v>19842</v>
      </c>
      <c r="X585" s="127"/>
      <c r="Y585" s="122"/>
      <c r="Z585" s="128"/>
      <c r="AA585" s="129"/>
      <c r="AB585" s="338">
        <v>897</v>
      </c>
    </row>
    <row r="586" spans="1:28" ht="12.6" customHeight="1" x14ac:dyDescent="0.2">
      <c r="A586" s="4"/>
      <c r="B586" s="697" t="s">
        <v>1038</v>
      </c>
      <c r="C586" s="698"/>
      <c r="D586" s="698"/>
      <c r="E586" s="698"/>
      <c r="F586" s="256">
        <f>12.3*X2</f>
        <v>18942</v>
      </c>
      <c r="G586" s="256">
        <f t="shared" si="1769"/>
        <v>18942</v>
      </c>
      <c r="H586" s="92">
        <f>F586+5000</f>
        <v>23942</v>
      </c>
      <c r="I586" s="280">
        <f t="shared" ref="I586" si="1770">+H586*$X$1</f>
        <v>23942</v>
      </c>
      <c r="J586" s="92">
        <f>F586+1200</f>
        <v>20142</v>
      </c>
      <c r="K586" s="280">
        <f t="shared" ref="K586" si="1771">+J586*$X$1</f>
        <v>20142</v>
      </c>
      <c r="L586" s="92">
        <f>F586+1000</f>
        <v>19942</v>
      </c>
      <c r="M586" s="280">
        <f t="shared" ref="M586" si="1772">+L586*$X$1</f>
        <v>19942</v>
      </c>
      <c r="N586" s="92">
        <f>F586+850</f>
        <v>19792</v>
      </c>
      <c r="O586" s="280">
        <f t="shared" ref="O586" si="1773">+N586*$X$1</f>
        <v>19792</v>
      </c>
      <c r="P586" s="92">
        <f>F586+740</f>
        <v>19682</v>
      </c>
      <c r="Q586" s="280">
        <f t="shared" ref="Q586" si="1774">+P586*$X$1</f>
        <v>19682</v>
      </c>
      <c r="R586" s="92">
        <f>F586+650</f>
        <v>19592</v>
      </c>
      <c r="S586" s="280">
        <f t="shared" ref="S586" si="1775">+R586*$X$1</f>
        <v>19592</v>
      </c>
      <c r="T586" s="92">
        <f>F586+560</f>
        <v>19502</v>
      </c>
      <c r="U586" s="280">
        <f t="shared" ref="U586" si="1776">+T586*$X$1</f>
        <v>19502</v>
      </c>
      <c r="V586" s="92">
        <f>F586+450</f>
        <v>19392</v>
      </c>
      <c r="W586" s="280">
        <f t="shared" ref="W586" si="1777">+V586*$X$1</f>
        <v>19392</v>
      </c>
      <c r="X586" s="127"/>
      <c r="Y586" s="122"/>
      <c r="Z586" s="128"/>
      <c r="AA586" s="129"/>
      <c r="AB586" s="338" t="s">
        <v>1036</v>
      </c>
    </row>
    <row r="587" spans="1:28" ht="12.6" customHeight="1" x14ac:dyDescent="0.2">
      <c r="A587" s="4"/>
      <c r="B587" s="748" t="s">
        <v>806</v>
      </c>
      <c r="C587" s="774"/>
      <c r="D587" s="774"/>
      <c r="E587" s="774"/>
      <c r="F587" s="255">
        <v>25220</v>
      </c>
      <c r="G587" s="255">
        <f t="shared" ref="G587" si="1778">+F587*$X$1</f>
        <v>25220</v>
      </c>
      <c r="H587" s="93">
        <f>F587+6000</f>
        <v>31220</v>
      </c>
      <c r="I587" s="270">
        <f t="shared" si="1761"/>
        <v>31220</v>
      </c>
      <c r="J587" s="93">
        <f>F587+2000</f>
        <v>27220</v>
      </c>
      <c r="K587" s="270">
        <f t="shared" si="1762"/>
        <v>27220</v>
      </c>
      <c r="L587" s="93">
        <f>F587+1700</f>
        <v>26920</v>
      </c>
      <c r="M587" s="270">
        <f t="shared" si="1763"/>
        <v>26920</v>
      </c>
      <c r="N587" s="93">
        <f>F587+1550</f>
        <v>26770</v>
      </c>
      <c r="O587" s="270">
        <f t="shared" si="1764"/>
        <v>26770</v>
      </c>
      <c r="P587" s="93">
        <f>F587+1350</f>
        <v>26570</v>
      </c>
      <c r="Q587" s="270">
        <f t="shared" si="1765"/>
        <v>26570</v>
      </c>
      <c r="R587" s="93">
        <f>F587+1200</f>
        <v>26420</v>
      </c>
      <c r="S587" s="270">
        <f t="shared" si="1766"/>
        <v>26420</v>
      </c>
      <c r="T587" s="93">
        <f>F587+1050</f>
        <v>26270</v>
      </c>
      <c r="U587" s="270">
        <f t="shared" si="1767"/>
        <v>26270</v>
      </c>
      <c r="V587" s="93">
        <f>F587+900</f>
        <v>26120</v>
      </c>
      <c r="W587" s="270">
        <f t="shared" si="1768"/>
        <v>26120</v>
      </c>
      <c r="X587" s="127"/>
      <c r="Y587" s="122"/>
      <c r="Z587" s="128"/>
      <c r="AA587" s="129"/>
      <c r="AB587" s="338">
        <v>898</v>
      </c>
    </row>
    <row r="588" spans="1:28" ht="12.6" customHeight="1" x14ac:dyDescent="0.2">
      <c r="A588" s="4"/>
      <c r="B588" s="632" t="s">
        <v>569</v>
      </c>
      <c r="C588" s="694"/>
      <c r="D588" s="694"/>
      <c r="E588" s="694"/>
      <c r="F588" s="256">
        <f>18.7*X2</f>
        <v>28798</v>
      </c>
      <c r="G588" s="256">
        <f t="shared" si="1760"/>
        <v>28798</v>
      </c>
      <c r="H588" s="92">
        <f>F588+6000</f>
        <v>34798</v>
      </c>
      <c r="I588" s="280">
        <f t="shared" si="1761"/>
        <v>34798</v>
      </c>
      <c r="J588" s="92">
        <f>F588+2000</f>
        <v>30798</v>
      </c>
      <c r="K588" s="280">
        <f t="shared" si="1762"/>
        <v>30798</v>
      </c>
      <c r="L588" s="92">
        <f>F588+1700</f>
        <v>30498</v>
      </c>
      <c r="M588" s="280">
        <f t="shared" si="1763"/>
        <v>30498</v>
      </c>
      <c r="N588" s="92">
        <f>F588+1550</f>
        <v>30348</v>
      </c>
      <c r="O588" s="280">
        <f t="shared" si="1764"/>
        <v>30348</v>
      </c>
      <c r="P588" s="92">
        <f>F588+1350</f>
        <v>30148</v>
      </c>
      <c r="Q588" s="280">
        <f t="shared" si="1765"/>
        <v>30148</v>
      </c>
      <c r="R588" s="92">
        <f>F588+1200</f>
        <v>29998</v>
      </c>
      <c r="S588" s="280">
        <f t="shared" si="1766"/>
        <v>29998</v>
      </c>
      <c r="T588" s="92">
        <f>F588+1050</f>
        <v>29848</v>
      </c>
      <c r="U588" s="280">
        <f t="shared" si="1767"/>
        <v>29848</v>
      </c>
      <c r="V588" s="92">
        <f>F588+900</f>
        <v>29698</v>
      </c>
      <c r="W588" s="280">
        <f t="shared" si="1768"/>
        <v>29698</v>
      </c>
      <c r="X588" s="127"/>
      <c r="Y588" s="122"/>
      <c r="Z588" s="128"/>
      <c r="AA588" s="129"/>
      <c r="AB588" s="338">
        <v>899</v>
      </c>
    </row>
    <row r="589" spans="1:28" ht="12.6" customHeight="1" x14ac:dyDescent="0.2">
      <c r="A589" s="4"/>
      <c r="B589" s="748" t="s">
        <v>577</v>
      </c>
      <c r="C589" s="774"/>
      <c r="D589" s="774"/>
      <c r="E589" s="774"/>
      <c r="F589" s="255">
        <f>18.7*X2</f>
        <v>28798</v>
      </c>
      <c r="G589" s="255">
        <f>+F589*$X$1</f>
        <v>28798</v>
      </c>
      <c r="H589" s="93">
        <f>F589+5000</f>
        <v>33798</v>
      </c>
      <c r="I589" s="270">
        <f t="shared" ref="I589:I590" si="1779">+H589*$X$1</f>
        <v>33798</v>
      </c>
      <c r="J589" s="93">
        <f>F589+1200</f>
        <v>29998</v>
      </c>
      <c r="K589" s="270">
        <f t="shared" ref="K589:K596" si="1780">+J589*$X$1</f>
        <v>29998</v>
      </c>
      <c r="L589" s="93">
        <f>F589+1000</f>
        <v>29798</v>
      </c>
      <c r="M589" s="270">
        <f t="shared" ref="M589:M596" si="1781">+L589*$X$1</f>
        <v>29798</v>
      </c>
      <c r="N589" s="93">
        <f>F589+850</f>
        <v>29648</v>
      </c>
      <c r="O589" s="270">
        <f t="shared" ref="O589:O596" si="1782">+N589*$X$1</f>
        <v>29648</v>
      </c>
      <c r="P589" s="93">
        <f>F589+740</f>
        <v>29538</v>
      </c>
      <c r="Q589" s="270">
        <f t="shared" ref="Q589:Q590" si="1783">+P589*$X$1</f>
        <v>29538</v>
      </c>
      <c r="R589" s="93">
        <f>F589+650</f>
        <v>29448</v>
      </c>
      <c r="S589" s="270">
        <f t="shared" ref="S589:S590" si="1784">+R589*$X$1</f>
        <v>29448</v>
      </c>
      <c r="T589" s="93">
        <f>F589+560</f>
        <v>29358</v>
      </c>
      <c r="U589" s="270">
        <f t="shared" ref="U589:U590" si="1785">+T589*$X$1</f>
        <v>29358</v>
      </c>
      <c r="V589" s="93">
        <f>F589+450</f>
        <v>29248</v>
      </c>
      <c r="W589" s="270">
        <f t="shared" ref="W589:W590" si="1786">+V589*$X$1</f>
        <v>29248</v>
      </c>
      <c r="X589" s="127"/>
      <c r="Y589" s="122"/>
      <c r="Z589" s="128"/>
      <c r="AA589" s="129"/>
      <c r="AB589" s="338" t="s">
        <v>578</v>
      </c>
    </row>
    <row r="590" spans="1:28" ht="12.6" customHeight="1" x14ac:dyDescent="0.2">
      <c r="A590" s="4"/>
      <c r="B590" s="632" t="s">
        <v>444</v>
      </c>
      <c r="C590" s="658"/>
      <c r="D590" s="658"/>
      <c r="E590" s="658"/>
      <c r="F590" s="256">
        <f>19*X2</f>
        <v>29260</v>
      </c>
      <c r="G590" s="256">
        <f t="shared" ref="G590" si="1787">+F590*$X$1</f>
        <v>29260</v>
      </c>
      <c r="H590" s="92">
        <f>F590+6000</f>
        <v>35260</v>
      </c>
      <c r="I590" s="280">
        <f t="shared" si="1779"/>
        <v>35260</v>
      </c>
      <c r="J590" s="92">
        <f>F590+2000</f>
        <v>31260</v>
      </c>
      <c r="K590" s="280">
        <f t="shared" si="1780"/>
        <v>31260</v>
      </c>
      <c r="L590" s="92">
        <f>F590+1700</f>
        <v>30960</v>
      </c>
      <c r="M590" s="280">
        <f t="shared" si="1781"/>
        <v>30960</v>
      </c>
      <c r="N590" s="92">
        <f>F590+1550</f>
        <v>30810</v>
      </c>
      <c r="O590" s="280">
        <f t="shared" si="1782"/>
        <v>30810</v>
      </c>
      <c r="P590" s="92">
        <f>F590+1350</f>
        <v>30610</v>
      </c>
      <c r="Q590" s="280">
        <f t="shared" si="1783"/>
        <v>30610</v>
      </c>
      <c r="R590" s="92">
        <f>F590+1200</f>
        <v>30460</v>
      </c>
      <c r="S590" s="280">
        <f t="shared" si="1784"/>
        <v>30460</v>
      </c>
      <c r="T590" s="92">
        <f>F590+1050</f>
        <v>30310</v>
      </c>
      <c r="U590" s="280">
        <f t="shared" si="1785"/>
        <v>30310</v>
      </c>
      <c r="V590" s="92">
        <f>F590+900</f>
        <v>30160</v>
      </c>
      <c r="W590" s="280">
        <f t="shared" si="1786"/>
        <v>30160</v>
      </c>
      <c r="X590" s="127"/>
      <c r="Y590" s="122"/>
      <c r="Z590" s="128"/>
      <c r="AA590" s="129"/>
      <c r="AB590" s="338">
        <v>900</v>
      </c>
    </row>
    <row r="591" spans="1:28" ht="12.6" customHeight="1" x14ac:dyDescent="0.2">
      <c r="A591" s="4"/>
      <c r="B591" s="697" t="s">
        <v>1026</v>
      </c>
      <c r="C591" s="749"/>
      <c r="D591" s="749"/>
      <c r="E591" s="749"/>
      <c r="F591" s="255">
        <f>19*X2</f>
        <v>29260</v>
      </c>
      <c r="G591" s="255">
        <f>+F591*$X$1</f>
        <v>29260</v>
      </c>
      <c r="H591" s="93">
        <f>F591+5000</f>
        <v>34260</v>
      </c>
      <c r="I591" s="270">
        <f t="shared" ref="I591:I593" si="1788">+H591*$X$1</f>
        <v>34260</v>
      </c>
      <c r="J591" s="93">
        <f>F591+1200</f>
        <v>30460</v>
      </c>
      <c r="K591" s="270">
        <f t="shared" ref="K591:K593" si="1789">+J591*$X$1</f>
        <v>30460</v>
      </c>
      <c r="L591" s="93">
        <f>F591+1000</f>
        <v>30260</v>
      </c>
      <c r="M591" s="270">
        <f t="shared" ref="M591:M593" si="1790">+L591*$X$1</f>
        <v>30260</v>
      </c>
      <c r="N591" s="93">
        <f>F591+850</f>
        <v>30110</v>
      </c>
      <c r="O591" s="270">
        <f t="shared" ref="O591:O593" si="1791">+N591*$X$1</f>
        <v>30110</v>
      </c>
      <c r="P591" s="93">
        <f>F591+740</f>
        <v>30000</v>
      </c>
      <c r="Q591" s="270">
        <f t="shared" ref="Q591:Q593" si="1792">+P591*$X$1</f>
        <v>30000</v>
      </c>
      <c r="R591" s="93">
        <f>F591+650</f>
        <v>29910</v>
      </c>
      <c r="S591" s="270">
        <f t="shared" ref="S591:S593" si="1793">+R591*$X$1</f>
        <v>29910</v>
      </c>
      <c r="T591" s="93">
        <f>F591+560</f>
        <v>29820</v>
      </c>
      <c r="U591" s="270">
        <f t="shared" ref="U591:U593" si="1794">+T591*$X$1</f>
        <v>29820</v>
      </c>
      <c r="V591" s="93">
        <f>F591+450</f>
        <v>29710</v>
      </c>
      <c r="W591" s="270">
        <f t="shared" ref="W591:W593" si="1795">+V591*$X$1</f>
        <v>29710</v>
      </c>
      <c r="X591" s="127"/>
      <c r="Y591" s="122"/>
      <c r="Z591" s="128"/>
      <c r="AA591" s="129"/>
      <c r="AB591" s="338" t="s">
        <v>1027</v>
      </c>
    </row>
    <row r="592" spans="1:28" ht="12.6" customHeight="1" x14ac:dyDescent="0.2">
      <c r="A592" s="4"/>
      <c r="B592" s="632" t="s">
        <v>1030</v>
      </c>
      <c r="C592" s="658"/>
      <c r="D592" s="658"/>
      <c r="E592" s="658"/>
      <c r="F592" s="256">
        <v>17450</v>
      </c>
      <c r="G592" s="256">
        <f t="shared" ref="G592" si="1796">+F592*$X$1</f>
        <v>17450</v>
      </c>
      <c r="H592" s="92">
        <f>F592+6000</f>
        <v>23450</v>
      </c>
      <c r="I592" s="280">
        <f t="shared" si="1788"/>
        <v>23450</v>
      </c>
      <c r="J592" s="92">
        <f>F592+2000</f>
        <v>19450</v>
      </c>
      <c r="K592" s="280">
        <f t="shared" si="1789"/>
        <v>19450</v>
      </c>
      <c r="L592" s="92">
        <f>F592+1700</f>
        <v>19150</v>
      </c>
      <c r="M592" s="280">
        <f t="shared" si="1790"/>
        <v>19150</v>
      </c>
      <c r="N592" s="92">
        <f>F592+1550</f>
        <v>19000</v>
      </c>
      <c r="O592" s="280">
        <f t="shared" si="1791"/>
        <v>19000</v>
      </c>
      <c r="P592" s="92">
        <f>F592+1350</f>
        <v>18800</v>
      </c>
      <c r="Q592" s="280">
        <f t="shared" si="1792"/>
        <v>18800</v>
      </c>
      <c r="R592" s="92">
        <f>F592+1200</f>
        <v>18650</v>
      </c>
      <c r="S592" s="280">
        <f t="shared" si="1793"/>
        <v>18650</v>
      </c>
      <c r="T592" s="92">
        <f>F592+1050</f>
        <v>18500</v>
      </c>
      <c r="U592" s="280">
        <f t="shared" si="1794"/>
        <v>18500</v>
      </c>
      <c r="V592" s="92">
        <f>F592+900</f>
        <v>18350</v>
      </c>
      <c r="W592" s="280">
        <f t="shared" si="1795"/>
        <v>18350</v>
      </c>
      <c r="X592" s="127"/>
      <c r="Y592" s="122"/>
      <c r="Z592" s="128"/>
      <c r="AA592" s="129"/>
      <c r="AB592" s="338" t="s">
        <v>1031</v>
      </c>
    </row>
    <row r="593" spans="1:34" ht="12.6" customHeight="1" x14ac:dyDescent="0.2">
      <c r="A593" s="4"/>
      <c r="B593" s="748" t="s">
        <v>1029</v>
      </c>
      <c r="C593" s="679"/>
      <c r="D593" s="679"/>
      <c r="E593" s="679"/>
      <c r="F593" s="255">
        <v>17450</v>
      </c>
      <c r="G593" s="255">
        <f t="shared" ref="G593" si="1797">+F593*$X$1</f>
        <v>17450</v>
      </c>
      <c r="H593" s="93">
        <f>F593+5000</f>
        <v>22450</v>
      </c>
      <c r="I593" s="270">
        <f t="shared" si="1788"/>
        <v>22450</v>
      </c>
      <c r="J593" s="93">
        <f>F593+1200</f>
        <v>18650</v>
      </c>
      <c r="K593" s="270">
        <f t="shared" si="1789"/>
        <v>18650</v>
      </c>
      <c r="L593" s="93">
        <f>F593+1000</f>
        <v>18450</v>
      </c>
      <c r="M593" s="270">
        <f t="shared" si="1790"/>
        <v>18450</v>
      </c>
      <c r="N593" s="93">
        <f>F593+850</f>
        <v>18300</v>
      </c>
      <c r="O593" s="270">
        <f t="shared" si="1791"/>
        <v>18300</v>
      </c>
      <c r="P593" s="93">
        <f>F593+740</f>
        <v>18190</v>
      </c>
      <c r="Q593" s="270">
        <f t="shared" si="1792"/>
        <v>18190</v>
      </c>
      <c r="R593" s="93">
        <f>F593+650</f>
        <v>18100</v>
      </c>
      <c r="S593" s="270">
        <f t="shared" si="1793"/>
        <v>18100</v>
      </c>
      <c r="T593" s="93">
        <f>F593+560</f>
        <v>18010</v>
      </c>
      <c r="U593" s="270">
        <f t="shared" si="1794"/>
        <v>18010</v>
      </c>
      <c r="V593" s="93">
        <f>F593+450</f>
        <v>17900</v>
      </c>
      <c r="W593" s="270">
        <f t="shared" si="1795"/>
        <v>17900</v>
      </c>
      <c r="X593" s="127"/>
      <c r="Y593" s="122"/>
      <c r="Z593" s="128"/>
      <c r="AA593" s="129"/>
      <c r="AB593" s="338">
        <v>902</v>
      </c>
    </row>
    <row r="594" spans="1:34" ht="12.6" customHeight="1" x14ac:dyDescent="0.2">
      <c r="A594" s="4"/>
      <c r="B594" s="632" t="s">
        <v>1005</v>
      </c>
      <c r="C594" s="658"/>
      <c r="D594" s="658"/>
      <c r="E594" s="658"/>
      <c r="F594" s="290">
        <v>20490</v>
      </c>
      <c r="G594" s="256">
        <f>+F594*$X$1</f>
        <v>20490</v>
      </c>
      <c r="H594" s="92">
        <f>F594+6000</f>
        <v>26490</v>
      </c>
      <c r="I594" s="280">
        <f t="shared" ref="I594" si="1798">+H594*$X$1</f>
        <v>26490</v>
      </c>
      <c r="J594" s="92">
        <f>F594+2000</f>
        <v>22490</v>
      </c>
      <c r="K594" s="280">
        <f t="shared" ref="K594" si="1799">+J594*$X$1</f>
        <v>22490</v>
      </c>
      <c r="L594" s="92">
        <f>F594+1700</f>
        <v>22190</v>
      </c>
      <c r="M594" s="280">
        <f t="shared" ref="M594" si="1800">+L594*$X$1</f>
        <v>22190</v>
      </c>
      <c r="N594" s="92">
        <f>F594+1550</f>
        <v>22040</v>
      </c>
      <c r="O594" s="280">
        <f t="shared" ref="O594" si="1801">+N594*$X$1</f>
        <v>22040</v>
      </c>
      <c r="P594" s="92">
        <f>F594+1350</f>
        <v>21840</v>
      </c>
      <c r="Q594" s="280">
        <f t="shared" ref="Q594" si="1802">+P594*$X$1</f>
        <v>21840</v>
      </c>
      <c r="R594" s="92">
        <f>F594+1200</f>
        <v>21690</v>
      </c>
      <c r="S594" s="280">
        <f t="shared" ref="S594" si="1803">+R594*$X$1</f>
        <v>21690</v>
      </c>
      <c r="T594" s="92">
        <f>F594+1050</f>
        <v>21540</v>
      </c>
      <c r="U594" s="280">
        <f t="shared" ref="U594" si="1804">+T594*$X$1</f>
        <v>21540</v>
      </c>
      <c r="V594" s="92">
        <f>F594+900</f>
        <v>21390</v>
      </c>
      <c r="W594" s="280">
        <f t="shared" ref="W594" si="1805">+V594*$X$1</f>
        <v>21390</v>
      </c>
      <c r="X594" s="127"/>
      <c r="Y594" s="122"/>
      <c r="Z594" s="128"/>
      <c r="AA594" s="129"/>
      <c r="AB594" s="338" t="s">
        <v>1035</v>
      </c>
    </row>
    <row r="595" spans="1:34" ht="12.6" customHeight="1" x14ac:dyDescent="0.2">
      <c r="A595" s="4"/>
      <c r="B595" s="748" t="s">
        <v>1006</v>
      </c>
      <c r="C595" s="682"/>
      <c r="D595" s="682"/>
      <c r="E595" s="682"/>
      <c r="F595" s="291">
        <v>20490</v>
      </c>
      <c r="G595" s="255">
        <f>+F595*$X$1</f>
        <v>20490</v>
      </c>
      <c r="H595" s="93">
        <f>F595+5000</f>
        <v>25490</v>
      </c>
      <c r="I595" s="270">
        <f t="shared" ref="I595:I596" si="1806">+H595*$X$1</f>
        <v>25490</v>
      </c>
      <c r="J595" s="93">
        <f>F595+1200</f>
        <v>21690</v>
      </c>
      <c r="K595" s="270">
        <f t="shared" si="1780"/>
        <v>21690</v>
      </c>
      <c r="L595" s="93">
        <f>F595+1000</f>
        <v>21490</v>
      </c>
      <c r="M595" s="270">
        <f t="shared" si="1781"/>
        <v>21490</v>
      </c>
      <c r="N595" s="93">
        <f>F595+850</f>
        <v>21340</v>
      </c>
      <c r="O595" s="270">
        <f t="shared" si="1782"/>
        <v>21340</v>
      </c>
      <c r="P595" s="93">
        <f>F595+740</f>
        <v>21230</v>
      </c>
      <c r="Q595" s="270">
        <f t="shared" ref="Q595:Q596" si="1807">+P595*$X$1</f>
        <v>21230</v>
      </c>
      <c r="R595" s="93">
        <f>F595+650</f>
        <v>21140</v>
      </c>
      <c r="S595" s="270">
        <f t="shared" ref="S595:S596" si="1808">+R595*$X$1</f>
        <v>21140</v>
      </c>
      <c r="T595" s="93">
        <f>F595+560</f>
        <v>21050</v>
      </c>
      <c r="U595" s="270">
        <f t="shared" ref="U595:U596" si="1809">+T595*$X$1</f>
        <v>21050</v>
      </c>
      <c r="V595" s="93">
        <f>F595+450</f>
        <v>20940</v>
      </c>
      <c r="W595" s="270">
        <f t="shared" ref="W595:W596" si="1810">+V595*$X$1</f>
        <v>20940</v>
      </c>
      <c r="X595" s="127"/>
      <c r="Y595" s="122"/>
      <c r="Z595" s="128"/>
      <c r="AA595" s="129"/>
      <c r="AB595" s="338">
        <v>905</v>
      </c>
    </row>
    <row r="596" spans="1:34" ht="12.6" customHeight="1" x14ac:dyDescent="0.2">
      <c r="A596" s="4"/>
      <c r="B596" s="632" t="s">
        <v>611</v>
      </c>
      <c r="C596" s="658"/>
      <c r="D596" s="658"/>
      <c r="E596" s="658"/>
      <c r="F596" s="256">
        <f>13.5*X2</f>
        <v>20790</v>
      </c>
      <c r="G596" s="256">
        <f>+F596*$X$1</f>
        <v>20790</v>
      </c>
      <c r="H596" s="92">
        <f>F596+6000</f>
        <v>26790</v>
      </c>
      <c r="I596" s="280">
        <f t="shared" si="1806"/>
        <v>26790</v>
      </c>
      <c r="J596" s="92">
        <f>F596+2000</f>
        <v>22790</v>
      </c>
      <c r="K596" s="280">
        <f t="shared" si="1780"/>
        <v>22790</v>
      </c>
      <c r="L596" s="92">
        <f>F596+1700</f>
        <v>22490</v>
      </c>
      <c r="M596" s="280">
        <f t="shared" si="1781"/>
        <v>22490</v>
      </c>
      <c r="N596" s="92">
        <f>F596+1550</f>
        <v>22340</v>
      </c>
      <c r="O596" s="280">
        <f t="shared" si="1782"/>
        <v>22340</v>
      </c>
      <c r="P596" s="92">
        <f>F596+1350</f>
        <v>22140</v>
      </c>
      <c r="Q596" s="280">
        <f t="shared" si="1807"/>
        <v>22140</v>
      </c>
      <c r="R596" s="92">
        <f>F596+1200</f>
        <v>21990</v>
      </c>
      <c r="S596" s="280">
        <f t="shared" si="1808"/>
        <v>21990</v>
      </c>
      <c r="T596" s="92">
        <f>F596+1050</f>
        <v>21840</v>
      </c>
      <c r="U596" s="280">
        <f t="shared" si="1809"/>
        <v>21840</v>
      </c>
      <c r="V596" s="92">
        <f>F596+900</f>
        <v>21690</v>
      </c>
      <c r="W596" s="280">
        <f t="shared" si="1810"/>
        <v>21690</v>
      </c>
      <c r="X596" s="127"/>
      <c r="Y596" s="122"/>
      <c r="Z596" s="128"/>
      <c r="AA596" s="129"/>
      <c r="AB596" s="338">
        <v>906</v>
      </c>
    </row>
    <row r="597" spans="1:34" ht="12.6" customHeight="1" x14ac:dyDescent="0.2">
      <c r="A597" s="4"/>
      <c r="B597" s="748" t="s">
        <v>612</v>
      </c>
      <c r="C597" s="682"/>
      <c r="D597" s="682"/>
      <c r="E597" s="682"/>
      <c r="F597" s="255">
        <f>13.5*X2</f>
        <v>20790</v>
      </c>
      <c r="G597" s="255">
        <f>+F597*$X$1</f>
        <v>20790</v>
      </c>
      <c r="H597" s="93">
        <f>F597+5000</f>
        <v>25790</v>
      </c>
      <c r="I597" s="270">
        <f t="shared" ref="I597:I598" si="1811">+H597*$X$1</f>
        <v>25790</v>
      </c>
      <c r="J597" s="93">
        <f>F597+1200</f>
        <v>21990</v>
      </c>
      <c r="K597" s="270">
        <f t="shared" ref="K597:K598" si="1812">+J597*$X$1</f>
        <v>21990</v>
      </c>
      <c r="L597" s="93">
        <f>F597+1000</f>
        <v>21790</v>
      </c>
      <c r="M597" s="270">
        <f t="shared" ref="M597:M598" si="1813">+L597*$X$1</f>
        <v>21790</v>
      </c>
      <c r="N597" s="93">
        <f>F597+850</f>
        <v>21640</v>
      </c>
      <c r="O597" s="270">
        <f t="shared" ref="O597:O598" si="1814">+N597*$X$1</f>
        <v>21640</v>
      </c>
      <c r="P597" s="93">
        <f>F597+740</f>
        <v>21530</v>
      </c>
      <c r="Q597" s="270">
        <f t="shared" ref="Q597:Q598" si="1815">+P597*$X$1</f>
        <v>21530</v>
      </c>
      <c r="R597" s="93">
        <f>F597+650</f>
        <v>21440</v>
      </c>
      <c r="S597" s="270">
        <f t="shared" ref="S597:S598" si="1816">+R597*$X$1</f>
        <v>21440</v>
      </c>
      <c r="T597" s="93">
        <f>F597+560</f>
        <v>21350</v>
      </c>
      <c r="U597" s="270">
        <f t="shared" ref="U597:U598" si="1817">+T597*$X$1</f>
        <v>21350</v>
      </c>
      <c r="V597" s="93">
        <f>F597+450</f>
        <v>21240</v>
      </c>
      <c r="W597" s="270">
        <f t="shared" ref="W597:W598" si="1818">+V597*$X$1</f>
        <v>21240</v>
      </c>
      <c r="X597" s="127"/>
      <c r="Y597" s="122"/>
      <c r="Z597" s="128"/>
      <c r="AA597" s="129"/>
      <c r="AB597" s="338">
        <v>906</v>
      </c>
    </row>
    <row r="598" spans="1:34" ht="12.6" customHeight="1" x14ac:dyDescent="0.2">
      <c r="A598" s="4"/>
      <c r="B598" s="632" t="s">
        <v>566</v>
      </c>
      <c r="C598" s="633"/>
      <c r="D598" s="633"/>
      <c r="E598" s="633"/>
      <c r="F598" s="282">
        <f>21.1*X2</f>
        <v>32494.000000000004</v>
      </c>
      <c r="G598" s="256">
        <f t="shared" ref="G598" si="1819">+F598*$X$1</f>
        <v>32494.000000000004</v>
      </c>
      <c r="H598" s="92">
        <f>F598+6000</f>
        <v>38494</v>
      </c>
      <c r="I598" s="280">
        <f t="shared" si="1811"/>
        <v>38494</v>
      </c>
      <c r="J598" s="92">
        <f>F598+2000</f>
        <v>34494</v>
      </c>
      <c r="K598" s="280">
        <f t="shared" si="1812"/>
        <v>34494</v>
      </c>
      <c r="L598" s="92">
        <f>F598+1700</f>
        <v>34194</v>
      </c>
      <c r="M598" s="280">
        <f t="shared" si="1813"/>
        <v>34194</v>
      </c>
      <c r="N598" s="92">
        <f>F598+1550</f>
        <v>34044</v>
      </c>
      <c r="O598" s="280">
        <f t="shared" si="1814"/>
        <v>34044</v>
      </c>
      <c r="P598" s="92">
        <f>F598+1350</f>
        <v>33844</v>
      </c>
      <c r="Q598" s="280">
        <f t="shared" si="1815"/>
        <v>33844</v>
      </c>
      <c r="R598" s="92">
        <f>F598+1200</f>
        <v>33694</v>
      </c>
      <c r="S598" s="280">
        <f t="shared" si="1816"/>
        <v>33694</v>
      </c>
      <c r="T598" s="92">
        <f>F598+1050</f>
        <v>33544</v>
      </c>
      <c r="U598" s="280">
        <f t="shared" si="1817"/>
        <v>33544</v>
      </c>
      <c r="V598" s="92">
        <f>F598+900</f>
        <v>33394</v>
      </c>
      <c r="W598" s="280">
        <f t="shared" si="1818"/>
        <v>33394</v>
      </c>
      <c r="X598" s="127"/>
      <c r="Y598" s="122"/>
      <c r="Z598" s="128"/>
      <c r="AA598" s="129"/>
      <c r="AB598" s="338" t="s">
        <v>579</v>
      </c>
    </row>
    <row r="599" spans="1:34" ht="12.6" customHeight="1" x14ac:dyDescent="0.2">
      <c r="A599" s="4"/>
      <c r="B599" s="748" t="s">
        <v>610</v>
      </c>
      <c r="C599" s="679"/>
      <c r="D599" s="679"/>
      <c r="E599" s="679"/>
      <c r="F599" s="616">
        <f>21.1*X2</f>
        <v>32494.000000000004</v>
      </c>
      <c r="G599" s="255">
        <f t="shared" ref="G599" si="1820">+F599*$X$1</f>
        <v>32494.000000000004</v>
      </c>
      <c r="H599" s="93">
        <f>F599+5000</f>
        <v>37494</v>
      </c>
      <c r="I599" s="270">
        <f t="shared" ref="I599" si="1821">+H599*$X$1</f>
        <v>37494</v>
      </c>
      <c r="J599" s="93">
        <f>F599+1200</f>
        <v>33694</v>
      </c>
      <c r="K599" s="270">
        <f t="shared" ref="K599" si="1822">+J599*$X$1</f>
        <v>33694</v>
      </c>
      <c r="L599" s="93">
        <f>F599+1000</f>
        <v>33494</v>
      </c>
      <c r="M599" s="270">
        <f t="shared" ref="M599" si="1823">+L599*$X$1</f>
        <v>33494</v>
      </c>
      <c r="N599" s="93">
        <f>F599+850</f>
        <v>33344</v>
      </c>
      <c r="O599" s="270">
        <f t="shared" ref="O599" si="1824">+N599*$X$1</f>
        <v>33344</v>
      </c>
      <c r="P599" s="93"/>
      <c r="Q599" s="270"/>
      <c r="R599" s="93"/>
      <c r="S599" s="270"/>
      <c r="T599" s="93"/>
      <c r="U599" s="270"/>
      <c r="V599" s="93"/>
      <c r="W599" s="270"/>
      <c r="X599" s="127"/>
      <c r="Y599" s="122"/>
      <c r="Z599" s="128"/>
      <c r="AA599" s="129"/>
      <c r="AB599" s="338">
        <v>907</v>
      </c>
    </row>
    <row r="600" spans="1:34" ht="12.6" customHeight="1" x14ac:dyDescent="0.2">
      <c r="A600" s="4"/>
      <c r="B600" s="686" t="s">
        <v>543</v>
      </c>
      <c r="C600" s="687"/>
      <c r="D600" s="687"/>
      <c r="E600" s="687"/>
      <c r="F600" s="688"/>
      <c r="G600" s="689"/>
      <c r="H600" s="536">
        <v>2300</v>
      </c>
      <c r="I600" s="256">
        <f t="shared" ref="I600" si="1825">+H600*$X$1</f>
        <v>2300</v>
      </c>
      <c r="J600" s="536">
        <v>1200</v>
      </c>
      <c r="K600" s="256">
        <f t="shared" ref="K600" si="1826">+J600*$X$1</f>
        <v>1200</v>
      </c>
      <c r="L600" s="536">
        <v>900</v>
      </c>
      <c r="M600" s="256">
        <f t="shared" ref="M600" si="1827">+L600*$X$1</f>
        <v>900</v>
      </c>
      <c r="N600" s="536">
        <v>840</v>
      </c>
      <c r="O600" s="256">
        <f t="shared" ref="O600" si="1828">+N600*$X$1</f>
        <v>840</v>
      </c>
      <c r="P600" s="536">
        <v>770</v>
      </c>
      <c r="Q600" s="256">
        <f t="shared" ref="Q600" si="1829">+P600*$X$1</f>
        <v>770</v>
      </c>
      <c r="R600" s="536">
        <v>720</v>
      </c>
      <c r="S600" s="256">
        <f t="shared" ref="S600" si="1830">+R600*$X$1</f>
        <v>720</v>
      </c>
      <c r="T600" s="536">
        <v>650</v>
      </c>
      <c r="U600" s="256">
        <f t="shared" ref="U600" si="1831">+T600*$X$1</f>
        <v>650</v>
      </c>
      <c r="V600" s="536">
        <v>600</v>
      </c>
      <c r="W600" s="256">
        <f t="shared" ref="W600" si="1832">+V600*$X$1</f>
        <v>600</v>
      </c>
      <c r="X600" s="127"/>
      <c r="Y600" s="122"/>
      <c r="Z600" s="128"/>
      <c r="AA600" s="129"/>
      <c r="AB600" s="30"/>
    </row>
    <row r="601" spans="1:34" ht="12.6" customHeight="1" x14ac:dyDescent="0.2">
      <c r="A601" s="4"/>
      <c r="B601" s="690" t="s">
        <v>544</v>
      </c>
      <c r="C601" s="691"/>
      <c r="D601" s="691"/>
      <c r="E601" s="691"/>
      <c r="F601" s="688"/>
      <c r="G601" s="689"/>
      <c r="H601" s="527">
        <v>1080</v>
      </c>
      <c r="I601" s="255">
        <f t="shared" ref="I601" si="1833">+H601*$X$1</f>
        <v>1080</v>
      </c>
      <c r="J601" s="527">
        <v>900</v>
      </c>
      <c r="K601" s="255">
        <f t="shared" ref="K601" si="1834">+J601*$X$1</f>
        <v>900</v>
      </c>
      <c r="L601" s="527">
        <v>720</v>
      </c>
      <c r="M601" s="255">
        <f t="shared" ref="M601" si="1835">+L601*$X$1</f>
        <v>720</v>
      </c>
      <c r="N601" s="527">
        <v>660</v>
      </c>
      <c r="O601" s="255">
        <f t="shared" ref="O601" si="1836">+N601*$X$1</f>
        <v>660</v>
      </c>
      <c r="P601" s="527">
        <v>600</v>
      </c>
      <c r="Q601" s="255">
        <f t="shared" ref="Q601" si="1837">+P601*$X$1</f>
        <v>600</v>
      </c>
      <c r="R601" s="527">
        <v>540</v>
      </c>
      <c r="S601" s="255">
        <f t="shared" ref="S601" si="1838">+R601*$X$1</f>
        <v>540</v>
      </c>
      <c r="T601" s="527">
        <v>480</v>
      </c>
      <c r="U601" s="255">
        <f t="shared" ref="U601" si="1839">+T601*$X$1</f>
        <v>480</v>
      </c>
      <c r="V601" s="527">
        <v>450</v>
      </c>
      <c r="W601" s="255">
        <f t="shared" ref="W601" si="1840">+V601*$X$1</f>
        <v>450</v>
      </c>
      <c r="X601" s="127"/>
      <c r="Y601" s="122"/>
      <c r="Z601" s="128"/>
      <c r="AA601" s="129"/>
      <c r="AB601" s="30"/>
    </row>
    <row r="602" spans="1:34" ht="12.6" customHeight="1" x14ac:dyDescent="0.2">
      <c r="A602" s="88"/>
      <c r="B602" s="73"/>
      <c r="C602" s="74"/>
      <c r="D602" s="74"/>
      <c r="E602" s="74"/>
      <c r="F602" s="74"/>
      <c r="G602" s="74"/>
      <c r="H602" s="74"/>
      <c r="I602" s="295"/>
      <c r="J602" s="106"/>
      <c r="K602" s="295"/>
      <c r="L602" s="106"/>
      <c r="M602" s="295"/>
      <c r="N602" s="106"/>
      <c r="O602" s="295"/>
      <c r="P602" s="106"/>
      <c r="Q602" s="295"/>
      <c r="R602" s="106"/>
      <c r="S602" s="295"/>
      <c r="T602" s="106"/>
      <c r="U602" s="295"/>
      <c r="V602" s="106"/>
      <c r="W602" s="295"/>
      <c r="AB602" s="75"/>
    </row>
    <row r="603" spans="1:34" ht="15" customHeight="1" x14ac:dyDescent="0.2">
      <c r="B603" s="772" t="s">
        <v>523</v>
      </c>
      <c r="C603" s="773"/>
      <c r="D603" s="773"/>
      <c r="E603" s="773"/>
      <c r="F603" s="773"/>
      <c r="G603" s="773"/>
      <c r="H603" s="773"/>
      <c r="I603" s="773"/>
      <c r="J603" s="773"/>
      <c r="K603" s="773"/>
      <c r="L603" s="773"/>
      <c r="M603" s="773"/>
      <c r="N603" s="773"/>
      <c r="O603" s="773"/>
      <c r="P603" s="773"/>
      <c r="Q603" s="773"/>
      <c r="R603" s="773"/>
      <c r="S603" s="773"/>
      <c r="T603" s="773"/>
      <c r="U603" s="773"/>
      <c r="V603" s="773"/>
      <c r="W603" s="773"/>
      <c r="AB603" s="4"/>
      <c r="AF603" s="640"/>
      <c r="AG603" s="641"/>
      <c r="AH603" s="641"/>
    </row>
    <row r="604" spans="1:34" ht="14.25" customHeight="1" x14ac:dyDescent="0.2">
      <c r="B604" s="761" t="s">
        <v>11</v>
      </c>
      <c r="C604" s="1038" t="s">
        <v>12</v>
      </c>
      <c r="D604" s="1039"/>
      <c r="E604" s="1039"/>
      <c r="F604" s="734" t="s">
        <v>259</v>
      </c>
      <c r="G604" s="734" t="s">
        <v>13</v>
      </c>
      <c r="H604" s="736" t="s">
        <v>731</v>
      </c>
      <c r="I604" s="736"/>
      <c r="J604" s="737"/>
      <c r="K604" s="737"/>
      <c r="L604" s="737"/>
      <c r="M604" s="737"/>
      <c r="N604" s="737"/>
      <c r="O604" s="737"/>
      <c r="P604" s="737"/>
      <c r="Q604" s="737"/>
      <c r="R604" s="737"/>
      <c r="S604" s="737"/>
      <c r="T604" s="737"/>
      <c r="U604" s="737"/>
      <c r="V604" s="737"/>
      <c r="W604" s="738"/>
      <c r="X604" s="739" t="s">
        <v>14</v>
      </c>
      <c r="Y604" s="740"/>
      <c r="Z604" s="740"/>
      <c r="AA604" s="741"/>
      <c r="AB604" s="638" t="s">
        <v>15</v>
      </c>
      <c r="AF604" s="640" t="s">
        <v>3</v>
      </c>
      <c r="AG604" s="641"/>
      <c r="AH604" s="641"/>
    </row>
    <row r="605" spans="1:34" ht="12" customHeight="1" x14ac:dyDescent="0.2">
      <c r="B605" s="762"/>
      <c r="C605" s="1040"/>
      <c r="D605" s="1040"/>
      <c r="E605" s="1040"/>
      <c r="F605" s="735"/>
      <c r="G605" s="735"/>
      <c r="H605" s="408"/>
      <c r="I605" s="409" t="s">
        <v>510</v>
      </c>
      <c r="J605" s="408"/>
      <c r="K605" s="409" t="s">
        <v>260</v>
      </c>
      <c r="L605" s="408"/>
      <c r="M605" s="409" t="s">
        <v>261</v>
      </c>
      <c r="N605" s="408"/>
      <c r="O605" s="409" t="s">
        <v>512</v>
      </c>
      <c r="P605" s="408"/>
      <c r="Q605" s="409" t="s">
        <v>17</v>
      </c>
      <c r="R605" s="408"/>
      <c r="S605" s="409" t="s">
        <v>18</v>
      </c>
      <c r="T605" s="408"/>
      <c r="U605" s="409" t="s">
        <v>19</v>
      </c>
      <c r="V605" s="408"/>
      <c r="W605" s="410" t="s">
        <v>513</v>
      </c>
      <c r="X605" s="742"/>
      <c r="Y605" s="743"/>
      <c r="Z605" s="743"/>
      <c r="AA605" s="744"/>
      <c r="AB605" s="639"/>
    </row>
    <row r="606" spans="1:34" ht="12" customHeight="1" x14ac:dyDescent="0.2">
      <c r="A606" s="4"/>
      <c r="B606" s="657" t="s">
        <v>777</v>
      </c>
      <c r="C606" s="658"/>
      <c r="D606" s="658"/>
      <c r="E606" s="658"/>
      <c r="F606" s="280">
        <f>10.44*X2</f>
        <v>16077.599999999999</v>
      </c>
      <c r="G606" s="280">
        <f t="shared" ref="G606:G607" si="1841">+F606*$X$1</f>
        <v>16077.599999999999</v>
      </c>
      <c r="H606" s="92"/>
      <c r="I606" s="280"/>
      <c r="J606" s="92">
        <f>F606+1200</f>
        <v>17277.599999999999</v>
      </c>
      <c r="K606" s="280">
        <f t="shared" ref="K606" si="1842">+J606*$X$1</f>
        <v>17277.599999999999</v>
      </c>
      <c r="L606" s="92">
        <f t="shared" ref="L606:L611" si="1843">F606+800</f>
        <v>16877.599999999999</v>
      </c>
      <c r="M606" s="280">
        <f t="shared" ref="M606" si="1844">+L606*$X$1</f>
        <v>16877.599999999999</v>
      </c>
      <c r="N606" s="92">
        <f t="shared" ref="N606:N611" si="1845">F606+700</f>
        <v>16777.599999999999</v>
      </c>
      <c r="O606" s="280">
        <f t="shared" ref="O606" si="1846">+N606*$X$1</f>
        <v>16777.599999999999</v>
      </c>
      <c r="P606" s="92">
        <f t="shared" ref="P606:P611" si="1847">F606+600</f>
        <v>16677.599999999999</v>
      </c>
      <c r="Q606" s="280">
        <f t="shared" ref="Q606" si="1848">+P606*$X$1</f>
        <v>16677.599999999999</v>
      </c>
      <c r="R606" s="92">
        <f t="shared" ref="R606:R628" si="1849">F606+500</f>
        <v>16577.599999999999</v>
      </c>
      <c r="S606" s="280">
        <f t="shared" ref="S606" si="1850">+R606*$X$1</f>
        <v>16577.599999999999</v>
      </c>
      <c r="T606" s="92">
        <f t="shared" ref="T606:T628" si="1851">F606+450</f>
        <v>16527.599999999999</v>
      </c>
      <c r="U606" s="280">
        <f t="shared" ref="U606" si="1852">+T606*$X$1</f>
        <v>16527.599999999999</v>
      </c>
      <c r="V606" s="92">
        <f t="shared" ref="V606:V628" si="1853">F606+360</f>
        <v>16437.599999999999</v>
      </c>
      <c r="W606" s="280">
        <f t="shared" ref="W606" si="1854">+V606*$X$1</f>
        <v>16437.599999999999</v>
      </c>
      <c r="X606" s="127"/>
      <c r="Y606" s="122"/>
      <c r="Z606" s="128"/>
      <c r="AA606" s="129"/>
      <c r="AB606" s="338">
        <v>533</v>
      </c>
    </row>
    <row r="607" spans="1:34" ht="12" customHeight="1" x14ac:dyDescent="0.2">
      <c r="A607" s="4"/>
      <c r="B607" s="745" t="s">
        <v>850</v>
      </c>
      <c r="C607" s="782"/>
      <c r="D607" s="782"/>
      <c r="E607" s="782"/>
      <c r="F607" s="270">
        <f>6.6*X2</f>
        <v>10164</v>
      </c>
      <c r="G607" s="270">
        <f t="shared" si="1841"/>
        <v>10164</v>
      </c>
      <c r="H607" s="93"/>
      <c r="I607" s="270"/>
      <c r="J607" s="93"/>
      <c r="K607" s="270"/>
      <c r="L607" s="93">
        <f t="shared" si="1843"/>
        <v>10964</v>
      </c>
      <c r="M607" s="270">
        <f t="shared" ref="M607:M611" si="1855">+L607*$X$1</f>
        <v>10964</v>
      </c>
      <c r="N607" s="93">
        <f t="shared" si="1845"/>
        <v>10864</v>
      </c>
      <c r="O607" s="270">
        <f t="shared" ref="O607:O611" si="1856">+N607*$X$1</f>
        <v>10864</v>
      </c>
      <c r="P607" s="93">
        <f t="shared" si="1847"/>
        <v>10764</v>
      </c>
      <c r="Q607" s="270">
        <f t="shared" ref="Q607:Q611" si="1857">+P607*$X$1</f>
        <v>10764</v>
      </c>
      <c r="R607" s="93">
        <f t="shared" si="1849"/>
        <v>10664</v>
      </c>
      <c r="S607" s="270">
        <f t="shared" ref="S607:S613" si="1858">+R607*$X$1</f>
        <v>10664</v>
      </c>
      <c r="T607" s="93">
        <f t="shared" si="1851"/>
        <v>10614</v>
      </c>
      <c r="U607" s="270">
        <f t="shared" ref="U607:U613" si="1859">+T607*$X$1</f>
        <v>10614</v>
      </c>
      <c r="V607" s="93">
        <f t="shared" si="1853"/>
        <v>10524</v>
      </c>
      <c r="W607" s="270">
        <f t="shared" ref="W607:W613" si="1860">+V607*$X$1</f>
        <v>10524</v>
      </c>
      <c r="X607" s="127"/>
      <c r="Y607" s="122"/>
      <c r="Z607" s="128"/>
      <c r="AA607" s="129"/>
      <c r="AB607" s="352">
        <v>556</v>
      </c>
    </row>
    <row r="608" spans="1:34" ht="12" customHeight="1" x14ac:dyDescent="0.2">
      <c r="A608" s="4"/>
      <c r="B608" s="670" t="s">
        <v>780</v>
      </c>
      <c r="C608" s="671"/>
      <c r="D608" s="671"/>
      <c r="E608" s="671"/>
      <c r="F608" s="280">
        <f>7.85*X2</f>
        <v>12089</v>
      </c>
      <c r="G608" s="280">
        <f t="shared" ref="G608" si="1861">+F608*$X$1</f>
        <v>12089</v>
      </c>
      <c r="H608" s="92"/>
      <c r="I608" s="280"/>
      <c r="J608" s="92"/>
      <c r="K608" s="280"/>
      <c r="L608" s="92"/>
      <c r="M608" s="280"/>
      <c r="N608" s="92">
        <f t="shared" si="1845"/>
        <v>12789</v>
      </c>
      <c r="O608" s="280">
        <f t="shared" si="1856"/>
        <v>12789</v>
      </c>
      <c r="P608" s="92">
        <f t="shared" si="1847"/>
        <v>12689</v>
      </c>
      <c r="Q608" s="280">
        <f t="shared" si="1857"/>
        <v>12689</v>
      </c>
      <c r="R608" s="92">
        <f t="shared" si="1849"/>
        <v>12589</v>
      </c>
      <c r="S608" s="280">
        <f t="shared" si="1858"/>
        <v>12589</v>
      </c>
      <c r="T608" s="92">
        <f t="shared" si="1851"/>
        <v>12539</v>
      </c>
      <c r="U608" s="280">
        <f t="shared" si="1859"/>
        <v>12539</v>
      </c>
      <c r="V608" s="92"/>
      <c r="W608" s="280"/>
      <c r="X608" s="127"/>
      <c r="Y608" s="122"/>
      <c r="Z608" s="128"/>
      <c r="AA608" s="129"/>
      <c r="AB608" s="352">
        <v>566</v>
      </c>
    </row>
    <row r="609" spans="1:28" ht="12" customHeight="1" x14ac:dyDescent="0.2">
      <c r="A609" s="4"/>
      <c r="B609" s="745" t="s">
        <v>781</v>
      </c>
      <c r="C609" s="782"/>
      <c r="D609" s="782"/>
      <c r="E609" s="782"/>
      <c r="F609" s="270">
        <f>9.65*X2</f>
        <v>14861</v>
      </c>
      <c r="G609" s="270">
        <f t="shared" ref="G609" si="1862">+F609*$X$1</f>
        <v>14861</v>
      </c>
      <c r="H609" s="93"/>
      <c r="I609" s="270"/>
      <c r="J609" s="93"/>
      <c r="K609" s="270"/>
      <c r="L609" s="93"/>
      <c r="M609" s="270"/>
      <c r="N609" s="93">
        <f t="shared" si="1845"/>
        <v>15561</v>
      </c>
      <c r="O609" s="270">
        <f t="shared" si="1856"/>
        <v>15561</v>
      </c>
      <c r="P609" s="93">
        <f t="shared" si="1847"/>
        <v>15461</v>
      </c>
      <c r="Q609" s="270">
        <f t="shared" si="1857"/>
        <v>15461</v>
      </c>
      <c r="R609" s="93"/>
      <c r="S609" s="270"/>
      <c r="T609" s="93"/>
      <c r="U609" s="270"/>
      <c r="V609" s="93"/>
      <c r="W609" s="270"/>
      <c r="X609" s="127"/>
      <c r="Y609" s="122"/>
      <c r="Z609" s="128"/>
      <c r="AA609" s="129"/>
      <c r="AB609" s="352">
        <v>567</v>
      </c>
    </row>
    <row r="610" spans="1:28" ht="12" customHeight="1" x14ac:dyDescent="0.2">
      <c r="A610" s="4"/>
      <c r="B610" s="670" t="s">
        <v>782</v>
      </c>
      <c r="C610" s="671"/>
      <c r="D610" s="671"/>
      <c r="E610" s="671"/>
      <c r="F610" s="280">
        <f>9.42*X2</f>
        <v>14506.8</v>
      </c>
      <c r="G610" s="280">
        <f t="shared" ref="G610" si="1863">+F610*$X$1</f>
        <v>14506.8</v>
      </c>
      <c r="H610" s="92"/>
      <c r="I610" s="280"/>
      <c r="J610" s="92"/>
      <c r="K610" s="280"/>
      <c r="L610" s="92"/>
      <c r="M610" s="280"/>
      <c r="N610" s="92">
        <f t="shared" si="1845"/>
        <v>15206.8</v>
      </c>
      <c r="O610" s="280">
        <f t="shared" si="1856"/>
        <v>15206.8</v>
      </c>
      <c r="P610" s="92">
        <f t="shared" si="1847"/>
        <v>15106.8</v>
      </c>
      <c r="Q610" s="280">
        <f t="shared" si="1857"/>
        <v>15106.8</v>
      </c>
      <c r="R610" s="92">
        <f t="shared" si="1849"/>
        <v>15006.8</v>
      </c>
      <c r="S610" s="280">
        <f t="shared" si="1858"/>
        <v>15006.8</v>
      </c>
      <c r="T610" s="92">
        <f t="shared" si="1851"/>
        <v>14956.8</v>
      </c>
      <c r="U610" s="280">
        <f t="shared" si="1859"/>
        <v>14956.8</v>
      </c>
      <c r="V610" s="92">
        <f t="shared" si="1853"/>
        <v>14866.8</v>
      </c>
      <c r="W610" s="280">
        <f t="shared" si="1860"/>
        <v>14866.8</v>
      </c>
      <c r="X610" s="127"/>
      <c r="Y610" s="122"/>
      <c r="Z610" s="128"/>
      <c r="AA610" s="129"/>
      <c r="AB610" s="352">
        <v>569</v>
      </c>
    </row>
    <row r="611" spans="1:28" ht="12" customHeight="1" x14ac:dyDescent="0.2">
      <c r="A611" s="4"/>
      <c r="B611" s="745" t="s">
        <v>672</v>
      </c>
      <c r="C611" s="782"/>
      <c r="D611" s="782"/>
      <c r="E611" s="782"/>
      <c r="F611" s="270">
        <f>18.04*X2</f>
        <v>27781.599999999999</v>
      </c>
      <c r="G611" s="270">
        <f t="shared" ref="G611:I611" si="1864">+F611*$X$1</f>
        <v>27781.599999999999</v>
      </c>
      <c r="H611" s="93">
        <f>F611+5000</f>
        <v>32781.599999999999</v>
      </c>
      <c r="I611" s="270">
        <f t="shared" si="1864"/>
        <v>32781.599999999999</v>
      </c>
      <c r="J611" s="93">
        <f>F611+1200</f>
        <v>28981.599999999999</v>
      </c>
      <c r="K611" s="270">
        <f t="shared" ref="K611" si="1865">+J611*$X$1</f>
        <v>28981.599999999999</v>
      </c>
      <c r="L611" s="93">
        <f t="shared" si="1843"/>
        <v>28581.599999999999</v>
      </c>
      <c r="M611" s="270">
        <f t="shared" si="1855"/>
        <v>28581.599999999999</v>
      </c>
      <c r="N611" s="93">
        <f t="shared" si="1845"/>
        <v>28481.599999999999</v>
      </c>
      <c r="O611" s="270">
        <f t="shared" si="1856"/>
        <v>28481.599999999999</v>
      </c>
      <c r="P611" s="93">
        <f t="shared" si="1847"/>
        <v>28381.599999999999</v>
      </c>
      <c r="Q611" s="270">
        <f t="shared" si="1857"/>
        <v>28381.599999999999</v>
      </c>
      <c r="R611" s="93">
        <f t="shared" si="1849"/>
        <v>28281.599999999999</v>
      </c>
      <c r="S611" s="270">
        <f t="shared" si="1858"/>
        <v>28281.599999999999</v>
      </c>
      <c r="T611" s="93">
        <f t="shared" si="1851"/>
        <v>28231.599999999999</v>
      </c>
      <c r="U611" s="270">
        <f t="shared" si="1859"/>
        <v>28231.599999999999</v>
      </c>
      <c r="V611" s="93">
        <f t="shared" si="1853"/>
        <v>28141.599999999999</v>
      </c>
      <c r="W611" s="270">
        <f t="shared" si="1860"/>
        <v>28141.599999999999</v>
      </c>
      <c r="X611" s="127"/>
      <c r="Y611" s="122"/>
      <c r="Z611" s="128"/>
      <c r="AA611" s="129"/>
      <c r="AB611" s="352">
        <v>570</v>
      </c>
    </row>
    <row r="612" spans="1:28" ht="12" customHeight="1" x14ac:dyDescent="0.2">
      <c r="A612" s="4"/>
      <c r="B612" s="852" t="s">
        <v>973</v>
      </c>
      <c r="C612" s="1030"/>
      <c r="D612" s="1030"/>
      <c r="E612" s="1030"/>
      <c r="F612" s="607">
        <v>20110</v>
      </c>
      <c r="G612" s="451">
        <f>+F612*$X$1</f>
        <v>20110</v>
      </c>
      <c r="H612" s="522"/>
      <c r="I612" s="450"/>
      <c r="J612" s="522"/>
      <c r="K612" s="450"/>
      <c r="L612" s="522"/>
      <c r="M612" s="450"/>
      <c r="N612" s="522">
        <f t="shared" ref="N612" si="1866">F612+700</f>
        <v>20810</v>
      </c>
      <c r="O612" s="450">
        <f t="shared" ref="O612" si="1867">+N612*$X$1</f>
        <v>20810</v>
      </c>
      <c r="P612" s="522">
        <f t="shared" ref="P612" si="1868">F612+600</f>
        <v>20710</v>
      </c>
      <c r="Q612" s="450">
        <f t="shared" ref="Q612" si="1869">+P612*$X$1</f>
        <v>20710</v>
      </c>
      <c r="R612" s="522">
        <f t="shared" ref="R612" si="1870">F612+500</f>
        <v>20610</v>
      </c>
      <c r="S612" s="450">
        <f t="shared" ref="S612" si="1871">+R612*$X$1</f>
        <v>20610</v>
      </c>
      <c r="T612" s="522">
        <f t="shared" ref="T612" si="1872">F612+450</f>
        <v>20560</v>
      </c>
      <c r="U612" s="450">
        <f t="shared" ref="U612" si="1873">+T612*$X$1</f>
        <v>20560</v>
      </c>
      <c r="V612" s="522">
        <f t="shared" ref="V612" si="1874">F612+360</f>
        <v>20470</v>
      </c>
      <c r="W612" s="450">
        <f t="shared" ref="W612" si="1875">+V612*$X$1</f>
        <v>20470</v>
      </c>
      <c r="X612" s="127"/>
      <c r="Y612" s="122"/>
      <c r="Z612" s="128"/>
      <c r="AA612" s="129"/>
      <c r="AB612" s="352" t="s">
        <v>972</v>
      </c>
    </row>
    <row r="613" spans="1:28" ht="12" customHeight="1" x14ac:dyDescent="0.2">
      <c r="A613" s="4"/>
      <c r="B613" s="745" t="s">
        <v>847</v>
      </c>
      <c r="C613" s="782"/>
      <c r="D613" s="782"/>
      <c r="E613" s="782"/>
      <c r="F613" s="435">
        <v>3980</v>
      </c>
      <c r="G613" s="270">
        <f>+F613*$X$1</f>
        <v>3980</v>
      </c>
      <c r="H613" s="93"/>
      <c r="I613" s="270"/>
      <c r="J613" s="93"/>
      <c r="K613" s="270"/>
      <c r="L613" s="93"/>
      <c r="M613" s="270"/>
      <c r="N613" s="93"/>
      <c r="O613" s="270"/>
      <c r="P613" s="93"/>
      <c r="Q613" s="270"/>
      <c r="R613" s="93">
        <f t="shared" si="1849"/>
        <v>4480</v>
      </c>
      <c r="S613" s="270">
        <f t="shared" si="1858"/>
        <v>4480</v>
      </c>
      <c r="T613" s="93">
        <f t="shared" si="1851"/>
        <v>4430</v>
      </c>
      <c r="U613" s="270">
        <f t="shared" si="1859"/>
        <v>4430</v>
      </c>
      <c r="V613" s="93">
        <f t="shared" si="1853"/>
        <v>4340</v>
      </c>
      <c r="W613" s="270">
        <f t="shared" si="1860"/>
        <v>4340</v>
      </c>
      <c r="X613" s="127"/>
      <c r="Y613" s="122"/>
      <c r="Z613" s="128"/>
      <c r="AA613" s="129"/>
      <c r="AB613" s="338">
        <v>572</v>
      </c>
    </row>
    <row r="614" spans="1:28" ht="12" customHeight="1" x14ac:dyDescent="0.2">
      <c r="A614" s="4"/>
      <c r="B614" s="670" t="s">
        <v>846</v>
      </c>
      <c r="C614" s="671"/>
      <c r="D614" s="671"/>
      <c r="E614" s="671"/>
      <c r="F614" s="280">
        <f>2*X2</f>
        <v>3080</v>
      </c>
      <c r="G614" s="280">
        <f t="shared" ref="G614" si="1876">+F614*$X$1</f>
        <v>3080</v>
      </c>
      <c r="H614" s="92"/>
      <c r="I614" s="280"/>
      <c r="J614" s="92"/>
      <c r="K614" s="280"/>
      <c r="L614" s="92"/>
      <c r="M614" s="280"/>
      <c r="N614" s="92">
        <f t="shared" ref="N614:N628" si="1877">F614+700</f>
        <v>3780</v>
      </c>
      <c r="O614" s="280">
        <f t="shared" ref="O614:O615" si="1878">+N614*$X$1</f>
        <v>3780</v>
      </c>
      <c r="P614" s="92">
        <f t="shared" ref="P614:P628" si="1879">F614+600</f>
        <v>3680</v>
      </c>
      <c r="Q614" s="280">
        <f t="shared" ref="Q614:Q615" si="1880">+P614*$X$1</f>
        <v>3680</v>
      </c>
      <c r="R614" s="92">
        <f t="shared" si="1849"/>
        <v>3580</v>
      </c>
      <c r="S614" s="280">
        <f t="shared" ref="S614:S615" si="1881">+R614*$X$1</f>
        <v>3580</v>
      </c>
      <c r="T614" s="92">
        <f t="shared" si="1851"/>
        <v>3530</v>
      </c>
      <c r="U614" s="280">
        <f t="shared" ref="U614:U615" si="1882">+T614*$X$1</f>
        <v>3530</v>
      </c>
      <c r="V614" s="92">
        <f t="shared" si="1853"/>
        <v>3440</v>
      </c>
      <c r="W614" s="280">
        <f t="shared" ref="W614:W615" si="1883">+V614*$X$1</f>
        <v>3440</v>
      </c>
      <c r="X614" s="127"/>
      <c r="Y614" s="122"/>
      <c r="Z614" s="128"/>
      <c r="AA614" s="129"/>
      <c r="AB614" s="338" t="s">
        <v>706</v>
      </c>
    </row>
    <row r="615" spans="1:28" ht="12" customHeight="1" x14ac:dyDescent="0.2">
      <c r="A615" s="4"/>
      <c r="B615" s="745" t="s">
        <v>801</v>
      </c>
      <c r="C615" s="782"/>
      <c r="D615" s="782"/>
      <c r="E615" s="782"/>
      <c r="F615" s="270">
        <f>1.2*X2</f>
        <v>1848</v>
      </c>
      <c r="G615" s="270">
        <f t="shared" ref="G615" si="1884">+F615*$X$1</f>
        <v>1848</v>
      </c>
      <c r="H615" s="93"/>
      <c r="I615" s="270"/>
      <c r="J615" s="93"/>
      <c r="K615" s="270"/>
      <c r="L615" s="93"/>
      <c r="M615" s="270"/>
      <c r="N615" s="93">
        <f t="shared" si="1877"/>
        <v>2548</v>
      </c>
      <c r="O615" s="270">
        <f t="shared" si="1878"/>
        <v>2548</v>
      </c>
      <c r="P615" s="93">
        <f t="shared" si="1879"/>
        <v>2448</v>
      </c>
      <c r="Q615" s="270">
        <f t="shared" si="1880"/>
        <v>2448</v>
      </c>
      <c r="R615" s="93">
        <f t="shared" si="1849"/>
        <v>2348</v>
      </c>
      <c r="S615" s="270">
        <f t="shared" si="1881"/>
        <v>2348</v>
      </c>
      <c r="T615" s="93">
        <f t="shared" si="1851"/>
        <v>2298</v>
      </c>
      <c r="U615" s="270">
        <f t="shared" si="1882"/>
        <v>2298</v>
      </c>
      <c r="V615" s="93">
        <f t="shared" si="1853"/>
        <v>2208</v>
      </c>
      <c r="W615" s="270">
        <f t="shared" si="1883"/>
        <v>2208</v>
      </c>
      <c r="X615" s="127"/>
      <c r="Y615" s="122"/>
      <c r="Z615" s="128"/>
      <c r="AA615" s="129"/>
      <c r="AB615" s="338">
        <v>575</v>
      </c>
    </row>
    <row r="616" spans="1:28" ht="12" customHeight="1" x14ac:dyDescent="0.2">
      <c r="A616" s="4"/>
      <c r="B616" s="670" t="s">
        <v>663</v>
      </c>
      <c r="C616" s="671"/>
      <c r="D616" s="671"/>
      <c r="E616" s="671"/>
      <c r="F616" s="570">
        <v>16100</v>
      </c>
      <c r="G616" s="280">
        <f t="shared" ref="G616:G617" si="1885">+F616*$X$1</f>
        <v>16100</v>
      </c>
      <c r="H616" s="92"/>
      <c r="I616" s="280"/>
      <c r="J616" s="92"/>
      <c r="K616" s="280"/>
      <c r="L616" s="92">
        <f t="shared" ref="L616:L628" si="1886">F616+800</f>
        <v>16900</v>
      </c>
      <c r="M616" s="280">
        <f t="shared" ref="M616:M621" si="1887">+L616*$X$1</f>
        <v>16900</v>
      </c>
      <c r="N616" s="92">
        <f t="shared" si="1877"/>
        <v>16800</v>
      </c>
      <c r="O616" s="280">
        <f t="shared" ref="O616:O621" si="1888">+N616*$X$1</f>
        <v>16800</v>
      </c>
      <c r="P616" s="92">
        <f t="shared" si="1879"/>
        <v>16700</v>
      </c>
      <c r="Q616" s="280">
        <f t="shared" ref="Q616:Q621" si="1889">+P616*$X$1</f>
        <v>16700</v>
      </c>
      <c r="R616" s="92">
        <f t="shared" si="1849"/>
        <v>16600</v>
      </c>
      <c r="S616" s="280">
        <f t="shared" ref="S616:S621" si="1890">+R616*$X$1</f>
        <v>16600</v>
      </c>
      <c r="T616" s="92">
        <f t="shared" si="1851"/>
        <v>16550</v>
      </c>
      <c r="U616" s="280">
        <f t="shared" ref="U616:U621" si="1891">+T616*$X$1</f>
        <v>16550</v>
      </c>
      <c r="V616" s="92">
        <f t="shared" si="1853"/>
        <v>16460</v>
      </c>
      <c r="W616" s="280">
        <f t="shared" ref="W616:W621" si="1892">+V616*$X$1</f>
        <v>16460</v>
      </c>
      <c r="X616" s="127"/>
      <c r="Y616" s="122"/>
      <c r="Z616" s="128"/>
      <c r="AA616" s="129"/>
      <c r="AB616" s="338">
        <v>577</v>
      </c>
    </row>
    <row r="617" spans="1:28" ht="12" customHeight="1" x14ac:dyDescent="0.2">
      <c r="A617" s="4"/>
      <c r="B617" s="705" t="s">
        <v>935</v>
      </c>
      <c r="C617" s="706"/>
      <c r="D617" s="706"/>
      <c r="E617" s="706"/>
      <c r="F617" s="270">
        <f>8.35*X2</f>
        <v>12859</v>
      </c>
      <c r="G617" s="270">
        <f t="shared" si="1885"/>
        <v>12859</v>
      </c>
      <c r="H617" s="93"/>
      <c r="I617" s="270"/>
      <c r="J617" s="93"/>
      <c r="K617" s="270"/>
      <c r="L617" s="93">
        <f t="shared" si="1886"/>
        <v>13659</v>
      </c>
      <c r="M617" s="270">
        <f t="shared" si="1887"/>
        <v>13659</v>
      </c>
      <c r="N617" s="93">
        <f t="shared" si="1877"/>
        <v>13559</v>
      </c>
      <c r="O617" s="270">
        <f t="shared" si="1888"/>
        <v>13559</v>
      </c>
      <c r="P617" s="93">
        <f t="shared" si="1879"/>
        <v>13459</v>
      </c>
      <c r="Q617" s="270">
        <f t="shared" si="1889"/>
        <v>13459</v>
      </c>
      <c r="R617" s="93">
        <f t="shared" ref="R617" si="1893">F617+500</f>
        <v>13359</v>
      </c>
      <c r="S617" s="270">
        <f t="shared" si="1890"/>
        <v>13359</v>
      </c>
      <c r="T617" s="93">
        <f t="shared" ref="T617" si="1894">F617+450</f>
        <v>13309</v>
      </c>
      <c r="U617" s="270">
        <f t="shared" si="1891"/>
        <v>13309</v>
      </c>
      <c r="V617" s="93">
        <f t="shared" ref="V617" si="1895">F617+360</f>
        <v>13219</v>
      </c>
      <c r="W617" s="270">
        <f t="shared" si="1892"/>
        <v>13219</v>
      </c>
      <c r="X617" s="127"/>
      <c r="Y617" s="122"/>
      <c r="Z617" s="128"/>
      <c r="AA617" s="129"/>
      <c r="AB617" s="352">
        <v>579</v>
      </c>
    </row>
    <row r="618" spans="1:28" ht="12" customHeight="1" x14ac:dyDescent="0.2">
      <c r="A618" s="4"/>
      <c r="B618" s="657" t="s">
        <v>662</v>
      </c>
      <c r="C618" s="658"/>
      <c r="D618" s="658"/>
      <c r="E618" s="658"/>
      <c r="F618" s="280">
        <f>25.1*X2</f>
        <v>38654</v>
      </c>
      <c r="G618" s="280">
        <f t="shared" ref="G618:G625" si="1896">+F618*$X$1</f>
        <v>38654</v>
      </c>
      <c r="H618" s="92">
        <f>F618+5000</f>
        <v>43654</v>
      </c>
      <c r="I618" s="280">
        <f t="shared" ref="I618:I621" si="1897">+H618*$X$1</f>
        <v>43654</v>
      </c>
      <c r="J618" s="92">
        <f t="shared" ref="J618:J624" si="1898">F618+1200</f>
        <v>39854</v>
      </c>
      <c r="K618" s="280">
        <f t="shared" ref="K618:K621" si="1899">+J618*$X$1</f>
        <v>39854</v>
      </c>
      <c r="L618" s="92">
        <f t="shared" si="1886"/>
        <v>39454</v>
      </c>
      <c r="M618" s="280">
        <f t="shared" si="1887"/>
        <v>39454</v>
      </c>
      <c r="N618" s="92">
        <f t="shared" si="1877"/>
        <v>39354</v>
      </c>
      <c r="O618" s="280">
        <f t="shared" si="1888"/>
        <v>39354</v>
      </c>
      <c r="P618" s="92">
        <f t="shared" si="1879"/>
        <v>39254</v>
      </c>
      <c r="Q618" s="280">
        <f t="shared" si="1889"/>
        <v>39254</v>
      </c>
      <c r="R618" s="92">
        <f t="shared" si="1849"/>
        <v>39154</v>
      </c>
      <c r="S618" s="280">
        <f t="shared" si="1890"/>
        <v>39154</v>
      </c>
      <c r="T618" s="92">
        <f t="shared" si="1851"/>
        <v>39104</v>
      </c>
      <c r="U618" s="280">
        <f t="shared" si="1891"/>
        <v>39104</v>
      </c>
      <c r="V618" s="92">
        <f t="shared" si="1853"/>
        <v>39014</v>
      </c>
      <c r="W618" s="280">
        <f t="shared" si="1892"/>
        <v>39014</v>
      </c>
      <c r="X618" s="127"/>
      <c r="Y618" s="122"/>
      <c r="Z618" s="128"/>
      <c r="AA618" s="129"/>
      <c r="AB618" s="338">
        <v>580</v>
      </c>
    </row>
    <row r="619" spans="1:28" ht="12" customHeight="1" x14ac:dyDescent="0.2">
      <c r="A619" s="4"/>
      <c r="B619" s="678" t="s">
        <v>661</v>
      </c>
      <c r="C619" s="682"/>
      <c r="D619" s="682"/>
      <c r="E619" s="682"/>
      <c r="F619" s="283">
        <f>21.83*X2</f>
        <v>33618.199999999997</v>
      </c>
      <c r="G619" s="255">
        <f t="shared" si="1896"/>
        <v>33618.199999999997</v>
      </c>
      <c r="H619" s="93">
        <f>F619+5000</f>
        <v>38618.199999999997</v>
      </c>
      <c r="I619" s="270">
        <f t="shared" si="1897"/>
        <v>38618.199999999997</v>
      </c>
      <c r="J619" s="93">
        <f t="shared" si="1898"/>
        <v>34818.199999999997</v>
      </c>
      <c r="K619" s="270">
        <f t="shared" si="1899"/>
        <v>34818.199999999997</v>
      </c>
      <c r="L619" s="93">
        <f t="shared" si="1886"/>
        <v>34418.199999999997</v>
      </c>
      <c r="M619" s="270">
        <f t="shared" si="1887"/>
        <v>34418.199999999997</v>
      </c>
      <c r="N619" s="93">
        <f t="shared" si="1877"/>
        <v>34318.199999999997</v>
      </c>
      <c r="O619" s="270">
        <f t="shared" si="1888"/>
        <v>34318.199999999997</v>
      </c>
      <c r="P619" s="93">
        <f t="shared" si="1879"/>
        <v>34218.199999999997</v>
      </c>
      <c r="Q619" s="270">
        <f t="shared" si="1889"/>
        <v>34218.199999999997</v>
      </c>
      <c r="R619" s="93">
        <f t="shared" si="1849"/>
        <v>34118.199999999997</v>
      </c>
      <c r="S619" s="270">
        <f t="shared" si="1890"/>
        <v>34118.199999999997</v>
      </c>
      <c r="T619" s="93">
        <f t="shared" si="1851"/>
        <v>34068.199999999997</v>
      </c>
      <c r="U619" s="270">
        <f t="shared" si="1891"/>
        <v>34068.199999999997</v>
      </c>
      <c r="V619" s="93">
        <f t="shared" si="1853"/>
        <v>33978.199999999997</v>
      </c>
      <c r="W619" s="270">
        <f t="shared" si="1892"/>
        <v>33978.199999999997</v>
      </c>
      <c r="X619" s="127"/>
      <c r="Y619" s="122"/>
      <c r="Z619" s="128"/>
      <c r="AA619" s="129"/>
      <c r="AB619" s="338">
        <v>582</v>
      </c>
    </row>
    <row r="620" spans="1:28" ht="12" customHeight="1" x14ac:dyDescent="0.2">
      <c r="A620" s="4"/>
      <c r="B620" s="657" t="s">
        <v>660</v>
      </c>
      <c r="C620" s="658"/>
      <c r="D620" s="658"/>
      <c r="E620" s="658"/>
      <c r="F620" s="570">
        <v>31800</v>
      </c>
      <c r="G620" s="280">
        <f t="shared" si="1896"/>
        <v>31800</v>
      </c>
      <c r="H620" s="92">
        <f>F620+5000</f>
        <v>36800</v>
      </c>
      <c r="I620" s="280">
        <f t="shared" si="1897"/>
        <v>36800</v>
      </c>
      <c r="J620" s="92">
        <f t="shared" si="1898"/>
        <v>33000</v>
      </c>
      <c r="K620" s="280">
        <f t="shared" si="1899"/>
        <v>33000</v>
      </c>
      <c r="L620" s="92">
        <f t="shared" si="1886"/>
        <v>32600</v>
      </c>
      <c r="M620" s="280">
        <f t="shared" si="1887"/>
        <v>32600</v>
      </c>
      <c r="N620" s="92">
        <f t="shared" si="1877"/>
        <v>32500</v>
      </c>
      <c r="O620" s="280">
        <f t="shared" si="1888"/>
        <v>32500</v>
      </c>
      <c r="P620" s="92">
        <f t="shared" si="1879"/>
        <v>32400</v>
      </c>
      <c r="Q620" s="280">
        <f t="shared" si="1889"/>
        <v>32400</v>
      </c>
      <c r="R620" s="92">
        <f t="shared" si="1849"/>
        <v>32300</v>
      </c>
      <c r="S620" s="280">
        <f t="shared" si="1890"/>
        <v>32300</v>
      </c>
      <c r="T620" s="92">
        <f t="shared" si="1851"/>
        <v>32250</v>
      </c>
      <c r="U620" s="280">
        <f t="shared" si="1891"/>
        <v>32250</v>
      </c>
      <c r="V620" s="92">
        <f t="shared" si="1853"/>
        <v>32160</v>
      </c>
      <c r="W620" s="280">
        <f t="shared" si="1892"/>
        <v>32160</v>
      </c>
      <c r="X620" s="127"/>
      <c r="Y620" s="122"/>
      <c r="Z620" s="128"/>
      <c r="AA620" s="129"/>
      <c r="AB620" s="338">
        <v>584</v>
      </c>
    </row>
    <row r="621" spans="1:28" ht="12" customHeight="1" x14ac:dyDescent="0.2">
      <c r="A621" s="4"/>
      <c r="B621" s="731" t="s">
        <v>707</v>
      </c>
      <c r="C621" s="732"/>
      <c r="D621" s="732"/>
      <c r="E621" s="733"/>
      <c r="F621" s="283">
        <f>21.1*X2</f>
        <v>32494.000000000004</v>
      </c>
      <c r="G621" s="255">
        <f t="shared" si="1896"/>
        <v>32494.000000000004</v>
      </c>
      <c r="H621" s="93">
        <f>F621+5000</f>
        <v>37494</v>
      </c>
      <c r="I621" s="270">
        <f t="shared" si="1897"/>
        <v>37494</v>
      </c>
      <c r="J621" s="93">
        <f t="shared" si="1898"/>
        <v>33694</v>
      </c>
      <c r="K621" s="270">
        <f t="shared" si="1899"/>
        <v>33694</v>
      </c>
      <c r="L621" s="93">
        <f t="shared" si="1886"/>
        <v>33294</v>
      </c>
      <c r="M621" s="270">
        <f t="shared" si="1887"/>
        <v>33294</v>
      </c>
      <c r="N621" s="93">
        <f t="shared" si="1877"/>
        <v>33194</v>
      </c>
      <c r="O621" s="270">
        <f t="shared" si="1888"/>
        <v>33194</v>
      </c>
      <c r="P621" s="93">
        <f t="shared" si="1879"/>
        <v>33094</v>
      </c>
      <c r="Q621" s="270">
        <f t="shared" si="1889"/>
        <v>33094</v>
      </c>
      <c r="R621" s="93">
        <f t="shared" si="1849"/>
        <v>32994</v>
      </c>
      <c r="S621" s="270">
        <f t="shared" si="1890"/>
        <v>32994</v>
      </c>
      <c r="T621" s="93">
        <f t="shared" si="1851"/>
        <v>32944</v>
      </c>
      <c r="U621" s="270">
        <f t="shared" si="1891"/>
        <v>32944</v>
      </c>
      <c r="V621" s="93">
        <f t="shared" si="1853"/>
        <v>32854</v>
      </c>
      <c r="W621" s="270">
        <f t="shared" si="1892"/>
        <v>32854</v>
      </c>
      <c r="X621" s="127"/>
      <c r="Y621" s="122"/>
      <c r="Z621" s="128"/>
      <c r="AA621" s="129"/>
      <c r="AB621" s="338">
        <v>586</v>
      </c>
    </row>
    <row r="622" spans="1:28" ht="12" customHeight="1" x14ac:dyDescent="0.2">
      <c r="A622" s="4"/>
      <c r="B622" s="675" t="s">
        <v>789</v>
      </c>
      <c r="C622" s="676"/>
      <c r="D622" s="676"/>
      <c r="E622" s="677"/>
      <c r="F622" s="282">
        <f>2.9*X2</f>
        <v>4466</v>
      </c>
      <c r="G622" s="256">
        <f t="shared" si="1896"/>
        <v>4466</v>
      </c>
      <c r="H622" s="92">
        <f>F622+5000</f>
        <v>9466</v>
      </c>
      <c r="I622" s="280">
        <f t="shared" ref="I622:I623" si="1900">+H622*$X$1</f>
        <v>9466</v>
      </c>
      <c r="J622" s="92">
        <f t="shared" si="1898"/>
        <v>5666</v>
      </c>
      <c r="K622" s="280">
        <f t="shared" ref="K622:K623" si="1901">+J622*$X$1</f>
        <v>5666</v>
      </c>
      <c r="L622" s="92">
        <f t="shared" si="1886"/>
        <v>5266</v>
      </c>
      <c r="M622" s="280">
        <f t="shared" ref="M622:M624" si="1902">+L622*$X$1</f>
        <v>5266</v>
      </c>
      <c r="N622" s="92">
        <f t="shared" si="1877"/>
        <v>5166</v>
      </c>
      <c r="O622" s="280">
        <f t="shared" ref="O622:O624" si="1903">+N622*$X$1</f>
        <v>5166</v>
      </c>
      <c r="P622" s="92">
        <f t="shared" si="1879"/>
        <v>5066</v>
      </c>
      <c r="Q622" s="280">
        <f t="shared" ref="Q622:Q624" si="1904">+P622*$X$1</f>
        <v>5066</v>
      </c>
      <c r="R622" s="92">
        <f t="shared" si="1849"/>
        <v>4966</v>
      </c>
      <c r="S622" s="280">
        <f t="shared" ref="S622:S624" si="1905">+R622*$X$1</f>
        <v>4966</v>
      </c>
      <c r="T622" s="92">
        <f t="shared" si="1851"/>
        <v>4916</v>
      </c>
      <c r="U622" s="280">
        <f t="shared" ref="U622:U624" si="1906">+T622*$X$1</f>
        <v>4916</v>
      </c>
      <c r="V622" s="92">
        <f t="shared" si="1853"/>
        <v>4826</v>
      </c>
      <c r="W622" s="280">
        <f t="shared" ref="W622:W624" si="1907">+V622*$X$1</f>
        <v>4826</v>
      </c>
      <c r="X622" s="127"/>
      <c r="Y622" s="122"/>
      <c r="Z622" s="128"/>
      <c r="AA622" s="129"/>
      <c r="AB622" s="178">
        <v>593</v>
      </c>
    </row>
    <row r="623" spans="1:28" ht="12" customHeight="1" x14ac:dyDescent="0.2">
      <c r="A623" s="4"/>
      <c r="B623" s="672" t="s">
        <v>884</v>
      </c>
      <c r="C623" s="673"/>
      <c r="D623" s="673"/>
      <c r="E623" s="674"/>
      <c r="F623" s="255">
        <f>14.43*X2</f>
        <v>22222.2</v>
      </c>
      <c r="G623" s="255">
        <f t="shared" si="1896"/>
        <v>22222.2</v>
      </c>
      <c r="H623" s="93">
        <f t="shared" ref="H623" si="1908">F623+5000</f>
        <v>27222.2</v>
      </c>
      <c r="I623" s="270">
        <f t="shared" si="1900"/>
        <v>27222.2</v>
      </c>
      <c r="J623" s="93">
        <f t="shared" si="1898"/>
        <v>23422.2</v>
      </c>
      <c r="K623" s="270">
        <f t="shared" si="1901"/>
        <v>23422.2</v>
      </c>
      <c r="L623" s="93">
        <f t="shared" si="1886"/>
        <v>23022.2</v>
      </c>
      <c r="M623" s="270">
        <f t="shared" si="1902"/>
        <v>23022.2</v>
      </c>
      <c r="N623" s="93">
        <f t="shared" si="1877"/>
        <v>22922.2</v>
      </c>
      <c r="O623" s="270">
        <f t="shared" si="1903"/>
        <v>22922.2</v>
      </c>
      <c r="P623" s="93">
        <f t="shared" si="1879"/>
        <v>22822.2</v>
      </c>
      <c r="Q623" s="270">
        <f t="shared" si="1904"/>
        <v>22822.2</v>
      </c>
      <c r="R623" s="93">
        <f t="shared" si="1849"/>
        <v>22722.2</v>
      </c>
      <c r="S623" s="270">
        <f t="shared" si="1905"/>
        <v>22722.2</v>
      </c>
      <c r="T623" s="93">
        <f t="shared" si="1851"/>
        <v>22672.2</v>
      </c>
      <c r="U623" s="270">
        <f t="shared" si="1906"/>
        <v>22672.2</v>
      </c>
      <c r="V623" s="93">
        <f t="shared" si="1853"/>
        <v>22582.2</v>
      </c>
      <c r="W623" s="270">
        <f t="shared" si="1907"/>
        <v>22582.2</v>
      </c>
      <c r="X623" s="127"/>
      <c r="Y623" s="122"/>
      <c r="Z623" s="128"/>
      <c r="AA623" s="129"/>
      <c r="AB623" s="338">
        <v>598</v>
      </c>
    </row>
    <row r="624" spans="1:28" ht="12" customHeight="1" x14ac:dyDescent="0.2">
      <c r="A624" s="4"/>
      <c r="B624" s="675" t="s">
        <v>671</v>
      </c>
      <c r="C624" s="676"/>
      <c r="D624" s="676"/>
      <c r="E624" s="677"/>
      <c r="F624" s="608">
        <v>29480</v>
      </c>
      <c r="G624" s="256">
        <f t="shared" si="1896"/>
        <v>29480</v>
      </c>
      <c r="H624" s="92"/>
      <c r="I624" s="280"/>
      <c r="J624" s="92">
        <f t="shared" si="1898"/>
        <v>30680</v>
      </c>
      <c r="K624" s="280">
        <f t="shared" ref="K624" si="1909">+J624*$X$1</f>
        <v>30680</v>
      </c>
      <c r="L624" s="92">
        <f t="shared" si="1886"/>
        <v>30280</v>
      </c>
      <c r="M624" s="280">
        <f t="shared" si="1902"/>
        <v>30280</v>
      </c>
      <c r="N624" s="92">
        <f t="shared" si="1877"/>
        <v>30180</v>
      </c>
      <c r="O624" s="280">
        <f t="shared" si="1903"/>
        <v>30180</v>
      </c>
      <c r="P624" s="92">
        <f t="shared" si="1879"/>
        <v>30080</v>
      </c>
      <c r="Q624" s="280">
        <f t="shared" si="1904"/>
        <v>30080</v>
      </c>
      <c r="R624" s="92">
        <f t="shared" si="1849"/>
        <v>29980</v>
      </c>
      <c r="S624" s="280">
        <f t="shared" si="1905"/>
        <v>29980</v>
      </c>
      <c r="T624" s="92">
        <f t="shared" si="1851"/>
        <v>29930</v>
      </c>
      <c r="U624" s="280">
        <f t="shared" si="1906"/>
        <v>29930</v>
      </c>
      <c r="V624" s="92">
        <f t="shared" si="1853"/>
        <v>29840</v>
      </c>
      <c r="W624" s="280">
        <f t="shared" si="1907"/>
        <v>29840</v>
      </c>
      <c r="X624" s="127"/>
      <c r="Y624" s="122"/>
      <c r="Z624" s="128"/>
      <c r="AA624" s="129"/>
      <c r="AB624" s="338">
        <v>599</v>
      </c>
    </row>
    <row r="625" spans="1:34" ht="12" customHeight="1" x14ac:dyDescent="0.2">
      <c r="A625" s="4"/>
      <c r="B625" s="731" t="s">
        <v>659</v>
      </c>
      <c r="C625" s="732"/>
      <c r="D625" s="732"/>
      <c r="E625" s="733"/>
      <c r="F625" s="255">
        <f>17.65*X2</f>
        <v>27180.999999999996</v>
      </c>
      <c r="G625" s="255">
        <f t="shared" si="1896"/>
        <v>27180.999999999996</v>
      </c>
      <c r="H625" s="93">
        <f>F625+5000</f>
        <v>32180.999999999996</v>
      </c>
      <c r="I625" s="270">
        <f t="shared" ref="I625:I628" si="1910">+H625*$X$1</f>
        <v>32180.999999999996</v>
      </c>
      <c r="J625" s="93">
        <f t="shared" ref="J625:J635" si="1911">F625+1200</f>
        <v>28380.999999999996</v>
      </c>
      <c r="K625" s="270">
        <f t="shared" ref="K625:K628" si="1912">+J625*$X$1</f>
        <v>28380.999999999996</v>
      </c>
      <c r="L625" s="93">
        <f t="shared" si="1886"/>
        <v>27980.999999999996</v>
      </c>
      <c r="M625" s="270">
        <f t="shared" ref="M625:M628" si="1913">+L625*$X$1</f>
        <v>27980.999999999996</v>
      </c>
      <c r="N625" s="93">
        <f t="shared" si="1877"/>
        <v>27880.999999999996</v>
      </c>
      <c r="O625" s="270">
        <f t="shared" ref="O625:O628" si="1914">+N625*$X$1</f>
        <v>27880.999999999996</v>
      </c>
      <c r="P625" s="93">
        <f t="shared" si="1879"/>
        <v>27780.999999999996</v>
      </c>
      <c r="Q625" s="270">
        <f t="shared" ref="Q625:Q628" si="1915">+P625*$X$1</f>
        <v>27780.999999999996</v>
      </c>
      <c r="R625" s="93">
        <f t="shared" si="1849"/>
        <v>27680.999999999996</v>
      </c>
      <c r="S625" s="270">
        <f t="shared" ref="S625:S628" si="1916">+R625*$X$1</f>
        <v>27680.999999999996</v>
      </c>
      <c r="T625" s="93">
        <f t="shared" si="1851"/>
        <v>27630.999999999996</v>
      </c>
      <c r="U625" s="270">
        <f t="shared" ref="U625:U628" si="1917">+T625*$X$1</f>
        <v>27630.999999999996</v>
      </c>
      <c r="V625" s="93">
        <f t="shared" si="1853"/>
        <v>27540.999999999996</v>
      </c>
      <c r="W625" s="270">
        <f t="shared" ref="W625:W628" si="1918">+V625*$X$1</f>
        <v>27540.999999999996</v>
      </c>
      <c r="X625" s="127"/>
      <c r="Y625" s="122"/>
      <c r="Z625" s="128"/>
      <c r="AA625" s="129"/>
      <c r="AB625" s="338">
        <v>600</v>
      </c>
    </row>
    <row r="626" spans="1:34" ht="12" customHeight="1" x14ac:dyDescent="0.2">
      <c r="A626" s="4"/>
      <c r="B626" s="675" t="s">
        <v>788</v>
      </c>
      <c r="C626" s="676"/>
      <c r="D626" s="676"/>
      <c r="E626" s="677"/>
      <c r="F626" s="282">
        <f>51.2*X2</f>
        <v>78848</v>
      </c>
      <c r="G626" s="256">
        <f t="shared" ref="G626" si="1919">+F626*$X$1</f>
        <v>78848</v>
      </c>
      <c r="H626" s="92">
        <f>F626+5000</f>
        <v>83848</v>
      </c>
      <c r="I626" s="280">
        <f t="shared" si="1910"/>
        <v>83848</v>
      </c>
      <c r="J626" s="92">
        <f t="shared" si="1911"/>
        <v>80048</v>
      </c>
      <c r="K626" s="280">
        <f t="shared" si="1912"/>
        <v>80048</v>
      </c>
      <c r="L626" s="92">
        <f t="shared" si="1886"/>
        <v>79648</v>
      </c>
      <c r="M626" s="280">
        <f t="shared" si="1913"/>
        <v>79648</v>
      </c>
      <c r="N626" s="92">
        <f t="shared" si="1877"/>
        <v>79548</v>
      </c>
      <c r="O626" s="280">
        <f t="shared" si="1914"/>
        <v>79548</v>
      </c>
      <c r="P626" s="92">
        <f t="shared" si="1879"/>
        <v>79448</v>
      </c>
      <c r="Q626" s="280">
        <f t="shared" si="1915"/>
        <v>79448</v>
      </c>
      <c r="R626" s="92">
        <f t="shared" si="1849"/>
        <v>79348</v>
      </c>
      <c r="S626" s="280">
        <f t="shared" si="1916"/>
        <v>79348</v>
      </c>
      <c r="T626" s="92">
        <f t="shared" si="1851"/>
        <v>79298</v>
      </c>
      <c r="U626" s="280">
        <f t="shared" si="1917"/>
        <v>79298</v>
      </c>
      <c r="V626" s="92">
        <f t="shared" si="1853"/>
        <v>79208</v>
      </c>
      <c r="W626" s="280">
        <f t="shared" si="1918"/>
        <v>79208</v>
      </c>
      <c r="X626" s="127"/>
      <c r="Y626" s="122"/>
      <c r="Z626" s="128"/>
      <c r="AA626" s="129"/>
      <c r="AB626" s="338">
        <v>605</v>
      </c>
    </row>
    <row r="627" spans="1:34" ht="12" customHeight="1" x14ac:dyDescent="0.2">
      <c r="A627" s="4"/>
      <c r="B627" s="731" t="s">
        <v>779</v>
      </c>
      <c r="C627" s="732"/>
      <c r="D627" s="732"/>
      <c r="E627" s="733"/>
      <c r="F627" s="283">
        <f>46.18*X2</f>
        <v>71117.2</v>
      </c>
      <c r="G627" s="255">
        <f>+F627*$X$1</f>
        <v>71117.2</v>
      </c>
      <c r="H627" s="93">
        <f>F627+5000</f>
        <v>76117.2</v>
      </c>
      <c r="I627" s="270">
        <f t="shared" si="1910"/>
        <v>76117.2</v>
      </c>
      <c r="J627" s="93">
        <f t="shared" si="1911"/>
        <v>72317.2</v>
      </c>
      <c r="K627" s="270">
        <f t="shared" si="1912"/>
        <v>72317.2</v>
      </c>
      <c r="L627" s="93">
        <f t="shared" si="1886"/>
        <v>71917.2</v>
      </c>
      <c r="M627" s="270">
        <f t="shared" si="1913"/>
        <v>71917.2</v>
      </c>
      <c r="N627" s="93">
        <f t="shared" si="1877"/>
        <v>71817.2</v>
      </c>
      <c r="O627" s="270">
        <f t="shared" si="1914"/>
        <v>71817.2</v>
      </c>
      <c r="P627" s="93">
        <f t="shared" si="1879"/>
        <v>71717.2</v>
      </c>
      <c r="Q627" s="270">
        <f t="shared" si="1915"/>
        <v>71717.2</v>
      </c>
      <c r="R627" s="93">
        <f t="shared" si="1849"/>
        <v>71617.2</v>
      </c>
      <c r="S627" s="270">
        <f t="shared" si="1916"/>
        <v>71617.2</v>
      </c>
      <c r="T627" s="93">
        <f t="shared" si="1851"/>
        <v>71567.199999999997</v>
      </c>
      <c r="U627" s="270">
        <f t="shared" si="1917"/>
        <v>71567.199999999997</v>
      </c>
      <c r="V627" s="93">
        <f t="shared" si="1853"/>
        <v>71477.2</v>
      </c>
      <c r="W627" s="270">
        <f t="shared" si="1918"/>
        <v>71477.2</v>
      </c>
      <c r="X627" s="127"/>
      <c r="Y627" s="122"/>
      <c r="Z627" s="128"/>
      <c r="AA627" s="129"/>
      <c r="AB627" s="338">
        <v>608</v>
      </c>
    </row>
    <row r="628" spans="1:34" ht="12" customHeight="1" x14ac:dyDescent="0.2">
      <c r="A628" s="4"/>
      <c r="B628" s="675" t="s">
        <v>664</v>
      </c>
      <c r="C628" s="676"/>
      <c r="D628" s="676"/>
      <c r="E628" s="677"/>
      <c r="F628" s="282">
        <f>31.2*X2</f>
        <v>48048</v>
      </c>
      <c r="G628" s="256">
        <f t="shared" ref="G628:G629" si="1920">+F628*$X$1</f>
        <v>48048</v>
      </c>
      <c r="H628" s="92">
        <f>F628+5000</f>
        <v>53048</v>
      </c>
      <c r="I628" s="280">
        <f t="shared" si="1910"/>
        <v>53048</v>
      </c>
      <c r="J628" s="92">
        <f t="shared" si="1911"/>
        <v>49248</v>
      </c>
      <c r="K628" s="280">
        <f t="shared" si="1912"/>
        <v>49248</v>
      </c>
      <c r="L628" s="92">
        <f t="shared" si="1886"/>
        <v>48848</v>
      </c>
      <c r="M628" s="280">
        <f t="shared" si="1913"/>
        <v>48848</v>
      </c>
      <c r="N628" s="92">
        <f t="shared" si="1877"/>
        <v>48748</v>
      </c>
      <c r="O628" s="280">
        <f t="shared" si="1914"/>
        <v>48748</v>
      </c>
      <c r="P628" s="92">
        <f t="shared" si="1879"/>
        <v>48648</v>
      </c>
      <c r="Q628" s="280">
        <f t="shared" si="1915"/>
        <v>48648</v>
      </c>
      <c r="R628" s="92">
        <f t="shared" si="1849"/>
        <v>48548</v>
      </c>
      <c r="S628" s="280">
        <f t="shared" si="1916"/>
        <v>48548</v>
      </c>
      <c r="T628" s="92">
        <f t="shared" si="1851"/>
        <v>48498</v>
      </c>
      <c r="U628" s="280">
        <f t="shared" si="1917"/>
        <v>48498</v>
      </c>
      <c r="V628" s="92">
        <f t="shared" si="1853"/>
        <v>48408</v>
      </c>
      <c r="W628" s="280">
        <f t="shared" si="1918"/>
        <v>48408</v>
      </c>
      <c r="X628" s="127"/>
      <c r="Y628" s="122"/>
      <c r="Z628" s="128"/>
      <c r="AA628" s="129"/>
      <c r="AB628" s="338">
        <v>609</v>
      </c>
    </row>
    <row r="629" spans="1:34" ht="12" customHeight="1" x14ac:dyDescent="0.2">
      <c r="A629" s="4"/>
      <c r="B629" s="731" t="s">
        <v>665</v>
      </c>
      <c r="C629" s="732"/>
      <c r="D629" s="732"/>
      <c r="E629" s="733"/>
      <c r="F629" s="283">
        <f>36.2*X2</f>
        <v>55748.000000000007</v>
      </c>
      <c r="G629" s="255">
        <f t="shared" si="1920"/>
        <v>55748.000000000007</v>
      </c>
      <c r="H629" s="93">
        <f t="shared" ref="H629:H635" si="1921">F629+5000</f>
        <v>60748.000000000007</v>
      </c>
      <c r="I629" s="270">
        <f t="shared" ref="I629:I635" si="1922">+H629*$X$1</f>
        <v>60748.000000000007</v>
      </c>
      <c r="J629" s="93">
        <f t="shared" si="1911"/>
        <v>56948.000000000007</v>
      </c>
      <c r="K629" s="270">
        <f t="shared" ref="K629:K635" si="1923">+J629*$X$1</f>
        <v>56948.000000000007</v>
      </c>
      <c r="L629" s="93">
        <f t="shared" ref="L629:L635" si="1924">F629+800</f>
        <v>56548.000000000007</v>
      </c>
      <c r="M629" s="270">
        <f t="shared" ref="M629:M635" si="1925">+L629*$X$1</f>
        <v>56548.000000000007</v>
      </c>
      <c r="N629" s="93">
        <f t="shared" ref="N629:N635" si="1926">F629+700</f>
        <v>56448.000000000007</v>
      </c>
      <c r="O629" s="270">
        <f t="shared" ref="O629:O635" si="1927">+N629*$X$1</f>
        <v>56448.000000000007</v>
      </c>
      <c r="P629" s="93">
        <f t="shared" ref="P629:P635" si="1928">F629+600</f>
        <v>56348.000000000007</v>
      </c>
      <c r="Q629" s="270">
        <f t="shared" ref="Q629:Q635" si="1929">+P629*$X$1</f>
        <v>56348.000000000007</v>
      </c>
      <c r="R629" s="93">
        <f t="shared" ref="R629:R635" si="1930">F629+500</f>
        <v>56248.000000000007</v>
      </c>
      <c r="S629" s="270">
        <f t="shared" ref="S629:S635" si="1931">+R629*$X$1</f>
        <v>56248.000000000007</v>
      </c>
      <c r="T629" s="93">
        <f t="shared" ref="T629:T635" si="1932">F629+450</f>
        <v>56198.000000000007</v>
      </c>
      <c r="U629" s="270">
        <f t="shared" ref="U629:U635" si="1933">+T629*$X$1</f>
        <v>56198.000000000007</v>
      </c>
      <c r="V629" s="93">
        <f t="shared" ref="V629:V635" si="1934">F629+360</f>
        <v>56108.000000000007</v>
      </c>
      <c r="W629" s="270">
        <f t="shared" ref="W629:W635" si="1935">+V629*$X$1</f>
        <v>56108.000000000007</v>
      </c>
      <c r="X629" s="127"/>
      <c r="Y629" s="122"/>
      <c r="Z629" s="128"/>
      <c r="AA629" s="129"/>
      <c r="AB629" s="338">
        <v>611</v>
      </c>
    </row>
    <row r="630" spans="1:34" ht="12" customHeight="1" x14ac:dyDescent="0.2">
      <c r="A630" s="4"/>
      <c r="B630" s="670" t="s">
        <v>1016</v>
      </c>
      <c r="C630" s="671"/>
      <c r="D630" s="671"/>
      <c r="E630" s="671"/>
      <c r="F630" s="608">
        <v>6200</v>
      </c>
      <c r="G630" s="256">
        <f>+F630*$X$1</f>
        <v>6200</v>
      </c>
      <c r="H630" s="92"/>
      <c r="I630" s="280"/>
      <c r="J630" s="92"/>
      <c r="K630" s="280"/>
      <c r="L630" s="92"/>
      <c r="M630" s="280"/>
      <c r="N630" s="92">
        <f t="shared" si="1926"/>
        <v>6900</v>
      </c>
      <c r="O630" s="280">
        <f t="shared" si="1927"/>
        <v>6900</v>
      </c>
      <c r="P630" s="92">
        <f t="shared" si="1928"/>
        <v>6800</v>
      </c>
      <c r="Q630" s="280">
        <f t="shared" si="1929"/>
        <v>6800</v>
      </c>
      <c r="R630" s="92">
        <f t="shared" si="1930"/>
        <v>6700</v>
      </c>
      <c r="S630" s="280">
        <f t="shared" si="1931"/>
        <v>6700</v>
      </c>
      <c r="T630" s="92">
        <f t="shared" si="1932"/>
        <v>6650</v>
      </c>
      <c r="U630" s="280">
        <f t="shared" si="1933"/>
        <v>6650</v>
      </c>
      <c r="V630" s="92">
        <f t="shared" si="1934"/>
        <v>6560</v>
      </c>
      <c r="W630" s="280">
        <f t="shared" si="1935"/>
        <v>6560</v>
      </c>
      <c r="X630" s="127"/>
      <c r="Y630" s="122"/>
      <c r="Z630" s="128"/>
      <c r="AA630" s="129"/>
      <c r="AB630" s="352">
        <v>641</v>
      </c>
    </row>
    <row r="631" spans="1:34" ht="12" customHeight="1" x14ac:dyDescent="0.2">
      <c r="A631" s="4"/>
      <c r="B631" s="731" t="s">
        <v>1015</v>
      </c>
      <c r="C631" s="732"/>
      <c r="D631" s="732"/>
      <c r="E631" s="733"/>
      <c r="F631" s="283">
        <f>4.15*X2</f>
        <v>6391.0000000000009</v>
      </c>
      <c r="G631" s="255">
        <f t="shared" ref="G631" si="1936">+F631*$X$1</f>
        <v>6391.0000000000009</v>
      </c>
      <c r="H631" s="93">
        <f t="shared" si="1921"/>
        <v>11391</v>
      </c>
      <c r="I631" s="270">
        <f t="shared" si="1922"/>
        <v>11391</v>
      </c>
      <c r="J631" s="93">
        <f t="shared" si="1911"/>
        <v>7591.0000000000009</v>
      </c>
      <c r="K631" s="270">
        <f t="shared" si="1923"/>
        <v>7591.0000000000009</v>
      </c>
      <c r="L631" s="93">
        <f t="shared" si="1924"/>
        <v>7191.0000000000009</v>
      </c>
      <c r="M631" s="270">
        <f t="shared" si="1925"/>
        <v>7191.0000000000009</v>
      </c>
      <c r="N631" s="93">
        <f t="shared" si="1926"/>
        <v>7091.0000000000009</v>
      </c>
      <c r="O631" s="270">
        <f t="shared" si="1927"/>
        <v>7091.0000000000009</v>
      </c>
      <c r="P631" s="93">
        <f t="shared" si="1928"/>
        <v>6991.0000000000009</v>
      </c>
      <c r="Q631" s="270">
        <f t="shared" si="1929"/>
        <v>6991.0000000000009</v>
      </c>
      <c r="R631" s="93">
        <f t="shared" si="1930"/>
        <v>6891.0000000000009</v>
      </c>
      <c r="S631" s="270">
        <f t="shared" si="1931"/>
        <v>6891.0000000000009</v>
      </c>
      <c r="T631" s="93">
        <f t="shared" si="1932"/>
        <v>6841.0000000000009</v>
      </c>
      <c r="U631" s="270">
        <f t="shared" si="1933"/>
        <v>6841.0000000000009</v>
      </c>
      <c r="V631" s="93">
        <f t="shared" si="1934"/>
        <v>6751.0000000000009</v>
      </c>
      <c r="W631" s="270">
        <f t="shared" si="1935"/>
        <v>6751.0000000000009</v>
      </c>
      <c r="X631" s="127"/>
      <c r="Y631" s="122"/>
      <c r="Z631" s="128"/>
      <c r="AA631" s="129"/>
      <c r="AB631" s="178">
        <v>642</v>
      </c>
    </row>
    <row r="632" spans="1:34" ht="12" customHeight="1" x14ac:dyDescent="0.2">
      <c r="A632" s="4"/>
      <c r="B632" s="675" t="s">
        <v>1014</v>
      </c>
      <c r="C632" s="676"/>
      <c r="D632" s="676"/>
      <c r="E632" s="677"/>
      <c r="F632" s="282">
        <f>13.7*X2</f>
        <v>21098</v>
      </c>
      <c r="G632" s="256">
        <f t="shared" ref="G632" si="1937">+F632*$X$1</f>
        <v>21098</v>
      </c>
      <c r="H632" s="92">
        <f t="shared" si="1921"/>
        <v>26098</v>
      </c>
      <c r="I632" s="280">
        <f t="shared" si="1922"/>
        <v>26098</v>
      </c>
      <c r="J632" s="92">
        <f t="shared" si="1911"/>
        <v>22298</v>
      </c>
      <c r="K632" s="280">
        <f t="shared" si="1923"/>
        <v>22298</v>
      </c>
      <c r="L632" s="92">
        <f t="shared" si="1924"/>
        <v>21898</v>
      </c>
      <c r="M632" s="280">
        <f t="shared" si="1925"/>
        <v>21898</v>
      </c>
      <c r="N632" s="92">
        <f t="shared" si="1926"/>
        <v>21798</v>
      </c>
      <c r="O632" s="280">
        <f t="shared" si="1927"/>
        <v>21798</v>
      </c>
      <c r="P632" s="92">
        <f t="shared" si="1928"/>
        <v>21698</v>
      </c>
      <c r="Q632" s="280">
        <f t="shared" si="1929"/>
        <v>21698</v>
      </c>
      <c r="R632" s="92">
        <f t="shared" si="1930"/>
        <v>21598</v>
      </c>
      <c r="S632" s="280">
        <f t="shared" si="1931"/>
        <v>21598</v>
      </c>
      <c r="T632" s="92">
        <f t="shared" si="1932"/>
        <v>21548</v>
      </c>
      <c r="U632" s="280">
        <f t="shared" si="1933"/>
        <v>21548</v>
      </c>
      <c r="V632" s="92">
        <f t="shared" si="1934"/>
        <v>21458</v>
      </c>
      <c r="W632" s="280">
        <f t="shared" si="1935"/>
        <v>21458</v>
      </c>
      <c r="X632" s="127"/>
      <c r="Y632" s="122"/>
      <c r="Z632" s="128"/>
      <c r="AA632" s="129"/>
      <c r="AB632" s="178">
        <v>643</v>
      </c>
    </row>
    <row r="633" spans="1:34" ht="12" customHeight="1" x14ac:dyDescent="0.2">
      <c r="A633" s="4"/>
      <c r="B633" s="731" t="s">
        <v>666</v>
      </c>
      <c r="C633" s="732"/>
      <c r="D633" s="732"/>
      <c r="E633" s="733"/>
      <c r="F633" s="255">
        <f>21.5*X2</f>
        <v>33110</v>
      </c>
      <c r="G633" s="255">
        <f>+F633*$X$1</f>
        <v>33110</v>
      </c>
      <c r="H633" s="93">
        <f t="shared" si="1921"/>
        <v>38110</v>
      </c>
      <c r="I633" s="270">
        <f t="shared" si="1922"/>
        <v>38110</v>
      </c>
      <c r="J633" s="93">
        <f t="shared" si="1911"/>
        <v>34310</v>
      </c>
      <c r="K633" s="270">
        <f t="shared" si="1923"/>
        <v>34310</v>
      </c>
      <c r="L633" s="93">
        <f t="shared" si="1924"/>
        <v>33910</v>
      </c>
      <c r="M633" s="270">
        <f t="shared" si="1925"/>
        <v>33910</v>
      </c>
      <c r="N633" s="93">
        <f t="shared" si="1926"/>
        <v>33810</v>
      </c>
      <c r="O633" s="270">
        <f t="shared" si="1927"/>
        <v>33810</v>
      </c>
      <c r="P633" s="93">
        <f t="shared" si="1928"/>
        <v>33710</v>
      </c>
      <c r="Q633" s="270">
        <f t="shared" si="1929"/>
        <v>33710</v>
      </c>
      <c r="R633" s="93">
        <f t="shared" si="1930"/>
        <v>33610</v>
      </c>
      <c r="S633" s="270">
        <f t="shared" si="1931"/>
        <v>33610</v>
      </c>
      <c r="T633" s="93">
        <f t="shared" si="1932"/>
        <v>33560</v>
      </c>
      <c r="U633" s="270">
        <f t="shared" si="1933"/>
        <v>33560</v>
      </c>
      <c r="V633" s="93">
        <f t="shared" si="1934"/>
        <v>33470</v>
      </c>
      <c r="W633" s="270">
        <f t="shared" si="1935"/>
        <v>33470</v>
      </c>
      <c r="X633" s="127"/>
      <c r="Y633" s="122"/>
      <c r="Z633" s="128"/>
      <c r="AA633" s="129"/>
      <c r="AB633" s="338">
        <v>657</v>
      </c>
    </row>
    <row r="634" spans="1:34" ht="12" customHeight="1" x14ac:dyDescent="0.2">
      <c r="A634" s="4"/>
      <c r="B634" s="722" t="s">
        <v>667</v>
      </c>
      <c r="C634" s="723"/>
      <c r="D634" s="723"/>
      <c r="E634" s="724"/>
      <c r="F634" s="451">
        <f>13*X2</f>
        <v>20020</v>
      </c>
      <c r="G634" s="451">
        <f t="shared" ref="G634:G635" si="1938">+F634*$X$1</f>
        <v>20020</v>
      </c>
      <c r="H634" s="522">
        <f t="shared" si="1921"/>
        <v>25020</v>
      </c>
      <c r="I634" s="450">
        <f t="shared" si="1922"/>
        <v>25020</v>
      </c>
      <c r="J634" s="522">
        <f t="shared" si="1911"/>
        <v>21220</v>
      </c>
      <c r="K634" s="450">
        <f t="shared" si="1923"/>
        <v>21220</v>
      </c>
      <c r="L634" s="522">
        <f t="shared" si="1924"/>
        <v>20820</v>
      </c>
      <c r="M634" s="450">
        <f t="shared" si="1925"/>
        <v>20820</v>
      </c>
      <c r="N634" s="522">
        <f t="shared" si="1926"/>
        <v>20720</v>
      </c>
      <c r="O634" s="450">
        <f t="shared" si="1927"/>
        <v>20720</v>
      </c>
      <c r="P634" s="522">
        <f t="shared" si="1928"/>
        <v>20620</v>
      </c>
      <c r="Q634" s="450">
        <f t="shared" si="1929"/>
        <v>20620</v>
      </c>
      <c r="R634" s="522">
        <f t="shared" si="1930"/>
        <v>20520</v>
      </c>
      <c r="S634" s="450">
        <f t="shared" si="1931"/>
        <v>20520</v>
      </c>
      <c r="T634" s="522">
        <f t="shared" si="1932"/>
        <v>20470</v>
      </c>
      <c r="U634" s="450">
        <f t="shared" si="1933"/>
        <v>20470</v>
      </c>
      <c r="V634" s="522">
        <f t="shared" si="1934"/>
        <v>20380</v>
      </c>
      <c r="W634" s="450">
        <f t="shared" si="1935"/>
        <v>20380</v>
      </c>
      <c r="X634" s="127"/>
      <c r="Y634" s="122"/>
      <c r="Z634" s="128"/>
      <c r="AA634" s="129"/>
      <c r="AB634" s="338">
        <v>658</v>
      </c>
    </row>
    <row r="635" spans="1:34" ht="12" customHeight="1" x14ac:dyDescent="0.2">
      <c r="A635" s="4"/>
      <c r="B635" s="722" t="s">
        <v>668</v>
      </c>
      <c r="C635" s="723"/>
      <c r="D635" s="723"/>
      <c r="E635" s="724"/>
      <c r="F635" s="451">
        <f>8.3*X2</f>
        <v>12782.000000000002</v>
      </c>
      <c r="G635" s="451">
        <f t="shared" si="1938"/>
        <v>12782.000000000002</v>
      </c>
      <c r="H635" s="522">
        <f t="shared" si="1921"/>
        <v>17782</v>
      </c>
      <c r="I635" s="450">
        <f t="shared" si="1922"/>
        <v>17782</v>
      </c>
      <c r="J635" s="522">
        <f t="shared" si="1911"/>
        <v>13982.000000000002</v>
      </c>
      <c r="K635" s="450">
        <f t="shared" si="1923"/>
        <v>13982.000000000002</v>
      </c>
      <c r="L635" s="522">
        <f t="shared" si="1924"/>
        <v>13582.000000000002</v>
      </c>
      <c r="M635" s="450">
        <f t="shared" si="1925"/>
        <v>13582.000000000002</v>
      </c>
      <c r="N635" s="522">
        <f t="shared" si="1926"/>
        <v>13482.000000000002</v>
      </c>
      <c r="O635" s="450">
        <f t="shared" si="1927"/>
        <v>13482.000000000002</v>
      </c>
      <c r="P635" s="522">
        <f t="shared" si="1928"/>
        <v>13382.000000000002</v>
      </c>
      <c r="Q635" s="450">
        <f t="shared" si="1929"/>
        <v>13382.000000000002</v>
      </c>
      <c r="R635" s="522">
        <f t="shared" si="1930"/>
        <v>13282.000000000002</v>
      </c>
      <c r="S635" s="450">
        <f t="shared" si="1931"/>
        <v>13282.000000000002</v>
      </c>
      <c r="T635" s="522">
        <f t="shared" si="1932"/>
        <v>13232.000000000002</v>
      </c>
      <c r="U635" s="450">
        <f t="shared" si="1933"/>
        <v>13232.000000000002</v>
      </c>
      <c r="V635" s="522">
        <f t="shared" si="1934"/>
        <v>13142.000000000002</v>
      </c>
      <c r="W635" s="450">
        <f t="shared" si="1935"/>
        <v>13142.000000000002</v>
      </c>
      <c r="X635" s="127"/>
      <c r="Y635" s="122"/>
      <c r="Z635" s="128"/>
      <c r="AA635" s="129"/>
      <c r="AB635" s="338">
        <v>660</v>
      </c>
    </row>
    <row r="636" spans="1:34" ht="12" customHeight="1" x14ac:dyDescent="0.2">
      <c r="A636" s="71"/>
      <c r="B636" s="98"/>
      <c r="C636" s="393"/>
      <c r="D636" s="393"/>
      <c r="E636" s="393"/>
      <c r="F636" s="295"/>
      <c r="G636" s="295"/>
      <c r="H636" s="106"/>
      <c r="I636" s="295"/>
      <c r="J636" s="106"/>
      <c r="K636" s="295"/>
      <c r="L636" s="106"/>
      <c r="M636" s="295"/>
      <c r="N636" s="106"/>
      <c r="O636" s="295"/>
      <c r="P636" s="106"/>
      <c r="Q636" s="295"/>
      <c r="R636" s="106"/>
      <c r="S636" s="295"/>
      <c r="T636" s="106"/>
      <c r="U636" s="295"/>
      <c r="V636" s="106"/>
      <c r="W636" s="295"/>
      <c r="X636" s="185"/>
      <c r="Y636" s="71"/>
      <c r="Z636" s="186"/>
      <c r="AA636" s="186"/>
      <c r="AB636" s="187"/>
    </row>
    <row r="637" spans="1:34" ht="12" customHeight="1" x14ac:dyDescent="0.2">
      <c r="A637" s="71"/>
      <c r="B637" s="98"/>
      <c r="C637" s="559"/>
      <c r="D637" s="559"/>
      <c r="E637" s="559"/>
      <c r="F637" s="295"/>
      <c r="G637" s="295"/>
      <c r="H637" s="106"/>
      <c r="I637" s="295"/>
      <c r="J637" s="106"/>
      <c r="K637" s="295"/>
      <c r="L637" s="106"/>
      <c r="M637" s="295"/>
      <c r="N637" s="106"/>
      <c r="O637" s="295"/>
      <c r="P637" s="106"/>
      <c r="Q637" s="295"/>
      <c r="R637" s="106"/>
      <c r="S637" s="295"/>
      <c r="T637" s="106"/>
      <c r="U637" s="295"/>
      <c r="V637" s="106"/>
      <c r="W637" s="295"/>
      <c r="X637" s="185"/>
      <c r="Y637" s="71"/>
      <c r="Z637" s="186"/>
      <c r="AA637" s="186"/>
      <c r="AB637" s="187"/>
    </row>
    <row r="638" spans="1:34" ht="12" customHeight="1" x14ac:dyDescent="0.2">
      <c r="A638" s="71"/>
      <c r="B638" s="98"/>
      <c r="C638" s="559"/>
      <c r="D638" s="559"/>
      <c r="E638" s="559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34" ht="14.25" customHeight="1" x14ac:dyDescent="0.2">
      <c r="B639" s="761" t="s">
        <v>11</v>
      </c>
      <c r="C639" s="1038" t="s">
        <v>12</v>
      </c>
      <c r="D639" s="1039"/>
      <c r="E639" s="1039"/>
      <c r="F639" s="734" t="s">
        <v>259</v>
      </c>
      <c r="G639" s="734" t="s">
        <v>13</v>
      </c>
      <c r="H639" s="736" t="s">
        <v>731</v>
      </c>
      <c r="I639" s="736"/>
      <c r="J639" s="737"/>
      <c r="K639" s="737"/>
      <c r="L639" s="737"/>
      <c r="M639" s="737"/>
      <c r="N639" s="737"/>
      <c r="O639" s="737"/>
      <c r="P639" s="737"/>
      <c r="Q639" s="737"/>
      <c r="R639" s="737"/>
      <c r="S639" s="737"/>
      <c r="T639" s="737"/>
      <c r="U639" s="737"/>
      <c r="V639" s="737"/>
      <c r="W639" s="738"/>
      <c r="X639" s="739" t="s">
        <v>14</v>
      </c>
      <c r="Y639" s="740"/>
      <c r="Z639" s="740"/>
      <c r="AA639" s="741"/>
      <c r="AB639" s="638" t="s">
        <v>15</v>
      </c>
      <c r="AF639" s="640" t="s">
        <v>3</v>
      </c>
      <c r="AG639" s="641"/>
      <c r="AH639" s="641"/>
    </row>
    <row r="640" spans="1:34" ht="12" customHeight="1" x14ac:dyDescent="0.2">
      <c r="B640" s="762"/>
      <c r="C640" s="1040"/>
      <c r="D640" s="1040"/>
      <c r="E640" s="1040"/>
      <c r="F640" s="735"/>
      <c r="G640" s="735"/>
      <c r="H640" s="408"/>
      <c r="I640" s="409" t="s">
        <v>510</v>
      </c>
      <c r="J640" s="408"/>
      <c r="K640" s="409" t="s">
        <v>260</v>
      </c>
      <c r="L640" s="408"/>
      <c r="M640" s="409" t="s">
        <v>261</v>
      </c>
      <c r="N640" s="408"/>
      <c r="O640" s="409" t="s">
        <v>512</v>
      </c>
      <c r="P640" s="408"/>
      <c r="Q640" s="409" t="s">
        <v>17</v>
      </c>
      <c r="R640" s="408"/>
      <c r="S640" s="409" t="s">
        <v>18</v>
      </c>
      <c r="T640" s="408"/>
      <c r="U640" s="409" t="s">
        <v>19</v>
      </c>
      <c r="V640" s="408"/>
      <c r="W640" s="410" t="s">
        <v>513</v>
      </c>
      <c r="X640" s="742"/>
      <c r="Y640" s="743"/>
      <c r="Z640" s="743"/>
      <c r="AA640" s="744"/>
      <c r="AB640" s="639"/>
    </row>
    <row r="641" spans="1:28" ht="12" customHeight="1" x14ac:dyDescent="0.2">
      <c r="A641" s="4"/>
      <c r="B641" s="670" t="s">
        <v>1043</v>
      </c>
      <c r="C641" s="671"/>
      <c r="D641" s="671"/>
      <c r="E641" s="671"/>
      <c r="F641" s="608">
        <v>32560</v>
      </c>
      <c r="G641" s="256">
        <f>+F641*$X$1</f>
        <v>32560</v>
      </c>
      <c r="H641" s="92"/>
      <c r="I641" s="280"/>
      <c r="J641" s="92"/>
      <c r="K641" s="280"/>
      <c r="L641" s="92">
        <f>F641+800</f>
        <v>33360</v>
      </c>
      <c r="M641" s="280">
        <f>+L641*$X$1</f>
        <v>33360</v>
      </c>
      <c r="N641" s="92">
        <f t="shared" ref="N641" si="1939">F641+700</f>
        <v>33260</v>
      </c>
      <c r="O641" s="280">
        <f t="shared" ref="O641" si="1940">+N641*$X$1</f>
        <v>33260</v>
      </c>
      <c r="P641" s="92">
        <f t="shared" ref="P641" si="1941">F641+600</f>
        <v>33160</v>
      </c>
      <c r="Q641" s="280">
        <f t="shared" ref="Q641" si="1942">+P641*$X$1</f>
        <v>33160</v>
      </c>
      <c r="R641" s="92">
        <f t="shared" ref="R641" si="1943">F641+500</f>
        <v>33060</v>
      </c>
      <c r="S641" s="280">
        <f t="shared" ref="S641" si="1944">+R641*$X$1</f>
        <v>33060</v>
      </c>
      <c r="T641" s="92">
        <f t="shared" ref="T641" si="1945">F641+450</f>
        <v>33010</v>
      </c>
      <c r="U641" s="280">
        <f t="shared" ref="U641" si="1946">+T641*$X$1</f>
        <v>33010</v>
      </c>
      <c r="V641" s="92">
        <f t="shared" ref="V641" si="1947">F641+360</f>
        <v>32920</v>
      </c>
      <c r="W641" s="280">
        <f t="shared" ref="W641" si="1948">+V641*$X$1</f>
        <v>32920</v>
      </c>
      <c r="X641" s="127"/>
      <c r="Y641" s="122"/>
      <c r="Z641" s="128"/>
      <c r="AA641" s="129"/>
      <c r="AB641" s="352">
        <v>664</v>
      </c>
    </row>
    <row r="642" spans="1:28" ht="12" customHeight="1" x14ac:dyDescent="0.2">
      <c r="A642" s="4"/>
      <c r="B642" s="731" t="s">
        <v>689</v>
      </c>
      <c r="C642" s="732"/>
      <c r="D642" s="732"/>
      <c r="E642" s="733"/>
      <c r="F642" s="255">
        <f>18.4*X2</f>
        <v>28335.999999999996</v>
      </c>
      <c r="G642" s="255">
        <f t="shared" ref="G642:G648" si="1949">+F642*$X$1</f>
        <v>28335.999999999996</v>
      </c>
      <c r="H642" s="93">
        <f>F642+5000</f>
        <v>33336</v>
      </c>
      <c r="I642" s="270">
        <f>+H642*$X$1</f>
        <v>33336</v>
      </c>
      <c r="J642" s="93">
        <f>F642+1200</f>
        <v>29535.999999999996</v>
      </c>
      <c r="K642" s="270">
        <f>+J642*$X$1</f>
        <v>29535.999999999996</v>
      </c>
      <c r="L642" s="93">
        <f>F642+800</f>
        <v>29135.999999999996</v>
      </c>
      <c r="M642" s="270">
        <f>+L642*$X$1</f>
        <v>29135.999999999996</v>
      </c>
      <c r="N642" s="93">
        <f t="shared" ref="N642" si="1950">F642+700</f>
        <v>29035.999999999996</v>
      </c>
      <c r="O642" s="270">
        <f t="shared" ref="O642" si="1951">+N642*$X$1</f>
        <v>29035.999999999996</v>
      </c>
      <c r="P642" s="93">
        <f t="shared" ref="P642" si="1952">F642+600</f>
        <v>28935.999999999996</v>
      </c>
      <c r="Q642" s="270">
        <f t="shared" ref="Q642" si="1953">+P642*$X$1</f>
        <v>28935.999999999996</v>
      </c>
      <c r="R642" s="93">
        <f t="shared" ref="R642" si="1954">F642+500</f>
        <v>28835.999999999996</v>
      </c>
      <c r="S642" s="270">
        <f t="shared" ref="S642" si="1955">+R642*$X$1</f>
        <v>28835.999999999996</v>
      </c>
      <c r="T642" s="93">
        <f t="shared" ref="T642" si="1956">F642+450</f>
        <v>28785.999999999996</v>
      </c>
      <c r="U642" s="270">
        <f t="shared" ref="U642" si="1957">+T642*$X$1</f>
        <v>28785.999999999996</v>
      </c>
      <c r="V642" s="93">
        <f t="shared" ref="V642" si="1958">F642+360</f>
        <v>28695.999999999996</v>
      </c>
      <c r="W642" s="270">
        <f t="shared" ref="W642" si="1959">+V642*$X$1</f>
        <v>28695.999999999996</v>
      </c>
      <c r="X642" s="127"/>
      <c r="Y642" s="122"/>
      <c r="Z642" s="128"/>
      <c r="AA642" s="129"/>
      <c r="AB642" s="338">
        <v>667</v>
      </c>
    </row>
    <row r="643" spans="1:28" ht="12" customHeight="1" x14ac:dyDescent="0.2">
      <c r="A643" s="4"/>
      <c r="B643" s="675" t="s">
        <v>688</v>
      </c>
      <c r="C643" s="676"/>
      <c r="D643" s="676"/>
      <c r="E643" s="677"/>
      <c r="F643" s="256">
        <f>10.55*X2</f>
        <v>16247.000000000002</v>
      </c>
      <c r="G643" s="256">
        <f t="shared" ref="G643:G645" si="1960">+F643*$X$1</f>
        <v>16247.000000000002</v>
      </c>
      <c r="H643" s="92">
        <f>F643+5000</f>
        <v>21247</v>
      </c>
      <c r="I643" s="280">
        <f>+H643*$X$1</f>
        <v>21247</v>
      </c>
      <c r="J643" s="92">
        <f>F643+1200</f>
        <v>17447</v>
      </c>
      <c r="K643" s="280">
        <f>+J643*$X$1</f>
        <v>17447</v>
      </c>
      <c r="L643" s="92">
        <f>F643+800</f>
        <v>17047</v>
      </c>
      <c r="M643" s="280">
        <f>+L643*$X$1</f>
        <v>17047</v>
      </c>
      <c r="N643" s="92">
        <f>F643+700</f>
        <v>16947</v>
      </c>
      <c r="O643" s="280">
        <f>+N643*$X$1</f>
        <v>16947</v>
      </c>
      <c r="P643" s="92">
        <f>F643+600</f>
        <v>16847</v>
      </c>
      <c r="Q643" s="280">
        <f>+P643*$X$1</f>
        <v>16847</v>
      </c>
      <c r="R643" s="92">
        <f>F643+500</f>
        <v>16747</v>
      </c>
      <c r="S643" s="280">
        <f>+R643*$X$1</f>
        <v>16747</v>
      </c>
      <c r="T643" s="92">
        <f>F643+450</f>
        <v>16697</v>
      </c>
      <c r="U643" s="280">
        <f>+T643*$X$1</f>
        <v>16697</v>
      </c>
      <c r="V643" s="92">
        <f>F643+360</f>
        <v>16607</v>
      </c>
      <c r="W643" s="280">
        <f>+V643*$X$1</f>
        <v>16607</v>
      </c>
      <c r="X643" s="127"/>
      <c r="Y643" s="122"/>
      <c r="Z643" s="128"/>
      <c r="AA643" s="129"/>
      <c r="AB643" s="338">
        <v>668</v>
      </c>
    </row>
    <row r="644" spans="1:28" ht="12" customHeight="1" x14ac:dyDescent="0.2">
      <c r="A644" s="4"/>
      <c r="B644" s="722" t="s">
        <v>750</v>
      </c>
      <c r="C644" s="723"/>
      <c r="D644" s="723"/>
      <c r="E644" s="724"/>
      <c r="F644" s="451">
        <f>6*X2</f>
        <v>9240</v>
      </c>
      <c r="G644" s="451">
        <f t="shared" si="1960"/>
        <v>9240</v>
      </c>
      <c r="H644" s="522">
        <f>F644+5000</f>
        <v>14240</v>
      </c>
      <c r="I644" s="450">
        <f>+H644*$X$1</f>
        <v>14240</v>
      </c>
      <c r="J644" s="522">
        <f>F644+1200</f>
        <v>10440</v>
      </c>
      <c r="K644" s="450">
        <f>+J644*$X$1</f>
        <v>10440</v>
      </c>
      <c r="L644" s="522">
        <f>F644+800</f>
        <v>10040</v>
      </c>
      <c r="M644" s="450">
        <f>+L644*$X$1</f>
        <v>10040</v>
      </c>
      <c r="N644" s="522">
        <f>F644+700</f>
        <v>9940</v>
      </c>
      <c r="O644" s="450">
        <f>+N644*$X$1</f>
        <v>9940</v>
      </c>
      <c r="P644" s="522">
        <f>F644+600</f>
        <v>9840</v>
      </c>
      <c r="Q644" s="450">
        <f>+P644*$X$1</f>
        <v>9840</v>
      </c>
      <c r="R644" s="522">
        <f>F644+500</f>
        <v>9740</v>
      </c>
      <c r="S644" s="450">
        <f>+R644*$X$1</f>
        <v>9740</v>
      </c>
      <c r="T644" s="522">
        <f>F644+450</f>
        <v>9690</v>
      </c>
      <c r="U644" s="450">
        <f>+T644*$X$1</f>
        <v>9690</v>
      </c>
      <c r="V644" s="522">
        <f>F644+360</f>
        <v>9600</v>
      </c>
      <c r="W644" s="450">
        <f>+V644*$X$1</f>
        <v>9600</v>
      </c>
      <c r="X644" s="127"/>
      <c r="Y644" s="122"/>
      <c r="Z644" s="128"/>
      <c r="AA644" s="129"/>
      <c r="AB644" s="178">
        <v>675</v>
      </c>
    </row>
    <row r="645" spans="1:28" ht="12" customHeight="1" x14ac:dyDescent="0.2">
      <c r="A645" s="4"/>
      <c r="B645" s="675" t="s">
        <v>1028</v>
      </c>
      <c r="C645" s="676"/>
      <c r="D645" s="676"/>
      <c r="E645" s="677"/>
      <c r="F645" s="256">
        <f>8.31*X2</f>
        <v>12797.400000000001</v>
      </c>
      <c r="G645" s="256">
        <f t="shared" si="1960"/>
        <v>12797.400000000001</v>
      </c>
      <c r="H645" s="92">
        <f t="shared" ref="H645" si="1961">F645+5000</f>
        <v>17797.400000000001</v>
      </c>
      <c r="I645" s="280">
        <f t="shared" ref="I645" si="1962">+H645*$X$1</f>
        <v>17797.400000000001</v>
      </c>
      <c r="J645" s="92">
        <f t="shared" ref="J645" si="1963">F645+1200</f>
        <v>13997.400000000001</v>
      </c>
      <c r="K645" s="280">
        <f t="shared" ref="K645" si="1964">+J645*$X$1</f>
        <v>13997.400000000001</v>
      </c>
      <c r="L645" s="92">
        <f t="shared" ref="L645" si="1965">F645+800</f>
        <v>13597.400000000001</v>
      </c>
      <c r="M645" s="280">
        <f t="shared" ref="M645" si="1966">+L645*$X$1</f>
        <v>13597.400000000001</v>
      </c>
      <c r="N645" s="92">
        <f t="shared" ref="N645" si="1967">F645+700</f>
        <v>13497.400000000001</v>
      </c>
      <c r="O645" s="280">
        <f t="shared" ref="O645" si="1968">+N645*$X$1</f>
        <v>13497.400000000001</v>
      </c>
      <c r="P645" s="92">
        <f t="shared" ref="P645" si="1969">F645+600</f>
        <v>13397.400000000001</v>
      </c>
      <c r="Q645" s="280">
        <f t="shared" ref="Q645" si="1970">+P645*$X$1</f>
        <v>13397.400000000001</v>
      </c>
      <c r="R645" s="92">
        <f t="shared" ref="R645" si="1971">F645+500</f>
        <v>13297.400000000001</v>
      </c>
      <c r="S645" s="280">
        <f t="shared" ref="S645" si="1972">+R645*$X$1</f>
        <v>13297.400000000001</v>
      </c>
      <c r="T645" s="92">
        <f t="shared" ref="T645" si="1973">F645+450</f>
        <v>13247.400000000001</v>
      </c>
      <c r="U645" s="280">
        <f t="shared" ref="U645" si="1974">+T645*$X$1</f>
        <v>13247.400000000001</v>
      </c>
      <c r="V645" s="92">
        <f t="shared" ref="V645" si="1975">F645+360</f>
        <v>13157.400000000001</v>
      </c>
      <c r="W645" s="280">
        <f t="shared" ref="W645" si="1976">+V645*$X$1</f>
        <v>13157.400000000001</v>
      </c>
      <c r="X645" s="127"/>
      <c r="Y645" s="122"/>
      <c r="Z645" s="128"/>
      <c r="AA645" s="129"/>
      <c r="AB645" s="178">
        <v>682</v>
      </c>
    </row>
    <row r="646" spans="1:28" ht="12" customHeight="1" x14ac:dyDescent="0.2">
      <c r="A646" s="4"/>
      <c r="B646" s="722" t="s">
        <v>471</v>
      </c>
      <c r="C646" s="723"/>
      <c r="D646" s="723"/>
      <c r="E646" s="724"/>
      <c r="F646" s="451">
        <f>5.3*X2</f>
        <v>8162</v>
      </c>
      <c r="G646" s="451">
        <f t="shared" si="1949"/>
        <v>8162</v>
      </c>
      <c r="H646" s="522">
        <f>F646+5000</f>
        <v>13162</v>
      </c>
      <c r="I646" s="450">
        <f>+H646*$X$1</f>
        <v>13162</v>
      </c>
      <c r="J646" s="522">
        <f>F646+1200</f>
        <v>9362</v>
      </c>
      <c r="K646" s="450">
        <f>+J646*$X$1</f>
        <v>9362</v>
      </c>
      <c r="L646" s="522">
        <f>F646+800</f>
        <v>8962</v>
      </c>
      <c r="M646" s="450">
        <f>+L646*$X$1</f>
        <v>8962</v>
      </c>
      <c r="N646" s="522">
        <f>F646+700</f>
        <v>8862</v>
      </c>
      <c r="O646" s="450">
        <f>+N646*$X$1</f>
        <v>8862</v>
      </c>
      <c r="P646" s="522">
        <f>F646+600</f>
        <v>8762</v>
      </c>
      <c r="Q646" s="450">
        <f>+P646*$X$1</f>
        <v>8762</v>
      </c>
      <c r="R646" s="522">
        <f>F646+500</f>
        <v>8662</v>
      </c>
      <c r="S646" s="450">
        <f>+R646*$X$1</f>
        <v>8662</v>
      </c>
      <c r="T646" s="522">
        <f>F646+450</f>
        <v>8612</v>
      </c>
      <c r="U646" s="450">
        <f>+T646*$X$1</f>
        <v>8612</v>
      </c>
      <c r="V646" s="522">
        <f>F646+360</f>
        <v>8522</v>
      </c>
      <c r="W646" s="450">
        <f>+V646*$X$1</f>
        <v>8522</v>
      </c>
      <c r="X646" s="127"/>
      <c r="Y646" s="122"/>
      <c r="Z646" s="128"/>
      <c r="AA646" s="129"/>
      <c r="AB646" s="178">
        <v>686</v>
      </c>
    </row>
    <row r="647" spans="1:28" ht="12" customHeight="1" x14ac:dyDescent="0.2">
      <c r="A647" s="4"/>
      <c r="B647" s="675" t="s">
        <v>511</v>
      </c>
      <c r="C647" s="676"/>
      <c r="D647" s="676"/>
      <c r="E647" s="677"/>
      <c r="F647" s="282">
        <f>17.8*X2</f>
        <v>27412</v>
      </c>
      <c r="G647" s="256">
        <f t="shared" si="1949"/>
        <v>27412</v>
      </c>
      <c r="H647" s="92">
        <f>F647+5000</f>
        <v>32412</v>
      </c>
      <c r="I647" s="280">
        <f>+H647*$X$1</f>
        <v>32412</v>
      </c>
      <c r="J647" s="92">
        <f>F647+1200</f>
        <v>28612</v>
      </c>
      <c r="K647" s="280">
        <f>+J647*$X$1</f>
        <v>28612</v>
      </c>
      <c r="L647" s="92">
        <f>F647+800</f>
        <v>28212</v>
      </c>
      <c r="M647" s="280">
        <f>+L647*$X$1</f>
        <v>28212</v>
      </c>
      <c r="N647" s="92">
        <f>F647+700</f>
        <v>28112</v>
      </c>
      <c r="O647" s="280">
        <f>+N647*$X$1</f>
        <v>28112</v>
      </c>
      <c r="P647" s="92">
        <f>F647+600</f>
        <v>28012</v>
      </c>
      <c r="Q647" s="280">
        <f>+P647*$X$1</f>
        <v>28012</v>
      </c>
      <c r="R647" s="92">
        <f>F647+500</f>
        <v>27912</v>
      </c>
      <c r="S647" s="280">
        <f>+R647*$X$1</f>
        <v>27912</v>
      </c>
      <c r="T647" s="92">
        <f>F647+450</f>
        <v>27862</v>
      </c>
      <c r="U647" s="280">
        <f>+T647*$X$1</f>
        <v>27862</v>
      </c>
      <c r="V647" s="92">
        <f>F647+360</f>
        <v>27772</v>
      </c>
      <c r="W647" s="280">
        <f>+V647*$X$1</f>
        <v>27772</v>
      </c>
      <c r="X647" s="127"/>
      <c r="Y647" s="122"/>
      <c r="Z647" s="128"/>
      <c r="AA647" s="129"/>
      <c r="AB647" s="338">
        <v>687</v>
      </c>
    </row>
    <row r="648" spans="1:28" ht="12" customHeight="1" x14ac:dyDescent="0.2">
      <c r="A648" s="4"/>
      <c r="B648" s="722" t="s">
        <v>669</v>
      </c>
      <c r="C648" s="723"/>
      <c r="D648" s="723"/>
      <c r="E648" s="724"/>
      <c r="F648" s="525">
        <f>9.3*X2</f>
        <v>14322.000000000002</v>
      </c>
      <c r="G648" s="451">
        <f t="shared" si="1949"/>
        <v>14322.000000000002</v>
      </c>
      <c r="H648" s="522">
        <f>F648+5000</f>
        <v>19322</v>
      </c>
      <c r="I648" s="450">
        <f>+H648*$X$1</f>
        <v>19322</v>
      </c>
      <c r="J648" s="522">
        <f>F648+1200</f>
        <v>15522.000000000002</v>
      </c>
      <c r="K648" s="450">
        <f>+J648*$X$1</f>
        <v>15522.000000000002</v>
      </c>
      <c r="L648" s="522">
        <f>F648+800</f>
        <v>15122.000000000002</v>
      </c>
      <c r="M648" s="450">
        <f>+L648*$X$1</f>
        <v>15122.000000000002</v>
      </c>
      <c r="N648" s="522">
        <f>F648+700</f>
        <v>15022.000000000002</v>
      </c>
      <c r="O648" s="450">
        <f>+N648*$X$1</f>
        <v>15022.000000000002</v>
      </c>
      <c r="P648" s="522">
        <f>F648+600</f>
        <v>14922.000000000002</v>
      </c>
      <c r="Q648" s="450">
        <f>+P648*$X$1</f>
        <v>14922.000000000002</v>
      </c>
      <c r="R648" s="522">
        <f>F648+500</f>
        <v>14822.000000000002</v>
      </c>
      <c r="S648" s="450">
        <f>+R648*$X$1</f>
        <v>14822.000000000002</v>
      </c>
      <c r="T648" s="522">
        <f>F648+450</f>
        <v>14772.000000000002</v>
      </c>
      <c r="U648" s="450">
        <f>+T648*$X$1</f>
        <v>14772.000000000002</v>
      </c>
      <c r="V648" s="522">
        <f>F648+360</f>
        <v>14682.000000000002</v>
      </c>
      <c r="W648" s="450">
        <f>+V648*$X$1</f>
        <v>14682.000000000002</v>
      </c>
      <c r="X648" s="127"/>
      <c r="Y648" s="122"/>
      <c r="Z648" s="128"/>
      <c r="AA648" s="129"/>
      <c r="AB648" s="338">
        <v>694</v>
      </c>
    </row>
    <row r="649" spans="1:28" ht="12" customHeight="1" x14ac:dyDescent="0.2">
      <c r="A649" s="4"/>
      <c r="B649" s="675" t="s">
        <v>787</v>
      </c>
      <c r="C649" s="676"/>
      <c r="D649" s="676"/>
      <c r="E649" s="677"/>
      <c r="F649" s="282">
        <f>11.7*X2</f>
        <v>18018</v>
      </c>
      <c r="G649" s="256">
        <f t="shared" ref="G649" si="1977">+F649*$X$1</f>
        <v>18018</v>
      </c>
      <c r="H649" s="92">
        <f>F649+5000</f>
        <v>23018</v>
      </c>
      <c r="I649" s="280">
        <f>+H649*$X$1</f>
        <v>23018</v>
      </c>
      <c r="J649" s="92">
        <f>F649+1200</f>
        <v>19218</v>
      </c>
      <c r="K649" s="280">
        <f>+J649*$X$1</f>
        <v>19218</v>
      </c>
      <c r="L649" s="92">
        <f>F649+800</f>
        <v>18818</v>
      </c>
      <c r="M649" s="280">
        <f>+L649*$X$1</f>
        <v>18818</v>
      </c>
      <c r="N649" s="92">
        <f>F649+700</f>
        <v>18718</v>
      </c>
      <c r="O649" s="280">
        <f>+N649*$X$1</f>
        <v>18718</v>
      </c>
      <c r="P649" s="92">
        <f>F649+600</f>
        <v>18618</v>
      </c>
      <c r="Q649" s="280">
        <f>+P649*$X$1</f>
        <v>18618</v>
      </c>
      <c r="R649" s="92">
        <f>F649+500</f>
        <v>18518</v>
      </c>
      <c r="S649" s="280">
        <f>+R649*$X$1</f>
        <v>18518</v>
      </c>
      <c r="T649" s="92">
        <f>F649+450</f>
        <v>18468</v>
      </c>
      <c r="U649" s="280">
        <f>+T649*$X$1</f>
        <v>18468</v>
      </c>
      <c r="V649" s="92">
        <f>F649+360</f>
        <v>18378</v>
      </c>
      <c r="W649" s="280">
        <f>+V649*$X$1</f>
        <v>18378</v>
      </c>
      <c r="X649" s="127"/>
      <c r="Y649" s="122"/>
      <c r="Z649" s="128"/>
      <c r="AA649" s="129"/>
      <c r="AB649" s="338">
        <v>696</v>
      </c>
    </row>
    <row r="650" spans="1:28" ht="12" customHeight="1" x14ac:dyDescent="0.2">
      <c r="A650" s="4"/>
      <c r="B650" s="731" t="s">
        <v>670</v>
      </c>
      <c r="C650" s="732"/>
      <c r="D650" s="732"/>
      <c r="E650" s="733"/>
      <c r="F650" s="255">
        <f>16.8*X2</f>
        <v>25872</v>
      </c>
      <c r="G650" s="255">
        <f t="shared" ref="G650" si="1978">+F650*$X$1</f>
        <v>25872</v>
      </c>
      <c r="H650" s="93">
        <f>F650+5000</f>
        <v>30872</v>
      </c>
      <c r="I650" s="270">
        <f>+H650*$X$1</f>
        <v>30872</v>
      </c>
      <c r="J650" s="93">
        <f>F650+1200</f>
        <v>27072</v>
      </c>
      <c r="K650" s="270">
        <f>+J650*$X$1</f>
        <v>27072</v>
      </c>
      <c r="L650" s="93">
        <f>F650+800</f>
        <v>26672</v>
      </c>
      <c r="M650" s="270">
        <f>+L650*$X$1</f>
        <v>26672</v>
      </c>
      <c r="N650" s="93">
        <f>F650+700</f>
        <v>26572</v>
      </c>
      <c r="O650" s="270">
        <f>+N650*$X$1</f>
        <v>26572</v>
      </c>
      <c r="P650" s="93">
        <f>F650+600</f>
        <v>26472</v>
      </c>
      <c r="Q650" s="270">
        <f>+P650*$X$1</f>
        <v>26472</v>
      </c>
      <c r="R650" s="93">
        <f>F650+500</f>
        <v>26372</v>
      </c>
      <c r="S650" s="270">
        <f>+R650*$X$1</f>
        <v>26372</v>
      </c>
      <c r="T650" s="93">
        <f>F650+450</f>
        <v>26322</v>
      </c>
      <c r="U650" s="270">
        <f>+T650*$X$1</f>
        <v>26322</v>
      </c>
      <c r="V650" s="93">
        <f>F650+360</f>
        <v>26232</v>
      </c>
      <c r="W650" s="270">
        <f>+V650*$X$1</f>
        <v>26232</v>
      </c>
      <c r="X650" s="127"/>
      <c r="Y650" s="122"/>
      <c r="Z650" s="128"/>
      <c r="AA650" s="129"/>
      <c r="AB650" s="338">
        <v>698</v>
      </c>
    </row>
    <row r="651" spans="1:28" ht="12" customHeight="1" x14ac:dyDescent="0.2">
      <c r="A651" s="4"/>
      <c r="B651" s="675" t="s">
        <v>881</v>
      </c>
      <c r="C651" s="676"/>
      <c r="D651" s="676"/>
      <c r="E651" s="677"/>
      <c r="F651" s="256">
        <f>37.3*X2</f>
        <v>57441.999999999993</v>
      </c>
      <c r="G651" s="256">
        <f>+F651*$X$1</f>
        <v>57441.999999999993</v>
      </c>
      <c r="H651" s="92">
        <f>F651+7000</f>
        <v>64441.999999999993</v>
      </c>
      <c r="I651" s="280">
        <f t="shared" ref="I651" si="1979">+H651*$X$1</f>
        <v>64441.999999999993</v>
      </c>
      <c r="J651" s="92">
        <f>F651+3600</f>
        <v>61041.999999999993</v>
      </c>
      <c r="K651" s="280">
        <f t="shared" ref="K651" si="1980">+J651*$X$1</f>
        <v>61041.999999999993</v>
      </c>
      <c r="L651" s="92">
        <f>F651+2400</f>
        <v>59841.999999999993</v>
      </c>
      <c r="M651" s="280">
        <f t="shared" ref="M651" si="1981">+L651*$X$1</f>
        <v>59841.999999999993</v>
      </c>
      <c r="N651" s="92">
        <f>F651+2100</f>
        <v>59541.999999999993</v>
      </c>
      <c r="O651" s="280">
        <f t="shared" ref="O651" si="1982">+N651*$X$1</f>
        <v>59541.999999999993</v>
      </c>
      <c r="P651" s="92">
        <f>F651+1800</f>
        <v>59241.999999999993</v>
      </c>
      <c r="Q651" s="280">
        <f t="shared" ref="Q651" si="1983">+P651*$X$1</f>
        <v>59241.999999999993</v>
      </c>
      <c r="R651" s="92">
        <f>F651+1500</f>
        <v>58941.999999999993</v>
      </c>
      <c r="S651" s="280">
        <f t="shared" ref="S651" si="1984">+R651*$X$1</f>
        <v>58941.999999999993</v>
      </c>
      <c r="T651" s="92">
        <f>F651+1350</f>
        <v>58791.999999999993</v>
      </c>
      <c r="U651" s="280">
        <f t="shared" ref="U651" si="1985">+T651*$X$1</f>
        <v>58791.999999999993</v>
      </c>
      <c r="V651" s="92">
        <f>F651+1100</f>
        <v>58541.999999999993</v>
      </c>
      <c r="W651" s="280">
        <f t="shared" ref="W651" si="1986">+V651*$X$1</f>
        <v>58541.999999999993</v>
      </c>
      <c r="X651" s="127"/>
      <c r="Y651" s="122"/>
      <c r="Z651" s="128"/>
      <c r="AA651" s="129"/>
      <c r="AB651" s="338">
        <v>702</v>
      </c>
    </row>
    <row r="652" spans="1:28" ht="12" customHeight="1" x14ac:dyDescent="0.2">
      <c r="A652" s="4"/>
      <c r="B652" s="731" t="s">
        <v>849</v>
      </c>
      <c r="C652" s="732"/>
      <c r="D652" s="732"/>
      <c r="E652" s="733"/>
      <c r="F652" s="255">
        <f>17.6*X2</f>
        <v>27104.000000000004</v>
      </c>
      <c r="G652" s="255">
        <f>+F652*$X$1</f>
        <v>27104.000000000004</v>
      </c>
      <c r="H652" s="93">
        <f t="shared" ref="H652:H663" si="1987">F652+5000</f>
        <v>32104.000000000004</v>
      </c>
      <c r="I652" s="270">
        <f t="shared" ref="I652:I663" si="1988">+H652*$X$1</f>
        <v>32104.000000000004</v>
      </c>
      <c r="J652" s="93">
        <f>F652+1200</f>
        <v>28304.000000000004</v>
      </c>
      <c r="K652" s="270">
        <f t="shared" ref="K652:K663" si="1989">+J652*$X$1</f>
        <v>28304.000000000004</v>
      </c>
      <c r="L652" s="93">
        <f t="shared" ref="L652:L663" si="1990">F652+800</f>
        <v>27904.000000000004</v>
      </c>
      <c r="M652" s="270">
        <f t="shared" ref="M652:M663" si="1991">+L652*$X$1</f>
        <v>27904.000000000004</v>
      </c>
      <c r="N652" s="93">
        <f t="shared" ref="N652:N664" si="1992">F652+700</f>
        <v>27804.000000000004</v>
      </c>
      <c r="O652" s="270">
        <f t="shared" ref="O652:O664" si="1993">+N652*$X$1</f>
        <v>27804.000000000004</v>
      </c>
      <c r="P652" s="93">
        <f t="shared" ref="P652:P664" si="1994">F652+600</f>
        <v>27704.000000000004</v>
      </c>
      <c r="Q652" s="270">
        <f t="shared" ref="Q652:Q664" si="1995">+P652*$X$1</f>
        <v>27704.000000000004</v>
      </c>
      <c r="R652" s="93">
        <f t="shared" ref="R652:R664" si="1996">F652+500</f>
        <v>27604.000000000004</v>
      </c>
      <c r="S652" s="270">
        <f t="shared" ref="S652:S664" si="1997">+R652*$X$1</f>
        <v>27604.000000000004</v>
      </c>
      <c r="T652" s="93">
        <f t="shared" ref="T652:T664" si="1998">F652+450</f>
        <v>27554.000000000004</v>
      </c>
      <c r="U652" s="270">
        <f t="shared" ref="U652:U664" si="1999">+T652*$X$1</f>
        <v>27554.000000000004</v>
      </c>
      <c r="V652" s="93">
        <f t="shared" ref="V652:V664" si="2000">F652+360</f>
        <v>27464.000000000004</v>
      </c>
      <c r="W652" s="270">
        <f t="shared" ref="W652:W664" si="2001">+V652*$X$1</f>
        <v>27464.000000000004</v>
      </c>
      <c r="X652" s="127"/>
      <c r="Y652" s="122"/>
      <c r="Z652" s="128"/>
      <c r="AA652" s="129"/>
      <c r="AB652" s="338">
        <v>703</v>
      </c>
    </row>
    <row r="653" spans="1:28" ht="12" customHeight="1" x14ac:dyDescent="0.2">
      <c r="A653" s="4"/>
      <c r="B653" s="675" t="s">
        <v>831</v>
      </c>
      <c r="C653" s="676"/>
      <c r="D653" s="676"/>
      <c r="E653" s="677"/>
      <c r="F653" s="256">
        <f>24.3*X2</f>
        <v>37422</v>
      </c>
      <c r="G653" s="256">
        <f>+F653*$X$1</f>
        <v>37422</v>
      </c>
      <c r="H653" s="92">
        <f t="shared" si="1987"/>
        <v>42422</v>
      </c>
      <c r="I653" s="280">
        <f t="shared" si="1988"/>
        <v>42422</v>
      </c>
      <c r="J653" s="92">
        <f t="shared" ref="J653:J661" si="2002">F653+1200</f>
        <v>38622</v>
      </c>
      <c r="K653" s="280">
        <f t="shared" si="1989"/>
        <v>38622</v>
      </c>
      <c r="L653" s="92">
        <f t="shared" si="1990"/>
        <v>38222</v>
      </c>
      <c r="M653" s="280">
        <f t="shared" si="1991"/>
        <v>38222</v>
      </c>
      <c r="N653" s="92">
        <f t="shared" si="1992"/>
        <v>38122</v>
      </c>
      <c r="O653" s="280">
        <f t="shared" si="1993"/>
        <v>38122</v>
      </c>
      <c r="P653" s="92">
        <f t="shared" si="1994"/>
        <v>38022</v>
      </c>
      <c r="Q653" s="280">
        <f t="shared" si="1995"/>
        <v>38022</v>
      </c>
      <c r="R653" s="92">
        <f t="shared" si="1996"/>
        <v>37922</v>
      </c>
      <c r="S653" s="280">
        <f t="shared" si="1997"/>
        <v>37922</v>
      </c>
      <c r="T653" s="92">
        <f t="shared" si="1998"/>
        <v>37872</v>
      </c>
      <c r="U653" s="280">
        <f t="shared" si="1999"/>
        <v>37872</v>
      </c>
      <c r="V653" s="92">
        <f t="shared" si="2000"/>
        <v>37782</v>
      </c>
      <c r="W653" s="280">
        <f t="shared" si="2001"/>
        <v>37782</v>
      </c>
      <c r="X653" s="127"/>
      <c r="Y653" s="122"/>
      <c r="Z653" s="128"/>
      <c r="AA653" s="129"/>
      <c r="AB653" s="338">
        <v>704</v>
      </c>
    </row>
    <row r="654" spans="1:28" ht="12" customHeight="1" x14ac:dyDescent="0.2">
      <c r="A654" s="4"/>
      <c r="B654" s="731" t="s">
        <v>790</v>
      </c>
      <c r="C654" s="732"/>
      <c r="D654" s="732"/>
      <c r="E654" s="733"/>
      <c r="F654" s="255">
        <f>26.4*X2</f>
        <v>40656</v>
      </c>
      <c r="G654" s="255">
        <f>+F654*$X$1</f>
        <v>40656</v>
      </c>
      <c r="H654" s="93">
        <f t="shared" si="1987"/>
        <v>45656</v>
      </c>
      <c r="I654" s="270">
        <f t="shared" si="1988"/>
        <v>45656</v>
      </c>
      <c r="J654" s="93">
        <f t="shared" si="2002"/>
        <v>41856</v>
      </c>
      <c r="K654" s="270">
        <f t="shared" si="1989"/>
        <v>41856</v>
      </c>
      <c r="L654" s="93">
        <f t="shared" si="1990"/>
        <v>41456</v>
      </c>
      <c r="M654" s="270">
        <f t="shared" si="1991"/>
        <v>41456</v>
      </c>
      <c r="N654" s="93">
        <f t="shared" si="1992"/>
        <v>41356</v>
      </c>
      <c r="O654" s="270">
        <f t="shared" si="1993"/>
        <v>41356</v>
      </c>
      <c r="P654" s="93">
        <f t="shared" si="1994"/>
        <v>41256</v>
      </c>
      <c r="Q654" s="270">
        <f t="shared" si="1995"/>
        <v>41256</v>
      </c>
      <c r="R654" s="93">
        <f t="shared" si="1996"/>
        <v>41156</v>
      </c>
      <c r="S654" s="270">
        <f t="shared" si="1997"/>
        <v>41156</v>
      </c>
      <c r="T654" s="93">
        <f t="shared" si="1998"/>
        <v>41106</v>
      </c>
      <c r="U654" s="270">
        <f t="shared" si="1999"/>
        <v>41106</v>
      </c>
      <c r="V654" s="93">
        <f t="shared" si="2000"/>
        <v>41016</v>
      </c>
      <c r="W654" s="270">
        <f t="shared" si="2001"/>
        <v>41016</v>
      </c>
      <c r="X654" s="127"/>
      <c r="Y654" s="122"/>
      <c r="Z654" s="128"/>
      <c r="AA654" s="129"/>
      <c r="AB654" s="338">
        <v>708</v>
      </c>
    </row>
    <row r="655" spans="1:28" ht="12" customHeight="1" x14ac:dyDescent="0.2">
      <c r="A655" s="4"/>
      <c r="B655" s="675" t="s">
        <v>541</v>
      </c>
      <c r="C655" s="676"/>
      <c r="D655" s="676"/>
      <c r="E655" s="677"/>
      <c r="F655" s="256">
        <f>32.6*X2</f>
        <v>50204</v>
      </c>
      <c r="G655" s="256">
        <f>+F655*$X$1</f>
        <v>50204</v>
      </c>
      <c r="H655" s="92">
        <f t="shared" si="1987"/>
        <v>55204</v>
      </c>
      <c r="I655" s="280">
        <f t="shared" si="1988"/>
        <v>55204</v>
      </c>
      <c r="J655" s="92">
        <f t="shared" si="2002"/>
        <v>51404</v>
      </c>
      <c r="K655" s="280">
        <f t="shared" si="1989"/>
        <v>51404</v>
      </c>
      <c r="L655" s="92">
        <f t="shared" si="1990"/>
        <v>51004</v>
      </c>
      <c r="M655" s="280">
        <f t="shared" si="1991"/>
        <v>51004</v>
      </c>
      <c r="N655" s="92">
        <f t="shared" si="1992"/>
        <v>50904</v>
      </c>
      <c r="O655" s="280">
        <f t="shared" si="1993"/>
        <v>50904</v>
      </c>
      <c r="P655" s="92">
        <f t="shared" si="1994"/>
        <v>50804</v>
      </c>
      <c r="Q655" s="280">
        <f t="shared" si="1995"/>
        <v>50804</v>
      </c>
      <c r="R655" s="92">
        <f t="shared" si="1996"/>
        <v>50704</v>
      </c>
      <c r="S655" s="280">
        <f t="shared" si="1997"/>
        <v>50704</v>
      </c>
      <c r="T655" s="92">
        <f t="shared" si="1998"/>
        <v>50654</v>
      </c>
      <c r="U655" s="280">
        <f t="shared" si="1999"/>
        <v>50654</v>
      </c>
      <c r="V655" s="92">
        <f t="shared" si="2000"/>
        <v>50564</v>
      </c>
      <c r="W655" s="280">
        <f t="shared" si="2001"/>
        <v>50564</v>
      </c>
      <c r="X655" s="127"/>
      <c r="Y655" s="122"/>
      <c r="Z655" s="128"/>
      <c r="AA655" s="129"/>
      <c r="AB655" s="338">
        <v>710</v>
      </c>
    </row>
    <row r="656" spans="1:28" ht="12" customHeight="1" x14ac:dyDescent="0.2">
      <c r="A656" s="4"/>
      <c r="B656" s="731" t="s">
        <v>516</v>
      </c>
      <c r="C656" s="732"/>
      <c r="D656" s="732"/>
      <c r="E656" s="733"/>
      <c r="F656" s="255">
        <f>39.85*X2</f>
        <v>61369</v>
      </c>
      <c r="G656" s="255">
        <f t="shared" ref="G656" si="2003">+F656*$X$1</f>
        <v>61369</v>
      </c>
      <c r="H656" s="93">
        <f t="shared" si="1987"/>
        <v>66369</v>
      </c>
      <c r="I656" s="270">
        <f t="shared" si="1988"/>
        <v>66369</v>
      </c>
      <c r="J656" s="93">
        <f t="shared" si="2002"/>
        <v>62569</v>
      </c>
      <c r="K656" s="270">
        <f t="shared" si="1989"/>
        <v>62569</v>
      </c>
      <c r="L656" s="93">
        <f t="shared" si="1990"/>
        <v>62169</v>
      </c>
      <c r="M656" s="270">
        <f t="shared" si="1991"/>
        <v>62169</v>
      </c>
      <c r="N656" s="93">
        <f t="shared" si="1992"/>
        <v>62069</v>
      </c>
      <c r="O656" s="270">
        <f t="shared" si="1993"/>
        <v>62069</v>
      </c>
      <c r="P656" s="93">
        <f t="shared" si="1994"/>
        <v>61969</v>
      </c>
      <c r="Q656" s="270">
        <f t="shared" si="1995"/>
        <v>61969</v>
      </c>
      <c r="R656" s="93">
        <f t="shared" si="1996"/>
        <v>61869</v>
      </c>
      <c r="S656" s="270">
        <f t="shared" si="1997"/>
        <v>61869</v>
      </c>
      <c r="T656" s="93">
        <f t="shared" si="1998"/>
        <v>61819</v>
      </c>
      <c r="U656" s="270">
        <f t="shared" si="1999"/>
        <v>61819</v>
      </c>
      <c r="V656" s="93">
        <f t="shared" si="2000"/>
        <v>61729</v>
      </c>
      <c r="W656" s="270">
        <f t="shared" si="2001"/>
        <v>61729</v>
      </c>
      <c r="X656" s="127"/>
      <c r="Y656" s="122"/>
      <c r="Z656" s="128"/>
      <c r="AA656" s="129"/>
      <c r="AB656" s="338">
        <v>711</v>
      </c>
    </row>
    <row r="657" spans="1:28" ht="12" customHeight="1" x14ac:dyDescent="0.2">
      <c r="A657" s="4"/>
      <c r="B657" s="675" t="s">
        <v>542</v>
      </c>
      <c r="C657" s="676"/>
      <c r="D657" s="676"/>
      <c r="E657" s="677"/>
      <c r="F657" s="256">
        <f>39*X2</f>
        <v>60060</v>
      </c>
      <c r="G657" s="256">
        <f t="shared" ref="G657" si="2004">+F657*$X$1</f>
        <v>60060</v>
      </c>
      <c r="H657" s="92">
        <f t="shared" si="1987"/>
        <v>65060</v>
      </c>
      <c r="I657" s="280">
        <f t="shared" si="1988"/>
        <v>65060</v>
      </c>
      <c r="J657" s="92">
        <f t="shared" si="2002"/>
        <v>61260</v>
      </c>
      <c r="K657" s="280">
        <f t="shared" si="1989"/>
        <v>61260</v>
      </c>
      <c r="L657" s="92">
        <f t="shared" si="1990"/>
        <v>60860</v>
      </c>
      <c r="M657" s="280">
        <f t="shared" si="1991"/>
        <v>60860</v>
      </c>
      <c r="N657" s="92">
        <f t="shared" si="1992"/>
        <v>60760</v>
      </c>
      <c r="O657" s="280">
        <f t="shared" si="1993"/>
        <v>60760</v>
      </c>
      <c r="P657" s="92">
        <f t="shared" si="1994"/>
        <v>60660</v>
      </c>
      <c r="Q657" s="280">
        <f t="shared" si="1995"/>
        <v>60660</v>
      </c>
      <c r="R657" s="92">
        <f t="shared" si="1996"/>
        <v>60560</v>
      </c>
      <c r="S657" s="280">
        <f t="shared" si="1997"/>
        <v>60560</v>
      </c>
      <c r="T657" s="92">
        <f t="shared" si="1998"/>
        <v>60510</v>
      </c>
      <c r="U657" s="280">
        <f t="shared" si="1999"/>
        <v>60510</v>
      </c>
      <c r="V657" s="92">
        <f t="shared" si="2000"/>
        <v>60420</v>
      </c>
      <c r="W657" s="280">
        <f t="shared" si="2001"/>
        <v>60420</v>
      </c>
      <c r="X657" s="127"/>
      <c r="Y657" s="122"/>
      <c r="Z657" s="128"/>
      <c r="AA657" s="129"/>
      <c r="AB657" s="338">
        <v>714</v>
      </c>
    </row>
    <row r="658" spans="1:28" ht="12" customHeight="1" x14ac:dyDescent="0.2">
      <c r="A658" s="4"/>
      <c r="B658" s="722" t="s">
        <v>656</v>
      </c>
      <c r="C658" s="723"/>
      <c r="D658" s="723"/>
      <c r="E658" s="724"/>
      <c r="F658" s="451">
        <f>8.93*X2</f>
        <v>13752.199999999999</v>
      </c>
      <c r="G658" s="451">
        <f t="shared" ref="G658" si="2005">+F658*$X$1</f>
        <v>13752.199999999999</v>
      </c>
      <c r="H658" s="522">
        <f t="shared" si="1987"/>
        <v>18752.199999999997</v>
      </c>
      <c r="I658" s="450">
        <f t="shared" si="1988"/>
        <v>18752.199999999997</v>
      </c>
      <c r="J658" s="522">
        <f t="shared" si="2002"/>
        <v>14952.199999999999</v>
      </c>
      <c r="K658" s="450">
        <f t="shared" si="1989"/>
        <v>14952.199999999999</v>
      </c>
      <c r="L658" s="522">
        <f t="shared" si="1990"/>
        <v>14552.199999999999</v>
      </c>
      <c r="M658" s="450">
        <f t="shared" si="1991"/>
        <v>14552.199999999999</v>
      </c>
      <c r="N658" s="522">
        <f t="shared" si="1992"/>
        <v>14452.199999999999</v>
      </c>
      <c r="O658" s="450">
        <f t="shared" si="1993"/>
        <v>14452.199999999999</v>
      </c>
      <c r="P658" s="522">
        <f t="shared" si="1994"/>
        <v>14352.199999999999</v>
      </c>
      <c r="Q658" s="450">
        <f t="shared" si="1995"/>
        <v>14352.199999999999</v>
      </c>
      <c r="R658" s="522">
        <f t="shared" si="1996"/>
        <v>14252.199999999999</v>
      </c>
      <c r="S658" s="450">
        <f t="shared" si="1997"/>
        <v>14252.199999999999</v>
      </c>
      <c r="T658" s="522">
        <f t="shared" si="1998"/>
        <v>14202.199999999999</v>
      </c>
      <c r="U658" s="450">
        <f t="shared" si="1999"/>
        <v>14202.199999999999</v>
      </c>
      <c r="V658" s="522">
        <f t="shared" si="2000"/>
        <v>14112.199999999999</v>
      </c>
      <c r="W658" s="450">
        <f t="shared" si="2001"/>
        <v>14112.199999999999</v>
      </c>
      <c r="X658" s="127"/>
      <c r="Y658" s="122"/>
      <c r="Z658" s="128"/>
      <c r="AA658" s="129"/>
      <c r="AB658" s="338">
        <v>716</v>
      </c>
    </row>
    <row r="659" spans="1:28" ht="12" customHeight="1" x14ac:dyDescent="0.2">
      <c r="A659" s="4"/>
      <c r="B659" s="675" t="s">
        <v>658</v>
      </c>
      <c r="C659" s="676"/>
      <c r="D659" s="676"/>
      <c r="E659" s="677"/>
      <c r="F659" s="256">
        <f>49.96*X2</f>
        <v>76938.399999999994</v>
      </c>
      <c r="G659" s="256">
        <f t="shared" ref="G659" si="2006">+F659*$X$1</f>
        <v>76938.399999999994</v>
      </c>
      <c r="H659" s="92">
        <f t="shared" si="1987"/>
        <v>81938.399999999994</v>
      </c>
      <c r="I659" s="280">
        <f t="shared" si="1988"/>
        <v>81938.399999999994</v>
      </c>
      <c r="J659" s="92">
        <f t="shared" si="2002"/>
        <v>78138.399999999994</v>
      </c>
      <c r="K659" s="280">
        <f t="shared" si="1989"/>
        <v>78138.399999999994</v>
      </c>
      <c r="L659" s="92">
        <f t="shared" si="1990"/>
        <v>77738.399999999994</v>
      </c>
      <c r="M659" s="280">
        <f t="shared" si="1991"/>
        <v>77738.399999999994</v>
      </c>
      <c r="N659" s="92">
        <f t="shared" si="1992"/>
        <v>77638.399999999994</v>
      </c>
      <c r="O659" s="280">
        <f t="shared" si="1993"/>
        <v>77638.399999999994</v>
      </c>
      <c r="P659" s="92">
        <f t="shared" si="1994"/>
        <v>77538.399999999994</v>
      </c>
      <c r="Q659" s="280">
        <f t="shared" si="1995"/>
        <v>77538.399999999994</v>
      </c>
      <c r="R659" s="92">
        <f t="shared" si="1996"/>
        <v>77438.399999999994</v>
      </c>
      <c r="S659" s="280">
        <f t="shared" si="1997"/>
        <v>77438.399999999994</v>
      </c>
      <c r="T659" s="92">
        <f t="shared" si="1998"/>
        <v>77388.399999999994</v>
      </c>
      <c r="U659" s="280">
        <f t="shared" si="1999"/>
        <v>77388.399999999994</v>
      </c>
      <c r="V659" s="92">
        <f t="shared" si="2000"/>
        <v>77298.399999999994</v>
      </c>
      <c r="W659" s="280">
        <f t="shared" si="2001"/>
        <v>77298.399999999994</v>
      </c>
      <c r="X659" s="127"/>
      <c r="Y659" s="122"/>
      <c r="Z659" s="128"/>
      <c r="AA659" s="129"/>
      <c r="AB659" s="338">
        <v>717</v>
      </c>
    </row>
    <row r="660" spans="1:28" ht="12" customHeight="1" x14ac:dyDescent="0.2">
      <c r="A660" s="4"/>
      <c r="B660" s="672" t="s">
        <v>657</v>
      </c>
      <c r="C660" s="673"/>
      <c r="D660" s="673"/>
      <c r="E660" s="674"/>
      <c r="F660" s="255">
        <f>78.73*X2</f>
        <v>121244.20000000001</v>
      </c>
      <c r="G660" s="255">
        <f t="shared" ref="G660" si="2007">+F660*$X$1</f>
        <v>121244.20000000001</v>
      </c>
      <c r="H660" s="93">
        <f t="shared" si="1987"/>
        <v>126244.20000000001</v>
      </c>
      <c r="I660" s="270">
        <f t="shared" si="1988"/>
        <v>126244.20000000001</v>
      </c>
      <c r="J660" s="93">
        <f t="shared" si="2002"/>
        <v>122444.20000000001</v>
      </c>
      <c r="K660" s="270">
        <f t="shared" si="1989"/>
        <v>122444.20000000001</v>
      </c>
      <c r="L660" s="93">
        <f t="shared" si="1990"/>
        <v>122044.20000000001</v>
      </c>
      <c r="M660" s="270">
        <f t="shared" si="1991"/>
        <v>122044.20000000001</v>
      </c>
      <c r="N660" s="93">
        <f t="shared" si="1992"/>
        <v>121944.20000000001</v>
      </c>
      <c r="O660" s="270">
        <f t="shared" si="1993"/>
        <v>121944.20000000001</v>
      </c>
      <c r="P660" s="93">
        <f t="shared" si="1994"/>
        <v>121844.20000000001</v>
      </c>
      <c r="Q660" s="270">
        <f t="shared" si="1995"/>
        <v>121844.20000000001</v>
      </c>
      <c r="R660" s="93">
        <f t="shared" si="1996"/>
        <v>121744.20000000001</v>
      </c>
      <c r="S660" s="270">
        <f t="shared" si="1997"/>
        <v>121744.20000000001</v>
      </c>
      <c r="T660" s="93">
        <f t="shared" si="1998"/>
        <v>121694.20000000001</v>
      </c>
      <c r="U660" s="270">
        <f t="shared" si="1999"/>
        <v>121694.20000000001</v>
      </c>
      <c r="V660" s="93">
        <f t="shared" si="2000"/>
        <v>121604.20000000001</v>
      </c>
      <c r="W660" s="270">
        <f t="shared" si="2001"/>
        <v>121604.20000000001</v>
      </c>
      <c r="X660" s="127"/>
      <c r="Y660" s="122"/>
      <c r="Z660" s="128"/>
      <c r="AA660" s="129"/>
      <c r="AB660" s="338">
        <v>718</v>
      </c>
    </row>
    <row r="661" spans="1:28" ht="12" customHeight="1" x14ac:dyDescent="0.2">
      <c r="A661" s="4"/>
      <c r="B661" s="675" t="s">
        <v>752</v>
      </c>
      <c r="C661" s="676"/>
      <c r="D661" s="676"/>
      <c r="E661" s="677"/>
      <c r="F661" s="256">
        <f>22.5*X2</f>
        <v>34650</v>
      </c>
      <c r="G661" s="256">
        <f t="shared" ref="G661" si="2008">+F661*$X$1</f>
        <v>34650</v>
      </c>
      <c r="H661" s="92">
        <f t="shared" si="1987"/>
        <v>39650</v>
      </c>
      <c r="I661" s="280">
        <f t="shared" si="1988"/>
        <v>39650</v>
      </c>
      <c r="J661" s="92">
        <f t="shared" si="2002"/>
        <v>35850</v>
      </c>
      <c r="K661" s="280">
        <f t="shared" si="1989"/>
        <v>35850</v>
      </c>
      <c r="L661" s="92">
        <f t="shared" si="1990"/>
        <v>35450</v>
      </c>
      <c r="M661" s="280">
        <f t="shared" si="1991"/>
        <v>35450</v>
      </c>
      <c r="N661" s="92">
        <f t="shared" si="1992"/>
        <v>35350</v>
      </c>
      <c r="O661" s="280">
        <f t="shared" si="1993"/>
        <v>35350</v>
      </c>
      <c r="P661" s="92">
        <f t="shared" si="1994"/>
        <v>35250</v>
      </c>
      <c r="Q661" s="280">
        <f t="shared" si="1995"/>
        <v>35250</v>
      </c>
      <c r="R661" s="92">
        <f t="shared" si="1996"/>
        <v>35150</v>
      </c>
      <c r="S661" s="280">
        <f t="shared" si="1997"/>
        <v>35150</v>
      </c>
      <c r="T661" s="92">
        <f t="shared" si="1998"/>
        <v>35100</v>
      </c>
      <c r="U661" s="280">
        <f t="shared" si="1999"/>
        <v>35100</v>
      </c>
      <c r="V661" s="92">
        <f t="shared" si="2000"/>
        <v>35010</v>
      </c>
      <c r="W661" s="280">
        <f t="shared" si="2001"/>
        <v>35010</v>
      </c>
      <c r="X661" s="127"/>
      <c r="Y661" s="122"/>
      <c r="Z661" s="128"/>
      <c r="AA661" s="129"/>
      <c r="AB661" s="338">
        <v>719</v>
      </c>
    </row>
    <row r="662" spans="1:28" ht="12" customHeight="1" x14ac:dyDescent="0.2">
      <c r="A662" s="4"/>
      <c r="B662" s="731" t="s">
        <v>655</v>
      </c>
      <c r="C662" s="732"/>
      <c r="D662" s="732"/>
      <c r="E662" s="733"/>
      <c r="F662" s="255">
        <f>13.8*X2</f>
        <v>21252</v>
      </c>
      <c r="G662" s="255">
        <f t="shared" ref="G662" si="2009">+F662*$X$1</f>
        <v>21252</v>
      </c>
      <c r="H662" s="93">
        <f t="shared" si="1987"/>
        <v>26252</v>
      </c>
      <c r="I662" s="270">
        <f t="shared" si="1988"/>
        <v>26252</v>
      </c>
      <c r="J662" s="93">
        <f>F662+1200</f>
        <v>22452</v>
      </c>
      <c r="K662" s="270">
        <f t="shared" si="1989"/>
        <v>22452</v>
      </c>
      <c r="L662" s="93">
        <f t="shared" si="1990"/>
        <v>22052</v>
      </c>
      <c r="M662" s="270">
        <f t="shared" si="1991"/>
        <v>22052</v>
      </c>
      <c r="N662" s="93">
        <f t="shared" si="1992"/>
        <v>21952</v>
      </c>
      <c r="O662" s="270">
        <f t="shared" si="1993"/>
        <v>21952</v>
      </c>
      <c r="P662" s="93">
        <f t="shared" si="1994"/>
        <v>21852</v>
      </c>
      <c r="Q662" s="270">
        <f t="shared" si="1995"/>
        <v>21852</v>
      </c>
      <c r="R662" s="93">
        <f t="shared" si="1996"/>
        <v>21752</v>
      </c>
      <c r="S662" s="270">
        <f t="shared" si="1997"/>
        <v>21752</v>
      </c>
      <c r="T662" s="93">
        <f t="shared" si="1998"/>
        <v>21702</v>
      </c>
      <c r="U662" s="270">
        <f t="shared" si="1999"/>
        <v>21702</v>
      </c>
      <c r="V662" s="93">
        <f t="shared" si="2000"/>
        <v>21612</v>
      </c>
      <c r="W662" s="270">
        <f t="shared" si="2001"/>
        <v>21612</v>
      </c>
      <c r="X662" s="127"/>
      <c r="Y662" s="122"/>
      <c r="Z662" s="128"/>
      <c r="AA662" s="129"/>
      <c r="AB662" s="338">
        <v>720</v>
      </c>
    </row>
    <row r="663" spans="1:28" ht="12" customHeight="1" x14ac:dyDescent="0.2">
      <c r="A663" s="4"/>
      <c r="B663" s="675" t="s">
        <v>654</v>
      </c>
      <c r="C663" s="676"/>
      <c r="D663" s="676"/>
      <c r="E663" s="677"/>
      <c r="F663" s="256">
        <f>36.2*X2</f>
        <v>55748.000000000007</v>
      </c>
      <c r="G663" s="256">
        <f t="shared" ref="G663" si="2010">+F663*$X$1</f>
        <v>55748.000000000007</v>
      </c>
      <c r="H663" s="92">
        <f t="shared" si="1987"/>
        <v>60748.000000000007</v>
      </c>
      <c r="I663" s="280">
        <f t="shared" si="1988"/>
        <v>60748.000000000007</v>
      </c>
      <c r="J663" s="92">
        <f>F663+1200</f>
        <v>56948.000000000007</v>
      </c>
      <c r="K663" s="280">
        <f t="shared" si="1989"/>
        <v>56948.000000000007</v>
      </c>
      <c r="L663" s="92">
        <f t="shared" si="1990"/>
        <v>56548.000000000007</v>
      </c>
      <c r="M663" s="280">
        <f t="shared" si="1991"/>
        <v>56548.000000000007</v>
      </c>
      <c r="N663" s="92">
        <f t="shared" si="1992"/>
        <v>56448.000000000007</v>
      </c>
      <c r="O663" s="280">
        <f t="shared" si="1993"/>
        <v>56448.000000000007</v>
      </c>
      <c r="P663" s="92">
        <f t="shared" si="1994"/>
        <v>56348.000000000007</v>
      </c>
      <c r="Q663" s="280">
        <f t="shared" si="1995"/>
        <v>56348.000000000007</v>
      </c>
      <c r="R663" s="92">
        <f t="shared" si="1996"/>
        <v>56248.000000000007</v>
      </c>
      <c r="S663" s="280">
        <f t="shared" si="1997"/>
        <v>56248.000000000007</v>
      </c>
      <c r="T663" s="92">
        <f t="shared" si="1998"/>
        <v>56198.000000000007</v>
      </c>
      <c r="U663" s="280">
        <f t="shared" si="1999"/>
        <v>56198.000000000007</v>
      </c>
      <c r="V663" s="92">
        <f t="shared" si="2000"/>
        <v>56108.000000000007</v>
      </c>
      <c r="W663" s="280">
        <f t="shared" si="2001"/>
        <v>56108.000000000007</v>
      </c>
      <c r="X663" s="127"/>
      <c r="Y663" s="122"/>
      <c r="Z663" s="128"/>
      <c r="AA663" s="129"/>
      <c r="AB663" s="338">
        <v>721</v>
      </c>
    </row>
    <row r="664" spans="1:28" ht="12" customHeight="1" x14ac:dyDescent="0.2">
      <c r="A664" s="4"/>
      <c r="B664" s="731" t="s">
        <v>967</v>
      </c>
      <c r="C664" s="732"/>
      <c r="D664" s="732"/>
      <c r="E664" s="733"/>
      <c r="F664" s="609">
        <v>12650</v>
      </c>
      <c r="G664" s="255">
        <f t="shared" ref="G664:G669" si="2011">+F664*$X$1</f>
        <v>12650</v>
      </c>
      <c r="H664" s="93"/>
      <c r="I664" s="270"/>
      <c r="J664" s="93"/>
      <c r="K664" s="270"/>
      <c r="L664" s="93"/>
      <c r="M664" s="270"/>
      <c r="N664" s="93">
        <f t="shared" si="1992"/>
        <v>13350</v>
      </c>
      <c r="O664" s="270">
        <f t="shared" si="1993"/>
        <v>13350</v>
      </c>
      <c r="P664" s="93">
        <f t="shared" si="1994"/>
        <v>13250</v>
      </c>
      <c r="Q664" s="270">
        <f t="shared" si="1995"/>
        <v>13250</v>
      </c>
      <c r="R664" s="93">
        <f t="shared" si="1996"/>
        <v>13150</v>
      </c>
      <c r="S664" s="270">
        <f t="shared" si="1997"/>
        <v>13150</v>
      </c>
      <c r="T664" s="93">
        <f t="shared" si="1998"/>
        <v>13100</v>
      </c>
      <c r="U664" s="270">
        <f t="shared" si="1999"/>
        <v>13100</v>
      </c>
      <c r="V664" s="93">
        <f t="shared" si="2000"/>
        <v>13010</v>
      </c>
      <c r="W664" s="270">
        <f t="shared" si="2001"/>
        <v>13010</v>
      </c>
      <c r="X664" s="127"/>
      <c r="Y664" s="122"/>
      <c r="Z664" s="128"/>
      <c r="AA664" s="129"/>
      <c r="AB664" s="338">
        <v>722</v>
      </c>
    </row>
    <row r="665" spans="1:28" ht="12" customHeight="1" x14ac:dyDescent="0.2">
      <c r="A665" s="4"/>
      <c r="B665" s="675" t="s">
        <v>968</v>
      </c>
      <c r="C665" s="676"/>
      <c r="D665" s="676"/>
      <c r="E665" s="677"/>
      <c r="F665" s="608">
        <v>18950</v>
      </c>
      <c r="G665" s="256">
        <f t="shared" si="2011"/>
        <v>18950</v>
      </c>
      <c r="H665" s="92"/>
      <c r="I665" s="280"/>
      <c r="J665" s="92"/>
      <c r="K665" s="280"/>
      <c r="L665" s="92">
        <f t="shared" ref="L665" si="2012">F665+800</f>
        <v>19750</v>
      </c>
      <c r="M665" s="280">
        <f t="shared" ref="M665" si="2013">+L665*$X$1</f>
        <v>19750</v>
      </c>
      <c r="N665" s="92">
        <f t="shared" ref="N665" si="2014">F665+700</f>
        <v>19650</v>
      </c>
      <c r="O665" s="280">
        <f t="shared" ref="O665" si="2015">+N665*$X$1</f>
        <v>19650</v>
      </c>
      <c r="P665" s="92">
        <f t="shared" ref="P665" si="2016">F665+600</f>
        <v>19550</v>
      </c>
      <c r="Q665" s="280">
        <f t="shared" ref="Q665" si="2017">+P665*$X$1</f>
        <v>19550</v>
      </c>
      <c r="R665" s="92">
        <f t="shared" ref="R665" si="2018">F665+500</f>
        <v>19450</v>
      </c>
      <c r="S665" s="280">
        <f t="shared" ref="S665" si="2019">+R665*$X$1</f>
        <v>19450</v>
      </c>
      <c r="T665" s="92">
        <f t="shared" ref="T665" si="2020">F665+450</f>
        <v>19400</v>
      </c>
      <c r="U665" s="280">
        <f t="shared" ref="U665" si="2021">+T665*$X$1</f>
        <v>19400</v>
      </c>
      <c r="V665" s="92">
        <f t="shared" ref="V665" si="2022">F665+360</f>
        <v>19310</v>
      </c>
      <c r="W665" s="280">
        <f t="shared" ref="W665" si="2023">+V665*$X$1</f>
        <v>19310</v>
      </c>
      <c r="X665" s="127"/>
      <c r="Y665" s="122"/>
      <c r="Z665" s="128"/>
      <c r="AA665" s="129"/>
      <c r="AB665" s="338">
        <v>723</v>
      </c>
    </row>
    <row r="666" spans="1:28" ht="12" customHeight="1" x14ac:dyDescent="0.2">
      <c r="A666" s="4"/>
      <c r="B666" s="672" t="s">
        <v>969</v>
      </c>
      <c r="C666" s="673"/>
      <c r="D666" s="673"/>
      <c r="E666" s="674"/>
      <c r="F666" s="609">
        <v>16950</v>
      </c>
      <c r="G666" s="255">
        <f t="shared" si="2011"/>
        <v>16950</v>
      </c>
      <c r="H666" s="93"/>
      <c r="I666" s="255"/>
      <c r="J666" s="527"/>
      <c r="K666" s="255"/>
      <c r="L666" s="527">
        <f t="shared" ref="L666" si="2024">F666+800</f>
        <v>17750</v>
      </c>
      <c r="M666" s="255">
        <f t="shared" ref="M666" si="2025">+L666*$X$1</f>
        <v>17750</v>
      </c>
      <c r="N666" s="527">
        <f t="shared" ref="N666" si="2026">F666+700</f>
        <v>17650</v>
      </c>
      <c r="O666" s="255">
        <f t="shared" ref="O666" si="2027">+N666*$X$1</f>
        <v>17650</v>
      </c>
      <c r="P666" s="527">
        <f t="shared" ref="P666" si="2028">F666+600</f>
        <v>17550</v>
      </c>
      <c r="Q666" s="255">
        <f t="shared" ref="Q666" si="2029">+P666*$X$1</f>
        <v>17550</v>
      </c>
      <c r="R666" s="527">
        <f t="shared" ref="R666" si="2030">F666+500</f>
        <v>17450</v>
      </c>
      <c r="S666" s="255">
        <f t="shared" ref="S666" si="2031">+R666*$X$1</f>
        <v>17450</v>
      </c>
      <c r="T666" s="527">
        <f t="shared" ref="T666" si="2032">F666+450</f>
        <v>17400</v>
      </c>
      <c r="U666" s="255">
        <f t="shared" ref="U666" si="2033">+T666*$X$1</f>
        <v>17400</v>
      </c>
      <c r="V666" s="527">
        <f t="shared" ref="V666" si="2034">F666+360</f>
        <v>17310</v>
      </c>
      <c r="W666" s="255">
        <f t="shared" ref="W666" si="2035">+V666*$X$1</f>
        <v>17310</v>
      </c>
      <c r="X666" s="127"/>
      <c r="Y666" s="122"/>
      <c r="Z666" s="128"/>
      <c r="AA666" s="129"/>
      <c r="AB666" s="338">
        <v>724</v>
      </c>
    </row>
    <row r="667" spans="1:28" ht="12" customHeight="1" x14ac:dyDescent="0.2">
      <c r="A667" s="4"/>
      <c r="B667" s="672" t="s">
        <v>924</v>
      </c>
      <c r="C667" s="673"/>
      <c r="D667" s="673"/>
      <c r="E667" s="674"/>
      <c r="F667" s="256">
        <f>12.3*X2</f>
        <v>18942</v>
      </c>
      <c r="G667" s="256">
        <f t="shared" si="2011"/>
        <v>18942</v>
      </c>
      <c r="H667" s="92">
        <f t="shared" ref="H667" si="2036">F667+5000</f>
        <v>23942</v>
      </c>
      <c r="I667" s="256">
        <f t="shared" ref="I667" si="2037">+H667*$X$1</f>
        <v>23942</v>
      </c>
      <c r="J667" s="536">
        <f>F667+1200</f>
        <v>20142</v>
      </c>
      <c r="K667" s="256">
        <f t="shared" ref="K667" si="2038">+J667*$X$1</f>
        <v>20142</v>
      </c>
      <c r="L667" s="536">
        <f t="shared" ref="L667:L668" si="2039">F667+800</f>
        <v>19742</v>
      </c>
      <c r="M667" s="256">
        <f t="shared" ref="M667:M668" si="2040">+L667*$X$1</f>
        <v>19742</v>
      </c>
      <c r="N667" s="536">
        <f t="shared" ref="N667:N668" si="2041">F667+700</f>
        <v>19642</v>
      </c>
      <c r="O667" s="256">
        <f t="shared" ref="O667:O668" si="2042">+N667*$X$1</f>
        <v>19642</v>
      </c>
      <c r="P667" s="536">
        <f t="shared" ref="P667:P668" si="2043">F667+600</f>
        <v>19542</v>
      </c>
      <c r="Q667" s="256">
        <f t="shared" ref="Q667:Q668" si="2044">+P667*$X$1</f>
        <v>19542</v>
      </c>
      <c r="R667" s="536">
        <f t="shared" ref="R667:R668" si="2045">F667+500</f>
        <v>19442</v>
      </c>
      <c r="S667" s="256">
        <f t="shared" ref="S667:S668" si="2046">+R667*$X$1</f>
        <v>19442</v>
      </c>
      <c r="T667" s="536">
        <f t="shared" ref="T667:T668" si="2047">F667+450</f>
        <v>19392</v>
      </c>
      <c r="U667" s="256">
        <f t="shared" ref="U667:U668" si="2048">+T667*$X$1</f>
        <v>19392</v>
      </c>
      <c r="V667" s="536">
        <f t="shared" ref="V667:V668" si="2049">F667+360</f>
        <v>19302</v>
      </c>
      <c r="W667" s="256">
        <f t="shared" ref="W667:W668" si="2050">+V667*$X$1</f>
        <v>19302</v>
      </c>
      <c r="X667" s="127"/>
      <c r="Y667" s="122"/>
      <c r="Z667" s="128"/>
      <c r="AA667" s="129"/>
      <c r="AB667" s="178">
        <v>725</v>
      </c>
    </row>
    <row r="668" spans="1:28" ht="12" customHeight="1" x14ac:dyDescent="0.2">
      <c r="A668" s="4"/>
      <c r="B668" s="672" t="s">
        <v>970</v>
      </c>
      <c r="C668" s="673"/>
      <c r="D668" s="673"/>
      <c r="E668" s="674"/>
      <c r="F668" s="609">
        <v>40790</v>
      </c>
      <c r="G668" s="255">
        <f t="shared" si="2011"/>
        <v>40790</v>
      </c>
      <c r="H668" s="93"/>
      <c r="I668" s="255"/>
      <c r="J668" s="527"/>
      <c r="K668" s="255"/>
      <c r="L668" s="527">
        <f t="shared" si="2039"/>
        <v>41590</v>
      </c>
      <c r="M668" s="255">
        <f t="shared" si="2040"/>
        <v>41590</v>
      </c>
      <c r="N668" s="527">
        <f t="shared" si="2041"/>
        <v>41490</v>
      </c>
      <c r="O668" s="255">
        <f t="shared" si="2042"/>
        <v>41490</v>
      </c>
      <c r="P668" s="527">
        <f t="shared" si="2043"/>
        <v>41390</v>
      </c>
      <c r="Q668" s="255">
        <f t="shared" si="2044"/>
        <v>41390</v>
      </c>
      <c r="R668" s="527">
        <f t="shared" si="2045"/>
        <v>41290</v>
      </c>
      <c r="S668" s="255">
        <f t="shared" si="2046"/>
        <v>41290</v>
      </c>
      <c r="T668" s="527">
        <f t="shared" si="2047"/>
        <v>41240</v>
      </c>
      <c r="U668" s="255">
        <f t="shared" si="2048"/>
        <v>41240</v>
      </c>
      <c r="V668" s="527">
        <f t="shared" si="2049"/>
        <v>41150</v>
      </c>
      <c r="W668" s="255">
        <f t="shared" si="2050"/>
        <v>41150</v>
      </c>
      <c r="X668" s="127"/>
      <c r="Y668" s="122"/>
      <c r="Z668" s="128"/>
      <c r="AA668" s="129"/>
      <c r="AB668" s="338">
        <v>726</v>
      </c>
    </row>
    <row r="669" spans="1:28" ht="12" customHeight="1" x14ac:dyDescent="0.2">
      <c r="A669" s="4"/>
      <c r="B669" s="672" t="s">
        <v>971</v>
      </c>
      <c r="C669" s="673"/>
      <c r="D669" s="673"/>
      <c r="E669" s="674"/>
      <c r="F669" s="608">
        <v>47190</v>
      </c>
      <c r="G669" s="256">
        <f t="shared" si="2011"/>
        <v>47190</v>
      </c>
      <c r="H669" s="92"/>
      <c r="I669" s="256"/>
      <c r="J669" s="536"/>
      <c r="K669" s="256"/>
      <c r="L669" s="536">
        <f t="shared" ref="L669" si="2051">F669+800</f>
        <v>47990</v>
      </c>
      <c r="M669" s="256">
        <f t="shared" ref="M669" si="2052">+L669*$X$1</f>
        <v>47990</v>
      </c>
      <c r="N669" s="536">
        <f t="shared" ref="N669" si="2053">F669+700</f>
        <v>47890</v>
      </c>
      <c r="O669" s="256">
        <f t="shared" ref="O669" si="2054">+N669*$X$1</f>
        <v>47890</v>
      </c>
      <c r="P669" s="536">
        <f t="shared" ref="P669" si="2055">F669+600</f>
        <v>47790</v>
      </c>
      <c r="Q669" s="256">
        <f t="shared" ref="Q669" si="2056">+P669*$X$1</f>
        <v>47790</v>
      </c>
      <c r="R669" s="536">
        <f t="shared" ref="R669" si="2057">F669+500</f>
        <v>47690</v>
      </c>
      <c r="S669" s="256">
        <f t="shared" ref="S669" si="2058">+R669*$X$1</f>
        <v>47690</v>
      </c>
      <c r="T669" s="536">
        <f t="shared" ref="T669" si="2059">F669+450</f>
        <v>47640</v>
      </c>
      <c r="U669" s="256">
        <f t="shared" ref="U669" si="2060">+T669*$X$1</f>
        <v>47640</v>
      </c>
      <c r="V669" s="536">
        <f t="shared" ref="V669" si="2061">F669+360</f>
        <v>47550</v>
      </c>
      <c r="W669" s="256">
        <f t="shared" ref="W669" si="2062">+V669*$X$1</f>
        <v>47550</v>
      </c>
      <c r="X669" s="127"/>
      <c r="Y669" s="122"/>
      <c r="Z669" s="128"/>
      <c r="AA669" s="129"/>
      <c r="AB669" s="338">
        <v>727</v>
      </c>
    </row>
    <row r="670" spans="1:28" ht="12.6" customHeight="1" x14ac:dyDescent="0.2">
      <c r="A670" s="4"/>
      <c r="B670" s="731" t="s">
        <v>766</v>
      </c>
      <c r="C670" s="732"/>
      <c r="D670" s="732"/>
      <c r="E670" s="733"/>
      <c r="F670" s="255">
        <f>5.2*X2</f>
        <v>8008</v>
      </c>
      <c r="G670" s="255">
        <f t="shared" ref="G670" si="2063">+F670*$X$1</f>
        <v>8008</v>
      </c>
      <c r="H670" s="93">
        <f t="shared" ref="H670:H677" si="2064">F670+5000</f>
        <v>13008</v>
      </c>
      <c r="I670" s="255">
        <f t="shared" ref="I670:I677" si="2065">+H670*$X$1</f>
        <v>13008</v>
      </c>
      <c r="J670" s="527">
        <f t="shared" ref="J670:J675" si="2066">F670+1200</f>
        <v>9208</v>
      </c>
      <c r="K670" s="255">
        <f t="shared" ref="K670:K677" si="2067">+J670*$X$1</f>
        <v>9208</v>
      </c>
      <c r="L670" s="527">
        <f t="shared" ref="L670:L677" si="2068">F670+800</f>
        <v>8808</v>
      </c>
      <c r="M670" s="255">
        <f t="shared" ref="M670:M677" si="2069">+L670*$X$1</f>
        <v>8808</v>
      </c>
      <c r="N670" s="527">
        <f t="shared" ref="N670:N677" si="2070">F670+700</f>
        <v>8708</v>
      </c>
      <c r="O670" s="255">
        <f t="shared" ref="O670:O677" si="2071">+N670*$X$1</f>
        <v>8708</v>
      </c>
      <c r="P670" s="527">
        <f t="shared" ref="P670:P677" si="2072">F670+600</f>
        <v>8608</v>
      </c>
      <c r="Q670" s="255">
        <f t="shared" ref="Q670:Q677" si="2073">+P670*$X$1</f>
        <v>8608</v>
      </c>
      <c r="R670" s="527">
        <f t="shared" ref="R670:R677" si="2074">F670+500</f>
        <v>8508</v>
      </c>
      <c r="S670" s="255">
        <f t="shared" ref="S670:S677" si="2075">+R670*$X$1</f>
        <v>8508</v>
      </c>
      <c r="T670" s="527">
        <f t="shared" ref="T670:T677" si="2076">F670+450</f>
        <v>8458</v>
      </c>
      <c r="U670" s="255">
        <f t="shared" ref="U670:U677" si="2077">+T670*$X$1</f>
        <v>8458</v>
      </c>
      <c r="V670" s="527">
        <f t="shared" ref="V670:V677" si="2078">F670+360</f>
        <v>8368</v>
      </c>
      <c r="W670" s="255">
        <f t="shared" ref="W670:W677" si="2079">+V670*$X$1</f>
        <v>8368</v>
      </c>
      <c r="X670" s="127"/>
      <c r="Y670" s="122"/>
      <c r="Z670" s="128"/>
      <c r="AA670" s="129"/>
      <c r="AB670" s="178">
        <v>741</v>
      </c>
    </row>
    <row r="671" spans="1:28" ht="12" customHeight="1" x14ac:dyDescent="0.2">
      <c r="A671" s="4"/>
      <c r="B671" s="675" t="s">
        <v>564</v>
      </c>
      <c r="C671" s="676"/>
      <c r="D671" s="676"/>
      <c r="E671" s="677"/>
      <c r="F671" s="256">
        <f>15.2*X2</f>
        <v>23408</v>
      </c>
      <c r="G671" s="256">
        <f>+F671*$X$1</f>
        <v>23408</v>
      </c>
      <c r="H671" s="92">
        <f t="shared" si="2064"/>
        <v>28408</v>
      </c>
      <c r="I671" s="256">
        <f t="shared" si="2065"/>
        <v>28408</v>
      </c>
      <c r="J671" s="536">
        <f t="shared" si="2066"/>
        <v>24608</v>
      </c>
      <c r="K671" s="256">
        <f t="shared" si="2067"/>
        <v>24608</v>
      </c>
      <c r="L671" s="536">
        <f t="shared" si="2068"/>
        <v>24208</v>
      </c>
      <c r="M671" s="256">
        <f t="shared" si="2069"/>
        <v>24208</v>
      </c>
      <c r="N671" s="536">
        <f t="shared" si="2070"/>
        <v>24108</v>
      </c>
      <c r="O671" s="256">
        <f t="shared" si="2071"/>
        <v>24108</v>
      </c>
      <c r="P671" s="536">
        <f t="shared" si="2072"/>
        <v>24008</v>
      </c>
      <c r="Q671" s="256">
        <f t="shared" si="2073"/>
        <v>24008</v>
      </c>
      <c r="R671" s="536">
        <f t="shared" si="2074"/>
        <v>23908</v>
      </c>
      <c r="S671" s="256">
        <f t="shared" si="2075"/>
        <v>23908</v>
      </c>
      <c r="T671" s="536">
        <f t="shared" si="2076"/>
        <v>23858</v>
      </c>
      <c r="U671" s="256">
        <f t="shared" si="2077"/>
        <v>23858</v>
      </c>
      <c r="V671" s="536">
        <f t="shared" si="2078"/>
        <v>23768</v>
      </c>
      <c r="W671" s="256">
        <f t="shared" si="2079"/>
        <v>23768</v>
      </c>
      <c r="X671" s="127"/>
      <c r="Y671" s="122"/>
      <c r="Z671" s="128"/>
      <c r="AA671" s="129"/>
      <c r="AB671" s="178">
        <v>742</v>
      </c>
    </row>
    <row r="672" spans="1:28" ht="12" customHeight="1" x14ac:dyDescent="0.2">
      <c r="A672" s="4"/>
      <c r="B672" s="731" t="s">
        <v>565</v>
      </c>
      <c r="C672" s="732"/>
      <c r="D672" s="732"/>
      <c r="E672" s="733"/>
      <c r="F672" s="255">
        <f>16.6*X2</f>
        <v>25564.000000000004</v>
      </c>
      <c r="G672" s="255">
        <f>+F672*$X$1</f>
        <v>25564.000000000004</v>
      </c>
      <c r="H672" s="93">
        <f t="shared" si="2064"/>
        <v>30564.000000000004</v>
      </c>
      <c r="I672" s="255">
        <f t="shared" si="2065"/>
        <v>30564.000000000004</v>
      </c>
      <c r="J672" s="527">
        <f t="shared" si="2066"/>
        <v>26764.000000000004</v>
      </c>
      <c r="K672" s="255">
        <f t="shared" si="2067"/>
        <v>26764.000000000004</v>
      </c>
      <c r="L672" s="527">
        <f t="shared" si="2068"/>
        <v>26364.000000000004</v>
      </c>
      <c r="M672" s="255">
        <f t="shared" si="2069"/>
        <v>26364.000000000004</v>
      </c>
      <c r="N672" s="527">
        <f t="shared" si="2070"/>
        <v>26264.000000000004</v>
      </c>
      <c r="O672" s="255">
        <f t="shared" si="2071"/>
        <v>26264.000000000004</v>
      </c>
      <c r="P672" s="527">
        <f t="shared" si="2072"/>
        <v>26164.000000000004</v>
      </c>
      <c r="Q672" s="255">
        <f t="shared" si="2073"/>
        <v>26164.000000000004</v>
      </c>
      <c r="R672" s="527">
        <f t="shared" si="2074"/>
        <v>26064.000000000004</v>
      </c>
      <c r="S672" s="255">
        <f t="shared" si="2075"/>
        <v>26064.000000000004</v>
      </c>
      <c r="T672" s="527">
        <f t="shared" si="2076"/>
        <v>26014.000000000004</v>
      </c>
      <c r="U672" s="255">
        <f t="shared" si="2077"/>
        <v>26014.000000000004</v>
      </c>
      <c r="V672" s="527">
        <f t="shared" si="2078"/>
        <v>25924.000000000004</v>
      </c>
      <c r="W672" s="255">
        <f t="shared" si="2079"/>
        <v>25924.000000000004</v>
      </c>
      <c r="X672" s="127"/>
      <c r="Y672" s="122"/>
      <c r="Z672" s="128"/>
      <c r="AA672" s="129"/>
      <c r="AB672" s="178">
        <v>743</v>
      </c>
    </row>
    <row r="673" spans="1:34" ht="12" customHeight="1" x14ac:dyDescent="0.2">
      <c r="A673" s="4"/>
      <c r="B673" s="675" t="s">
        <v>634</v>
      </c>
      <c r="C673" s="676"/>
      <c r="D673" s="676"/>
      <c r="E673" s="677"/>
      <c r="F673" s="256">
        <f>13.85*X2</f>
        <v>21329</v>
      </c>
      <c r="G673" s="256">
        <f t="shared" ref="G673" si="2080">+F673*$X$1</f>
        <v>21329</v>
      </c>
      <c r="H673" s="92">
        <f t="shared" si="2064"/>
        <v>26329</v>
      </c>
      <c r="I673" s="256">
        <f t="shared" si="2065"/>
        <v>26329</v>
      </c>
      <c r="J673" s="536">
        <f t="shared" si="2066"/>
        <v>22529</v>
      </c>
      <c r="K673" s="256">
        <f t="shared" si="2067"/>
        <v>22529</v>
      </c>
      <c r="L673" s="536">
        <f t="shared" si="2068"/>
        <v>22129</v>
      </c>
      <c r="M673" s="256">
        <f t="shared" si="2069"/>
        <v>22129</v>
      </c>
      <c r="N673" s="536">
        <f t="shared" si="2070"/>
        <v>22029</v>
      </c>
      <c r="O673" s="256">
        <f t="shared" si="2071"/>
        <v>22029</v>
      </c>
      <c r="P673" s="536">
        <f t="shared" si="2072"/>
        <v>21929</v>
      </c>
      <c r="Q673" s="256">
        <f t="shared" si="2073"/>
        <v>21929</v>
      </c>
      <c r="R673" s="536">
        <f t="shared" si="2074"/>
        <v>21829</v>
      </c>
      <c r="S673" s="256">
        <f t="shared" si="2075"/>
        <v>21829</v>
      </c>
      <c r="T673" s="536">
        <f t="shared" si="2076"/>
        <v>21779</v>
      </c>
      <c r="U673" s="256">
        <f t="shared" si="2077"/>
        <v>21779</v>
      </c>
      <c r="V673" s="536">
        <f t="shared" si="2078"/>
        <v>21689</v>
      </c>
      <c r="W673" s="256">
        <f t="shared" si="2079"/>
        <v>21689</v>
      </c>
      <c r="X673" s="127"/>
      <c r="Y673" s="122"/>
      <c r="Z673" s="128"/>
      <c r="AA673" s="129"/>
      <c r="AB673" s="178">
        <v>744</v>
      </c>
    </row>
    <row r="674" spans="1:34" ht="12" customHeight="1" x14ac:dyDescent="0.2">
      <c r="A674" s="4"/>
      <c r="B674" s="731" t="s">
        <v>813</v>
      </c>
      <c r="C674" s="732"/>
      <c r="D674" s="732"/>
      <c r="E674" s="733"/>
      <c r="F674" s="255">
        <f>4.2*X2</f>
        <v>6468</v>
      </c>
      <c r="G674" s="255">
        <f t="shared" ref="G674" si="2081">+F674*$X$1</f>
        <v>6468</v>
      </c>
      <c r="H674" s="93">
        <f t="shared" si="2064"/>
        <v>11468</v>
      </c>
      <c r="I674" s="270">
        <f t="shared" si="2065"/>
        <v>11468</v>
      </c>
      <c r="J674" s="93">
        <f t="shared" si="2066"/>
        <v>7668</v>
      </c>
      <c r="K674" s="255">
        <f t="shared" si="2067"/>
        <v>7668</v>
      </c>
      <c r="L674" s="527">
        <f t="shared" si="2068"/>
        <v>7268</v>
      </c>
      <c r="M674" s="255">
        <f t="shared" si="2069"/>
        <v>7268</v>
      </c>
      <c r="N674" s="527">
        <f t="shared" si="2070"/>
        <v>7168</v>
      </c>
      <c r="O674" s="255">
        <f t="shared" si="2071"/>
        <v>7168</v>
      </c>
      <c r="P674" s="527">
        <f t="shared" si="2072"/>
        <v>7068</v>
      </c>
      <c r="Q674" s="255">
        <f t="shared" si="2073"/>
        <v>7068</v>
      </c>
      <c r="R674" s="527">
        <f t="shared" si="2074"/>
        <v>6968</v>
      </c>
      <c r="S674" s="255">
        <f t="shared" si="2075"/>
        <v>6968</v>
      </c>
      <c r="T674" s="527">
        <f t="shared" si="2076"/>
        <v>6918</v>
      </c>
      <c r="U674" s="255">
        <f t="shared" si="2077"/>
        <v>6918</v>
      </c>
      <c r="V674" s="527">
        <f t="shared" si="2078"/>
        <v>6828</v>
      </c>
      <c r="W674" s="255">
        <f t="shared" si="2079"/>
        <v>6828</v>
      </c>
      <c r="X674" s="127"/>
      <c r="Y674" s="122"/>
      <c r="Z674" s="128"/>
      <c r="AA674" s="129"/>
      <c r="AB674" s="178">
        <v>745</v>
      </c>
    </row>
    <row r="675" spans="1:34" ht="12" customHeight="1" x14ac:dyDescent="0.2">
      <c r="A675" s="4"/>
      <c r="B675" s="675" t="s">
        <v>855</v>
      </c>
      <c r="C675" s="676"/>
      <c r="D675" s="676"/>
      <c r="E675" s="677"/>
      <c r="F675" s="256">
        <f>6.49*X2</f>
        <v>9994.6</v>
      </c>
      <c r="G675" s="256">
        <f t="shared" ref="G675:G677" si="2082">+F675*$X$1</f>
        <v>9994.6</v>
      </c>
      <c r="H675" s="92">
        <f t="shared" si="2064"/>
        <v>14994.6</v>
      </c>
      <c r="I675" s="280">
        <f t="shared" si="2065"/>
        <v>14994.6</v>
      </c>
      <c r="J675" s="92">
        <f t="shared" si="2066"/>
        <v>11194.6</v>
      </c>
      <c r="K675" s="256">
        <f t="shared" si="2067"/>
        <v>11194.6</v>
      </c>
      <c r="L675" s="536">
        <f t="shared" si="2068"/>
        <v>10794.6</v>
      </c>
      <c r="M675" s="256">
        <f t="shared" si="2069"/>
        <v>10794.6</v>
      </c>
      <c r="N675" s="536">
        <f t="shared" si="2070"/>
        <v>10694.6</v>
      </c>
      <c r="O675" s="256">
        <f t="shared" si="2071"/>
        <v>10694.6</v>
      </c>
      <c r="P675" s="536">
        <f t="shared" si="2072"/>
        <v>10594.6</v>
      </c>
      <c r="Q675" s="256">
        <f t="shared" si="2073"/>
        <v>10594.6</v>
      </c>
      <c r="R675" s="536">
        <f t="shared" si="2074"/>
        <v>10494.6</v>
      </c>
      <c r="S675" s="256">
        <f t="shared" si="2075"/>
        <v>10494.6</v>
      </c>
      <c r="T675" s="536">
        <f t="shared" si="2076"/>
        <v>10444.6</v>
      </c>
      <c r="U675" s="256">
        <f t="shared" si="2077"/>
        <v>10444.6</v>
      </c>
      <c r="V675" s="536">
        <f t="shared" si="2078"/>
        <v>10354.6</v>
      </c>
      <c r="W675" s="256">
        <f t="shared" si="2079"/>
        <v>10354.6</v>
      </c>
      <c r="X675" s="127"/>
      <c r="Y675" s="122"/>
      <c r="Z675" s="128"/>
      <c r="AA675" s="129"/>
      <c r="AB675" s="178">
        <v>746</v>
      </c>
    </row>
    <row r="676" spans="1:34" ht="12" customHeight="1" x14ac:dyDescent="0.2">
      <c r="A676" s="4"/>
      <c r="B676" s="672" t="s">
        <v>955</v>
      </c>
      <c r="C676" s="673"/>
      <c r="D676" s="673"/>
      <c r="E676" s="674"/>
      <c r="F676" s="255">
        <f>18.82*X2</f>
        <v>28982.799999999999</v>
      </c>
      <c r="G676" s="255">
        <f t="shared" si="2082"/>
        <v>28982.799999999999</v>
      </c>
      <c r="H676" s="93">
        <f t="shared" si="2064"/>
        <v>33982.800000000003</v>
      </c>
      <c r="I676" s="270">
        <f t="shared" si="2065"/>
        <v>33982.800000000003</v>
      </c>
      <c r="J676" s="93">
        <f t="shared" ref="J676" si="2083">F676+1200</f>
        <v>30182.799999999999</v>
      </c>
      <c r="K676" s="255">
        <f t="shared" si="2067"/>
        <v>30182.799999999999</v>
      </c>
      <c r="L676" s="527">
        <f t="shared" si="2068"/>
        <v>29782.799999999999</v>
      </c>
      <c r="M676" s="255">
        <f t="shared" si="2069"/>
        <v>29782.799999999999</v>
      </c>
      <c r="N676" s="527">
        <f t="shared" si="2070"/>
        <v>29682.799999999999</v>
      </c>
      <c r="O676" s="255">
        <f t="shared" si="2071"/>
        <v>29682.799999999999</v>
      </c>
      <c r="P676" s="527">
        <f t="shared" si="2072"/>
        <v>29582.799999999999</v>
      </c>
      <c r="Q676" s="255">
        <f t="shared" si="2073"/>
        <v>29582.799999999999</v>
      </c>
      <c r="R676" s="527">
        <f t="shared" si="2074"/>
        <v>29482.799999999999</v>
      </c>
      <c r="S676" s="255">
        <f t="shared" si="2075"/>
        <v>29482.799999999999</v>
      </c>
      <c r="T676" s="527">
        <f t="shared" si="2076"/>
        <v>29432.799999999999</v>
      </c>
      <c r="U676" s="255">
        <f t="shared" si="2077"/>
        <v>29432.799999999999</v>
      </c>
      <c r="V676" s="527">
        <f t="shared" si="2078"/>
        <v>29342.799999999999</v>
      </c>
      <c r="W676" s="255">
        <f t="shared" si="2079"/>
        <v>29342.799999999999</v>
      </c>
      <c r="X676" s="127"/>
      <c r="Y676" s="122"/>
      <c r="Z676" s="128"/>
      <c r="AA676" s="129"/>
      <c r="AB676" s="178">
        <v>748</v>
      </c>
    </row>
    <row r="677" spans="1:34" ht="12" customHeight="1" x14ac:dyDescent="0.2">
      <c r="A677" s="4"/>
      <c r="B677" s="675" t="s">
        <v>848</v>
      </c>
      <c r="C677" s="676"/>
      <c r="D677" s="676"/>
      <c r="E677" s="677"/>
      <c r="F677" s="256">
        <f>2.8*X2</f>
        <v>4312</v>
      </c>
      <c r="G677" s="256">
        <f t="shared" si="2082"/>
        <v>4312</v>
      </c>
      <c r="H677" s="92">
        <f t="shared" si="2064"/>
        <v>9312</v>
      </c>
      <c r="I677" s="280">
        <f t="shared" si="2065"/>
        <v>9312</v>
      </c>
      <c r="J677" s="92">
        <f>F677+1200</f>
        <v>5512</v>
      </c>
      <c r="K677" s="256">
        <f t="shared" si="2067"/>
        <v>5512</v>
      </c>
      <c r="L677" s="536">
        <f t="shared" si="2068"/>
        <v>5112</v>
      </c>
      <c r="M677" s="256">
        <f t="shared" si="2069"/>
        <v>5112</v>
      </c>
      <c r="N677" s="536">
        <f t="shared" si="2070"/>
        <v>5012</v>
      </c>
      <c r="O677" s="256">
        <f t="shared" si="2071"/>
        <v>5012</v>
      </c>
      <c r="P677" s="536">
        <f t="shared" si="2072"/>
        <v>4912</v>
      </c>
      <c r="Q677" s="256">
        <f t="shared" si="2073"/>
        <v>4912</v>
      </c>
      <c r="R677" s="536">
        <f t="shared" si="2074"/>
        <v>4812</v>
      </c>
      <c r="S677" s="256">
        <f t="shared" si="2075"/>
        <v>4812</v>
      </c>
      <c r="T677" s="536">
        <f t="shared" si="2076"/>
        <v>4762</v>
      </c>
      <c r="U677" s="256">
        <f t="shared" si="2077"/>
        <v>4762</v>
      </c>
      <c r="V677" s="536">
        <f t="shared" si="2078"/>
        <v>4672</v>
      </c>
      <c r="W677" s="256">
        <f t="shared" si="2079"/>
        <v>4672</v>
      </c>
      <c r="X677" s="127"/>
      <c r="Y677" s="122"/>
      <c r="Z677" s="128"/>
      <c r="AA677" s="129"/>
      <c r="AB677" s="178">
        <v>760</v>
      </c>
    </row>
    <row r="678" spans="1:34" ht="12" customHeight="1" x14ac:dyDescent="0.2">
      <c r="A678" s="4"/>
      <c r="B678" s="1036" t="s">
        <v>545</v>
      </c>
      <c r="C678" s="1037"/>
      <c r="D678" s="1037"/>
      <c r="E678" s="1037"/>
      <c r="F678" s="330"/>
      <c r="G678" s="330"/>
      <c r="H678" s="527">
        <v>2000</v>
      </c>
      <c r="I678" s="255">
        <f t="shared" ref="I678:K678" si="2084">+H678*$X$1</f>
        <v>2000</v>
      </c>
      <c r="J678" s="527">
        <v>1100</v>
      </c>
      <c r="K678" s="255">
        <f t="shared" si="2084"/>
        <v>1100</v>
      </c>
      <c r="L678" s="527">
        <v>840</v>
      </c>
      <c r="M678" s="255">
        <f t="shared" ref="M678" si="2085">+L678*$X$1</f>
        <v>840</v>
      </c>
      <c r="N678" s="527">
        <v>790</v>
      </c>
      <c r="O678" s="255">
        <f t="shared" ref="O678" si="2086">+N678*$X$1</f>
        <v>790</v>
      </c>
      <c r="P678" s="527">
        <v>720</v>
      </c>
      <c r="Q678" s="255">
        <f t="shared" ref="Q678" si="2087">+P678*$X$1</f>
        <v>720</v>
      </c>
      <c r="R678" s="527">
        <v>580</v>
      </c>
      <c r="S678" s="255">
        <f t="shared" ref="S678" si="2088">+R678*$X$1</f>
        <v>580</v>
      </c>
      <c r="T678" s="527">
        <v>530</v>
      </c>
      <c r="U678" s="255">
        <f t="shared" ref="U678" si="2089">+T678*$X$1</f>
        <v>530</v>
      </c>
      <c r="V678" s="527">
        <v>460</v>
      </c>
      <c r="W678" s="255">
        <f t="shared" ref="W678" si="2090">+V678*$X$1</f>
        <v>460</v>
      </c>
      <c r="X678" s="127"/>
      <c r="Y678" s="122"/>
      <c r="Z678" s="128"/>
      <c r="AA678" s="128"/>
      <c r="AB678" s="36"/>
    </row>
    <row r="679" spans="1:34" ht="13.5" customHeight="1" x14ac:dyDescent="0.2">
      <c r="A679" s="71"/>
      <c r="B679" s="98"/>
      <c r="C679" s="537"/>
      <c r="D679" s="537"/>
      <c r="E679" s="537"/>
      <c r="F679" s="295"/>
      <c r="G679" s="295"/>
      <c r="H679" s="106"/>
      <c r="I679" s="295"/>
      <c r="J679" s="106"/>
      <c r="K679" s="295"/>
      <c r="L679" s="106"/>
      <c r="M679" s="295"/>
      <c r="N679" s="106"/>
      <c r="O679" s="295"/>
      <c r="P679" s="106"/>
      <c r="Q679" s="295"/>
      <c r="R679" s="106"/>
      <c r="S679" s="295"/>
      <c r="T679" s="106"/>
      <c r="U679" s="295"/>
      <c r="V679" s="106"/>
      <c r="W679" s="295"/>
      <c r="X679" s="185"/>
      <c r="Y679" s="71"/>
      <c r="Z679" s="186"/>
      <c r="AA679" s="186"/>
      <c r="AB679" s="187"/>
    </row>
    <row r="680" spans="1:34" ht="14.25" customHeight="1" x14ac:dyDescent="0.2">
      <c r="B680" s="772" t="s">
        <v>732</v>
      </c>
      <c r="C680" s="773"/>
      <c r="D680" s="773"/>
      <c r="E680" s="773"/>
      <c r="F680" s="773"/>
      <c r="G680" s="773"/>
      <c r="H680" s="773"/>
      <c r="I680" s="773"/>
      <c r="J680" s="773"/>
      <c r="K680" s="773"/>
      <c r="L680" s="773"/>
      <c r="M680" s="773"/>
      <c r="N680" s="773"/>
      <c r="O680" s="773"/>
      <c r="P680" s="773"/>
      <c r="Q680" s="773"/>
      <c r="R680" s="773"/>
      <c r="S680" s="773"/>
      <c r="T680" s="773"/>
      <c r="U680" s="773"/>
      <c r="V680" s="773"/>
      <c r="W680" s="773"/>
      <c r="AB680" s="4"/>
      <c r="AF680" s="640"/>
      <c r="AG680" s="641"/>
      <c r="AH680" s="641"/>
    </row>
    <row r="681" spans="1:34" ht="12" customHeight="1" x14ac:dyDescent="0.2">
      <c r="B681" s="1028" t="s">
        <v>11</v>
      </c>
      <c r="C681" s="1028" t="s">
        <v>12</v>
      </c>
      <c r="D681" s="1029"/>
      <c r="E681" s="1029"/>
      <c r="F681" s="650" t="s">
        <v>259</v>
      </c>
      <c r="G681" s="650" t="s">
        <v>13</v>
      </c>
      <c r="H681" s="695" t="s">
        <v>724</v>
      </c>
      <c r="I681" s="695"/>
      <c r="J681" s="696"/>
      <c r="K681" s="696"/>
      <c r="L681" s="696"/>
      <c r="M681" s="696"/>
      <c r="N681" s="696"/>
      <c r="O681" s="696"/>
      <c r="P681" s="696"/>
      <c r="Q681" s="696"/>
      <c r="R681" s="696"/>
      <c r="S681" s="696"/>
      <c r="T681" s="696"/>
      <c r="U681" s="696"/>
      <c r="V681" s="696"/>
      <c r="W681" s="696"/>
      <c r="X681" s="739" t="s">
        <v>14</v>
      </c>
      <c r="Y681" s="740"/>
      <c r="Z681" s="740"/>
      <c r="AA681" s="740"/>
      <c r="AB681" s="638" t="s">
        <v>15</v>
      </c>
      <c r="AF681" s="640"/>
      <c r="AG681" s="641"/>
      <c r="AH681" s="641"/>
    </row>
    <row r="682" spans="1:34" ht="11.25" customHeight="1" x14ac:dyDescent="0.2">
      <c r="B682" s="1029"/>
      <c r="C682" s="1029"/>
      <c r="D682" s="1029"/>
      <c r="E682" s="1029"/>
      <c r="F682" s="651"/>
      <c r="G682" s="651"/>
      <c r="H682" s="399"/>
      <c r="I682" s="398" t="s">
        <v>260</v>
      </c>
      <c r="J682" s="399"/>
      <c r="K682" s="398" t="s">
        <v>261</v>
      </c>
      <c r="L682" s="399"/>
      <c r="M682" s="398" t="s">
        <v>512</v>
      </c>
      <c r="N682" s="399"/>
      <c r="O682" s="398" t="s">
        <v>17</v>
      </c>
      <c r="P682" s="399"/>
      <c r="Q682" s="398" t="s">
        <v>18</v>
      </c>
      <c r="R682" s="399"/>
      <c r="S682" s="398" t="s">
        <v>19</v>
      </c>
      <c r="T682" s="399"/>
      <c r="U682" s="398" t="s">
        <v>262</v>
      </c>
      <c r="V682" s="399"/>
      <c r="W682" s="398" t="s">
        <v>20</v>
      </c>
      <c r="X682" s="742"/>
      <c r="Y682" s="743"/>
      <c r="Z682" s="743"/>
      <c r="AA682" s="743"/>
      <c r="AB682" s="639"/>
    </row>
    <row r="683" spans="1:34" ht="12.6" customHeight="1" x14ac:dyDescent="0.2">
      <c r="A683" s="17"/>
      <c r="B683" s="804" t="s">
        <v>491</v>
      </c>
      <c r="C683" s="805"/>
      <c r="D683" s="805"/>
      <c r="E683" s="806"/>
      <c r="F683" s="280">
        <v>4030</v>
      </c>
      <c r="G683" s="269"/>
      <c r="H683" s="92"/>
      <c r="I683" s="280"/>
      <c r="J683" s="536">
        <f>F683+600</f>
        <v>4630</v>
      </c>
      <c r="K683" s="256">
        <f t="shared" ref="K683" si="2091">+J683*$X$1</f>
        <v>4630</v>
      </c>
      <c r="L683" s="536">
        <f>F683+550</f>
        <v>4580</v>
      </c>
      <c r="M683" s="256">
        <f t="shared" ref="M683" si="2092">+L683*$X$1</f>
        <v>4580</v>
      </c>
      <c r="N683" s="536">
        <f>F683+450</f>
        <v>4480</v>
      </c>
      <c r="O683" s="256">
        <f t="shared" ref="O683" si="2093">+N683*$X$1</f>
        <v>4480</v>
      </c>
      <c r="P683" s="536">
        <f>F683+410</f>
        <v>4440</v>
      </c>
      <c r="Q683" s="256">
        <f t="shared" ref="Q683" si="2094">+P683*$X$1</f>
        <v>4440</v>
      </c>
      <c r="R683" s="536">
        <f>F683+360</f>
        <v>4390</v>
      </c>
      <c r="S683" s="256">
        <f t="shared" ref="S683" si="2095">+R683*$X$1</f>
        <v>4390</v>
      </c>
      <c r="T683" s="536">
        <f>F683+320</f>
        <v>4350</v>
      </c>
      <c r="U683" s="256">
        <f t="shared" ref="U683" si="2096">+T683*$X$1</f>
        <v>4350</v>
      </c>
      <c r="V683" s="536">
        <f>F683+290</f>
        <v>4320</v>
      </c>
      <c r="W683" s="256">
        <f t="shared" ref="W683" si="2097">+V683*$X$1</f>
        <v>4320</v>
      </c>
      <c r="X683" s="130"/>
      <c r="Y683" s="131"/>
      <c r="Z683" s="131"/>
      <c r="AA683" s="131"/>
      <c r="AB683" s="352" t="s">
        <v>703</v>
      </c>
    </row>
    <row r="684" spans="1:34" ht="12.6" customHeight="1" x14ac:dyDescent="0.2">
      <c r="A684" s="17"/>
      <c r="B684" s="627" t="s">
        <v>886</v>
      </c>
      <c r="C684" s="628"/>
      <c r="D684" s="628"/>
      <c r="E684" s="629"/>
      <c r="F684" s="270">
        <v>4455</v>
      </c>
      <c r="G684" s="234"/>
      <c r="H684" s="93"/>
      <c r="I684" s="270"/>
      <c r="J684" s="527">
        <f>F684+600</f>
        <v>5055</v>
      </c>
      <c r="K684" s="255">
        <f t="shared" ref="K684" si="2098">+J684*$X$1</f>
        <v>5055</v>
      </c>
      <c r="L684" s="527">
        <f>F684+550</f>
        <v>5005</v>
      </c>
      <c r="M684" s="255">
        <f t="shared" ref="M684" si="2099">+L684*$X$1</f>
        <v>5005</v>
      </c>
      <c r="N684" s="527">
        <f>F684+450</f>
        <v>4905</v>
      </c>
      <c r="O684" s="255">
        <f t="shared" ref="O684" si="2100">+N684*$X$1</f>
        <v>4905</v>
      </c>
      <c r="P684" s="527">
        <f>F684+410</f>
        <v>4865</v>
      </c>
      <c r="Q684" s="255">
        <f t="shared" ref="Q684" si="2101">+P684*$X$1</f>
        <v>4865</v>
      </c>
      <c r="R684" s="527">
        <f>F684+360</f>
        <v>4815</v>
      </c>
      <c r="S684" s="255">
        <f t="shared" ref="S684" si="2102">+R684*$X$1</f>
        <v>4815</v>
      </c>
      <c r="T684" s="527">
        <f>F684+320</f>
        <v>4775</v>
      </c>
      <c r="U684" s="255">
        <f t="shared" ref="U684" si="2103">+T684*$X$1</f>
        <v>4775</v>
      </c>
      <c r="V684" s="527">
        <f>F684+290</f>
        <v>4745</v>
      </c>
      <c r="W684" s="255">
        <f t="shared" ref="W684" si="2104">+V684*$X$1</f>
        <v>4745</v>
      </c>
      <c r="X684" s="130"/>
      <c r="Y684" s="131"/>
      <c r="Z684" s="131"/>
      <c r="AA684" s="131"/>
      <c r="AB684" s="352" t="s">
        <v>903</v>
      </c>
    </row>
    <row r="685" spans="1:34" ht="12.6" customHeight="1" x14ac:dyDescent="0.2">
      <c r="A685" s="17"/>
      <c r="B685" s="627" t="s">
        <v>983</v>
      </c>
      <c r="C685" s="628"/>
      <c r="D685" s="628"/>
      <c r="E685" s="629"/>
      <c r="F685" s="256">
        <f>16.14*X2</f>
        <v>24855.600000000002</v>
      </c>
      <c r="G685" s="561"/>
      <c r="H685" s="536">
        <f>F685+1400</f>
        <v>26255.600000000002</v>
      </c>
      <c r="I685" s="256">
        <f t="shared" ref="I685" si="2105">+H685*$X$1</f>
        <v>26255.600000000002</v>
      </c>
      <c r="J685" s="536">
        <f>F685+600</f>
        <v>25455.600000000002</v>
      </c>
      <c r="K685" s="256">
        <f t="shared" ref="K685" si="2106">+J685*$X$1</f>
        <v>25455.600000000002</v>
      </c>
      <c r="L685" s="536">
        <f>F685+550</f>
        <v>25405.600000000002</v>
      </c>
      <c r="M685" s="256">
        <f t="shared" ref="M685" si="2107">+L685*$X$1</f>
        <v>25405.600000000002</v>
      </c>
      <c r="N685" s="536">
        <f>F685+450</f>
        <v>25305.600000000002</v>
      </c>
      <c r="O685" s="256">
        <f t="shared" ref="O685" si="2108">+N685*$X$1</f>
        <v>25305.600000000002</v>
      </c>
      <c r="P685" s="536">
        <f>F685+410</f>
        <v>25265.600000000002</v>
      </c>
      <c r="Q685" s="256">
        <f t="shared" ref="Q685" si="2109">+P685*$X$1</f>
        <v>25265.600000000002</v>
      </c>
      <c r="R685" s="536">
        <f>F685+360</f>
        <v>25215.600000000002</v>
      </c>
      <c r="S685" s="256">
        <f t="shared" ref="S685" si="2110">+R685*$X$1</f>
        <v>25215.600000000002</v>
      </c>
      <c r="T685" s="536">
        <f>F685+320</f>
        <v>25175.600000000002</v>
      </c>
      <c r="U685" s="256">
        <f t="shared" ref="U685" si="2111">+T685*$X$1</f>
        <v>25175.600000000002</v>
      </c>
      <c r="V685" s="536">
        <f>F685+290</f>
        <v>25145.600000000002</v>
      </c>
      <c r="W685" s="256">
        <f t="shared" ref="W685" si="2112">+V685*$X$1</f>
        <v>25145.600000000002</v>
      </c>
      <c r="X685" s="130"/>
      <c r="Y685" s="131"/>
      <c r="Z685" s="131"/>
      <c r="AA685" s="131"/>
      <c r="AB685" s="352" t="s">
        <v>982</v>
      </c>
    </row>
    <row r="686" spans="1:34" ht="12.6" customHeight="1" x14ac:dyDescent="0.2">
      <c r="A686" s="17"/>
      <c r="B686" s="683" t="s">
        <v>354</v>
      </c>
      <c r="C686" s="763"/>
      <c r="D686" s="763"/>
      <c r="E686" s="764"/>
      <c r="F686" s="255">
        <v>1460</v>
      </c>
      <c r="G686" s="234"/>
      <c r="H686" s="526"/>
      <c r="I686" s="255"/>
      <c r="J686" s="526"/>
      <c r="K686" s="255"/>
      <c r="L686" s="527">
        <f>F686+550</f>
        <v>2010</v>
      </c>
      <c r="M686" s="255">
        <f t="shared" ref="M686" si="2113">+L686*$X$1</f>
        <v>2010</v>
      </c>
      <c r="N686" s="527">
        <f>F686+450</f>
        <v>1910</v>
      </c>
      <c r="O686" s="255">
        <f t="shared" ref="O686" si="2114">+N686*$X$1</f>
        <v>1910</v>
      </c>
      <c r="P686" s="526">
        <f>F686+410</f>
        <v>1870</v>
      </c>
      <c r="Q686" s="255">
        <f t="shared" ref="Q686" si="2115">+P686*$X$1</f>
        <v>1870</v>
      </c>
      <c r="R686" s="526">
        <f>F686+360</f>
        <v>1820</v>
      </c>
      <c r="S686" s="255">
        <f t="shared" ref="S686" si="2116">+R686*$X$1</f>
        <v>1820</v>
      </c>
      <c r="T686" s="526">
        <f>F686+320</f>
        <v>1780</v>
      </c>
      <c r="U686" s="255">
        <f t="shared" ref="U686" si="2117">+T686*$X$1</f>
        <v>1780</v>
      </c>
      <c r="V686" s="526">
        <f>F686+290</f>
        <v>1750</v>
      </c>
      <c r="W686" s="255">
        <f t="shared" ref="W686" si="2118">+V686*$X$1</f>
        <v>1750</v>
      </c>
      <c r="X686" s="130"/>
      <c r="Y686" s="131"/>
      <c r="Z686" s="131"/>
      <c r="AA686" s="131"/>
      <c r="AB686" s="30"/>
    </row>
    <row r="687" spans="1:34" ht="12.6" customHeight="1" x14ac:dyDescent="0.2">
      <c r="A687" s="17"/>
      <c r="B687" s="642" t="s">
        <v>981</v>
      </c>
      <c r="C687" s="680"/>
      <c r="D687" s="680"/>
      <c r="E687" s="681"/>
      <c r="F687" s="280">
        <v>4450</v>
      </c>
      <c r="G687" s="269"/>
      <c r="H687" s="391">
        <f>F687+1400</f>
        <v>5850</v>
      </c>
      <c r="I687" s="256">
        <f t="shared" ref="I687" si="2119">+H687*$X$1</f>
        <v>5850</v>
      </c>
      <c r="J687" s="391">
        <f>F687+600</f>
        <v>5050</v>
      </c>
      <c r="K687" s="256">
        <f t="shared" ref="K687" si="2120">+J687*$X$1</f>
        <v>5050</v>
      </c>
      <c r="L687" s="536">
        <f>F687+550</f>
        <v>5000</v>
      </c>
      <c r="M687" s="256">
        <f t="shared" ref="M687" si="2121">+L687*$X$1</f>
        <v>5000</v>
      </c>
      <c r="N687" s="536">
        <f>F687+450</f>
        <v>4900</v>
      </c>
      <c r="O687" s="256">
        <f t="shared" ref="O687" si="2122">+N687*$X$1</f>
        <v>4900</v>
      </c>
      <c r="P687" s="391">
        <f>F687+410</f>
        <v>4860</v>
      </c>
      <c r="Q687" s="256">
        <f t="shared" ref="Q687" si="2123">+P687*$X$1</f>
        <v>4860</v>
      </c>
      <c r="R687" s="391">
        <f>F687+360</f>
        <v>4810</v>
      </c>
      <c r="S687" s="256">
        <f t="shared" ref="S687" si="2124">+R687*$X$1</f>
        <v>4810</v>
      </c>
      <c r="T687" s="391">
        <f>F687+320</f>
        <v>4770</v>
      </c>
      <c r="U687" s="256">
        <f t="shared" ref="U687" si="2125">+T687*$X$1</f>
        <v>4770</v>
      </c>
      <c r="V687" s="391">
        <f>F687+290</f>
        <v>4740</v>
      </c>
      <c r="W687" s="256">
        <f t="shared" ref="W687" si="2126">+V687*$X$1</f>
        <v>4740</v>
      </c>
      <c r="X687" s="130"/>
      <c r="Y687" s="131"/>
      <c r="Z687" s="131"/>
      <c r="AA687" s="131"/>
      <c r="AB687" s="338" t="s">
        <v>704</v>
      </c>
    </row>
    <row r="688" spans="1:34" ht="12.6" customHeight="1" x14ac:dyDescent="0.2">
      <c r="A688" s="17"/>
      <c r="B688" s="1033" t="s">
        <v>263</v>
      </c>
      <c r="C688" s="1034"/>
      <c r="D688" s="1034"/>
      <c r="E688" s="1035"/>
      <c r="F688" s="489">
        <v>4200</v>
      </c>
      <c r="G688" s="571"/>
      <c r="H688" s="526"/>
      <c r="I688" s="255"/>
      <c r="J688" s="526">
        <f t="shared" ref="J688:J693" si="2127">F688+600</f>
        <v>4800</v>
      </c>
      <c r="K688" s="255">
        <f t="shared" ref="K688:K693" si="2128">+J688*$X$1</f>
        <v>4800</v>
      </c>
      <c r="L688" s="527">
        <f t="shared" ref="L688:L693" si="2129">F688+550</f>
        <v>4750</v>
      </c>
      <c r="M688" s="255">
        <f t="shared" ref="M688:M693" si="2130">+L688*$X$1</f>
        <v>4750</v>
      </c>
      <c r="N688" s="527">
        <f t="shared" ref="N688:N693" si="2131">F688+450</f>
        <v>4650</v>
      </c>
      <c r="O688" s="255">
        <f t="shared" ref="O688:O693" si="2132">+N688*$X$1</f>
        <v>4650</v>
      </c>
      <c r="P688" s="526">
        <f t="shared" ref="P688:P693" si="2133">F688+410</f>
        <v>4610</v>
      </c>
      <c r="Q688" s="255">
        <f t="shared" ref="Q688:Q693" si="2134">+P688*$X$1</f>
        <v>4610</v>
      </c>
      <c r="R688" s="526">
        <f t="shared" ref="R688:R693" si="2135">F688+360</f>
        <v>4560</v>
      </c>
      <c r="S688" s="255">
        <f t="shared" ref="S688:S693" si="2136">+R688*$X$1</f>
        <v>4560</v>
      </c>
      <c r="T688" s="526">
        <f t="shared" ref="T688:T693" si="2137">F688+320</f>
        <v>4520</v>
      </c>
      <c r="U688" s="255">
        <f t="shared" ref="U688:U693" si="2138">+T688*$X$1</f>
        <v>4520</v>
      </c>
      <c r="V688" s="526">
        <f t="shared" ref="V688:V693" si="2139">F688+290</f>
        <v>4490</v>
      </c>
      <c r="W688" s="255">
        <f t="shared" ref="W688:W693" si="2140">+V688*$X$1</f>
        <v>4490</v>
      </c>
      <c r="X688" s="130"/>
      <c r="Y688" s="131"/>
      <c r="Z688" s="131"/>
      <c r="AA688" s="131"/>
      <c r="AB688" s="338" t="s">
        <v>778</v>
      </c>
    </row>
    <row r="689" spans="1:34" ht="12.6" customHeight="1" x14ac:dyDescent="0.2">
      <c r="A689" s="17"/>
      <c r="B689" s="636" t="s">
        <v>264</v>
      </c>
      <c r="C689" s="637"/>
      <c r="D689" s="637"/>
      <c r="E689" s="637"/>
      <c r="F689" s="256">
        <v>3820</v>
      </c>
      <c r="G689" s="269"/>
      <c r="H689" s="391"/>
      <c r="I689" s="256"/>
      <c r="J689" s="391">
        <f t="shared" si="2127"/>
        <v>4420</v>
      </c>
      <c r="K689" s="256">
        <f t="shared" si="2128"/>
        <v>4420</v>
      </c>
      <c r="L689" s="536">
        <f t="shared" si="2129"/>
        <v>4370</v>
      </c>
      <c r="M689" s="256">
        <f t="shared" si="2130"/>
        <v>4370</v>
      </c>
      <c r="N689" s="536">
        <f t="shared" si="2131"/>
        <v>4270</v>
      </c>
      <c r="O689" s="256">
        <f t="shared" si="2132"/>
        <v>4270</v>
      </c>
      <c r="P689" s="391">
        <f t="shared" si="2133"/>
        <v>4230</v>
      </c>
      <c r="Q689" s="256">
        <f t="shared" si="2134"/>
        <v>4230</v>
      </c>
      <c r="R689" s="391">
        <f t="shared" si="2135"/>
        <v>4180</v>
      </c>
      <c r="S689" s="256">
        <f t="shared" si="2136"/>
        <v>4180</v>
      </c>
      <c r="T689" s="391">
        <f t="shared" si="2137"/>
        <v>4140</v>
      </c>
      <c r="U689" s="256">
        <f t="shared" si="2138"/>
        <v>4140</v>
      </c>
      <c r="V689" s="391">
        <f t="shared" si="2139"/>
        <v>4110</v>
      </c>
      <c r="W689" s="256">
        <f t="shared" si="2140"/>
        <v>4110</v>
      </c>
      <c r="X689" s="130"/>
      <c r="Y689" s="131"/>
      <c r="Z689" s="131"/>
      <c r="AA689" s="131"/>
      <c r="AB689" s="338" t="s">
        <v>705</v>
      </c>
    </row>
    <row r="690" spans="1:34" ht="12.6" customHeight="1" x14ac:dyDescent="0.2">
      <c r="A690" s="17"/>
      <c r="B690" s="683" t="s">
        <v>450</v>
      </c>
      <c r="C690" s="703"/>
      <c r="D690" s="703"/>
      <c r="E690" s="704"/>
      <c r="F690" s="270">
        <v>7500</v>
      </c>
      <c r="G690" s="234"/>
      <c r="H690" s="527">
        <f>F690+1400</f>
        <v>8900</v>
      </c>
      <c r="I690" s="255">
        <f t="shared" ref="I690" si="2141">+H690*$X$1</f>
        <v>8900</v>
      </c>
      <c r="J690" s="527">
        <f t="shared" si="2127"/>
        <v>8100</v>
      </c>
      <c r="K690" s="255">
        <f t="shared" si="2128"/>
        <v>8100</v>
      </c>
      <c r="L690" s="527">
        <f t="shared" si="2129"/>
        <v>8050</v>
      </c>
      <c r="M690" s="255">
        <f t="shared" si="2130"/>
        <v>8050</v>
      </c>
      <c r="N690" s="527">
        <f t="shared" si="2131"/>
        <v>7950</v>
      </c>
      <c r="O690" s="255">
        <f t="shared" si="2132"/>
        <v>7950</v>
      </c>
      <c r="P690" s="527">
        <f t="shared" si="2133"/>
        <v>7910</v>
      </c>
      <c r="Q690" s="255">
        <f t="shared" si="2134"/>
        <v>7910</v>
      </c>
      <c r="R690" s="527">
        <f t="shared" si="2135"/>
        <v>7860</v>
      </c>
      <c r="S690" s="255">
        <f t="shared" si="2136"/>
        <v>7860</v>
      </c>
      <c r="T690" s="527">
        <f t="shared" si="2137"/>
        <v>7820</v>
      </c>
      <c r="U690" s="255">
        <f t="shared" si="2138"/>
        <v>7820</v>
      </c>
      <c r="V690" s="527">
        <f t="shared" si="2139"/>
        <v>7790</v>
      </c>
      <c r="W690" s="255">
        <f t="shared" si="2140"/>
        <v>7790</v>
      </c>
      <c r="X690" s="130"/>
      <c r="Y690" s="131"/>
      <c r="Z690" s="131"/>
      <c r="AA690" s="131"/>
      <c r="AB690" s="30"/>
    </row>
    <row r="691" spans="1:34" ht="12.6" customHeight="1" x14ac:dyDescent="0.2">
      <c r="A691" s="4"/>
      <c r="B691" s="675" t="s">
        <v>397</v>
      </c>
      <c r="C691" s="680"/>
      <c r="D691" s="680"/>
      <c r="E691" s="681"/>
      <c r="F691" s="256">
        <v>2100</v>
      </c>
      <c r="G691" s="269"/>
      <c r="H691" s="536"/>
      <c r="I691" s="256"/>
      <c r="J691" s="536">
        <f t="shared" si="2127"/>
        <v>2700</v>
      </c>
      <c r="K691" s="256">
        <f t="shared" si="2128"/>
        <v>2700</v>
      </c>
      <c r="L691" s="536">
        <f t="shared" si="2129"/>
        <v>2650</v>
      </c>
      <c r="M691" s="256">
        <f t="shared" si="2130"/>
        <v>2650</v>
      </c>
      <c r="N691" s="536">
        <f t="shared" si="2131"/>
        <v>2550</v>
      </c>
      <c r="O691" s="256">
        <f t="shared" si="2132"/>
        <v>2550</v>
      </c>
      <c r="P691" s="536">
        <f t="shared" si="2133"/>
        <v>2510</v>
      </c>
      <c r="Q691" s="256">
        <f t="shared" si="2134"/>
        <v>2510</v>
      </c>
      <c r="R691" s="536">
        <f t="shared" si="2135"/>
        <v>2460</v>
      </c>
      <c r="S691" s="256">
        <f t="shared" si="2136"/>
        <v>2460</v>
      </c>
      <c r="T691" s="536">
        <f t="shared" si="2137"/>
        <v>2420</v>
      </c>
      <c r="U691" s="256">
        <f t="shared" si="2138"/>
        <v>2420</v>
      </c>
      <c r="V691" s="536">
        <f t="shared" si="2139"/>
        <v>2390</v>
      </c>
      <c r="W691" s="256">
        <f t="shared" si="2140"/>
        <v>2390</v>
      </c>
      <c r="X691" s="130"/>
      <c r="Y691" s="119"/>
      <c r="Z691" s="132"/>
      <c r="AA691" s="132"/>
      <c r="AB691" s="338" t="s">
        <v>396</v>
      </c>
    </row>
    <row r="692" spans="1:34" ht="12.6" customHeight="1" x14ac:dyDescent="0.2">
      <c r="A692" s="4"/>
      <c r="B692" s="731" t="s">
        <v>395</v>
      </c>
      <c r="C692" s="703"/>
      <c r="D692" s="703"/>
      <c r="E692" s="704"/>
      <c r="F692" s="255">
        <v>2100</v>
      </c>
      <c r="G692" s="234"/>
      <c r="H692" s="527"/>
      <c r="I692" s="255"/>
      <c r="J692" s="527">
        <f t="shared" si="2127"/>
        <v>2700</v>
      </c>
      <c r="K692" s="255">
        <f t="shared" si="2128"/>
        <v>2700</v>
      </c>
      <c r="L692" s="527">
        <f t="shared" si="2129"/>
        <v>2650</v>
      </c>
      <c r="M692" s="255">
        <f t="shared" si="2130"/>
        <v>2650</v>
      </c>
      <c r="N692" s="527">
        <f t="shared" si="2131"/>
        <v>2550</v>
      </c>
      <c r="O692" s="255">
        <f t="shared" si="2132"/>
        <v>2550</v>
      </c>
      <c r="P692" s="527">
        <f t="shared" si="2133"/>
        <v>2510</v>
      </c>
      <c r="Q692" s="255">
        <f t="shared" si="2134"/>
        <v>2510</v>
      </c>
      <c r="R692" s="527">
        <f t="shared" si="2135"/>
        <v>2460</v>
      </c>
      <c r="S692" s="255">
        <f t="shared" si="2136"/>
        <v>2460</v>
      </c>
      <c r="T692" s="527">
        <f t="shared" si="2137"/>
        <v>2420</v>
      </c>
      <c r="U692" s="255">
        <f t="shared" si="2138"/>
        <v>2420</v>
      </c>
      <c r="V692" s="527">
        <f t="shared" si="2139"/>
        <v>2390</v>
      </c>
      <c r="W692" s="255">
        <f t="shared" si="2140"/>
        <v>2390</v>
      </c>
      <c r="X692" s="130"/>
      <c r="Y692" s="119"/>
      <c r="Z692" s="132"/>
      <c r="AA692" s="132"/>
      <c r="AB692" s="338" t="s">
        <v>392</v>
      </c>
    </row>
    <row r="693" spans="1:34" ht="12.6" customHeight="1" x14ac:dyDescent="0.2">
      <c r="A693" s="4"/>
      <c r="B693" s="675" t="s">
        <v>393</v>
      </c>
      <c r="C693" s="680"/>
      <c r="D693" s="680"/>
      <c r="E693" s="681"/>
      <c r="F693" s="256">
        <v>2990</v>
      </c>
      <c r="G693" s="269"/>
      <c r="H693" s="536"/>
      <c r="I693" s="256"/>
      <c r="J693" s="536">
        <f t="shared" si="2127"/>
        <v>3590</v>
      </c>
      <c r="K693" s="256">
        <f t="shared" si="2128"/>
        <v>3590</v>
      </c>
      <c r="L693" s="536">
        <f t="shared" si="2129"/>
        <v>3540</v>
      </c>
      <c r="M693" s="256">
        <f t="shared" si="2130"/>
        <v>3540</v>
      </c>
      <c r="N693" s="536">
        <f t="shared" si="2131"/>
        <v>3440</v>
      </c>
      <c r="O693" s="256">
        <f t="shared" si="2132"/>
        <v>3440</v>
      </c>
      <c r="P693" s="536">
        <f t="shared" si="2133"/>
        <v>3400</v>
      </c>
      <c r="Q693" s="256">
        <f t="shared" si="2134"/>
        <v>3400</v>
      </c>
      <c r="R693" s="536">
        <f t="shared" si="2135"/>
        <v>3350</v>
      </c>
      <c r="S693" s="256">
        <f t="shared" si="2136"/>
        <v>3350</v>
      </c>
      <c r="T693" s="536">
        <f t="shared" si="2137"/>
        <v>3310</v>
      </c>
      <c r="U693" s="256">
        <f t="shared" si="2138"/>
        <v>3310</v>
      </c>
      <c r="V693" s="536">
        <f t="shared" si="2139"/>
        <v>3280</v>
      </c>
      <c r="W693" s="256">
        <f t="shared" si="2140"/>
        <v>3280</v>
      </c>
      <c r="X693" s="130"/>
      <c r="Y693" s="119"/>
      <c r="Z693" s="132"/>
      <c r="AA693" s="132"/>
      <c r="AB693" s="338" t="s">
        <v>394</v>
      </c>
    </row>
    <row r="694" spans="1:34" ht="12.6" customHeight="1" x14ac:dyDescent="0.2">
      <c r="A694" s="4"/>
      <c r="B694" s="672" t="s">
        <v>925</v>
      </c>
      <c r="C694" s="665"/>
      <c r="D694" s="665"/>
      <c r="E694" s="666"/>
      <c r="F694" s="589">
        <v>3050</v>
      </c>
      <c r="G694" s="590"/>
      <c r="H694" s="591"/>
      <c r="I694" s="589"/>
      <c r="J694" s="591"/>
      <c r="K694" s="589"/>
      <c r="L694" s="591">
        <f t="shared" ref="L694" si="2142">F694+550</f>
        <v>3600</v>
      </c>
      <c r="M694" s="589">
        <f t="shared" ref="M694" si="2143">+L694*$X$1</f>
        <v>3600</v>
      </c>
      <c r="N694" s="591">
        <f t="shared" ref="N694" si="2144">F694+450</f>
        <v>3500</v>
      </c>
      <c r="O694" s="589">
        <f t="shared" ref="O694" si="2145">+N694*$X$1</f>
        <v>3500</v>
      </c>
      <c r="P694" s="591">
        <f t="shared" ref="P694" si="2146">F694+410</f>
        <v>3460</v>
      </c>
      <c r="Q694" s="589">
        <f t="shared" ref="Q694" si="2147">+P694*$X$1</f>
        <v>3460</v>
      </c>
      <c r="R694" s="591">
        <f t="shared" ref="R694" si="2148">F694+360</f>
        <v>3410</v>
      </c>
      <c r="S694" s="589">
        <f t="shared" ref="S694" si="2149">+R694*$X$1</f>
        <v>3410</v>
      </c>
      <c r="T694" s="591">
        <f t="shared" ref="T694" si="2150">F694+320</f>
        <v>3370</v>
      </c>
      <c r="U694" s="589">
        <f t="shared" ref="U694" si="2151">+T694*$X$1</f>
        <v>3370</v>
      </c>
      <c r="V694" s="591">
        <f t="shared" ref="V694" si="2152">F694+290</f>
        <v>3340</v>
      </c>
      <c r="W694" s="589">
        <f t="shared" ref="W694" si="2153">+V694*$X$1</f>
        <v>3340</v>
      </c>
      <c r="X694" s="130"/>
      <c r="Y694" s="119"/>
      <c r="Z694" s="132"/>
      <c r="AA694" s="132"/>
      <c r="AB694" s="338"/>
    </row>
    <row r="695" spans="1:34" ht="12.6" customHeight="1" x14ac:dyDescent="0.2">
      <c r="A695" s="4"/>
      <c r="B695" s="632" t="s">
        <v>265</v>
      </c>
      <c r="C695" s="658"/>
      <c r="D695" s="658"/>
      <c r="E695" s="658"/>
      <c r="F695" s="90"/>
      <c r="G695" s="85"/>
      <c r="H695" s="536"/>
      <c r="I695" s="536"/>
      <c r="J695" s="536"/>
      <c r="K695" s="536"/>
      <c r="L695" s="536"/>
      <c r="M695" s="536"/>
      <c r="N695" s="536"/>
      <c r="O695" s="536"/>
      <c r="P695" s="536"/>
      <c r="Q695" s="536"/>
      <c r="R695" s="536"/>
      <c r="S695" s="536"/>
      <c r="T695" s="536"/>
      <c r="U695" s="536"/>
      <c r="V695" s="536"/>
      <c r="W695" s="536"/>
      <c r="X695" s="127"/>
      <c r="Y695" s="122"/>
      <c r="Z695" s="128"/>
      <c r="AA695" s="129"/>
      <c r="AB695" s="338">
        <v>986</v>
      </c>
    </row>
    <row r="696" spans="1:34" ht="12.6" customHeight="1" x14ac:dyDescent="0.2">
      <c r="A696" s="4"/>
      <c r="B696" s="748" t="s">
        <v>323</v>
      </c>
      <c r="C696" s="682"/>
      <c r="D696" s="682"/>
      <c r="E696" s="682"/>
      <c r="F696" s="331"/>
      <c r="G696" s="87"/>
      <c r="H696" s="527"/>
      <c r="I696" s="527"/>
      <c r="J696" s="527"/>
      <c r="K696" s="527"/>
      <c r="L696" s="527"/>
      <c r="M696" s="527"/>
      <c r="N696" s="527"/>
      <c r="O696" s="527"/>
      <c r="P696" s="527"/>
      <c r="Q696" s="527"/>
      <c r="R696" s="527"/>
      <c r="S696" s="527"/>
      <c r="T696" s="527"/>
      <c r="U696" s="527"/>
      <c r="V696" s="527"/>
      <c r="W696" s="527"/>
      <c r="X696" s="127"/>
      <c r="Y696" s="122"/>
      <c r="Z696" s="128"/>
      <c r="AA696" s="129"/>
      <c r="AB696" s="338">
        <v>987</v>
      </c>
    </row>
    <row r="697" spans="1:34" ht="12.6" customHeight="1" x14ac:dyDescent="0.2">
      <c r="A697" s="4"/>
      <c r="B697" s="632" t="s">
        <v>266</v>
      </c>
      <c r="C697" s="633"/>
      <c r="D697" s="633"/>
      <c r="E697" s="633"/>
      <c r="F697" s="536"/>
      <c r="G697" s="85"/>
      <c r="H697" s="536"/>
      <c r="I697" s="536"/>
      <c r="J697" s="536"/>
      <c r="K697" s="536"/>
      <c r="L697" s="536"/>
      <c r="M697" s="536"/>
      <c r="N697" s="536"/>
      <c r="O697" s="536"/>
      <c r="P697" s="536"/>
      <c r="Q697" s="536"/>
      <c r="R697" s="536"/>
      <c r="S697" s="536"/>
      <c r="T697" s="536"/>
      <c r="U697" s="536"/>
      <c r="V697" s="536"/>
      <c r="W697" s="536"/>
      <c r="X697" s="127"/>
      <c r="Y697" s="122"/>
      <c r="Z697" s="128"/>
      <c r="AA697" s="129"/>
      <c r="AB697" s="338">
        <v>989</v>
      </c>
    </row>
    <row r="698" spans="1:34" ht="13.5" customHeight="1" x14ac:dyDescent="0.2">
      <c r="A698" s="4"/>
      <c r="B698" s="98"/>
      <c r="C698" s="184"/>
      <c r="D698" s="184"/>
      <c r="E698" s="184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85"/>
      <c r="Y698" s="71"/>
      <c r="Z698" s="186"/>
      <c r="AA698" s="186"/>
      <c r="AB698" s="36"/>
    </row>
    <row r="699" spans="1:34" ht="15.75" customHeight="1" x14ac:dyDescent="0.2">
      <c r="B699" s="772" t="s">
        <v>267</v>
      </c>
      <c r="C699" s="773"/>
      <c r="D699" s="773"/>
      <c r="E699" s="773"/>
      <c r="F699" s="773"/>
      <c r="G699" s="773"/>
      <c r="H699" s="773"/>
      <c r="I699" s="773"/>
      <c r="J699" s="773"/>
      <c r="K699" s="773"/>
      <c r="L699" s="773"/>
      <c r="M699" s="773"/>
      <c r="N699" s="773"/>
      <c r="O699" s="773"/>
      <c r="P699" s="773"/>
      <c r="Q699" s="773"/>
      <c r="R699" s="773"/>
      <c r="S699" s="773"/>
      <c r="T699" s="1128"/>
      <c r="U699" s="1128"/>
      <c r="V699" s="1129"/>
      <c r="W699" s="1129"/>
      <c r="AB699" s="4"/>
    </row>
    <row r="700" spans="1:34" ht="14.25" customHeight="1" x14ac:dyDescent="0.2">
      <c r="B700" s="1028" t="s">
        <v>11</v>
      </c>
      <c r="C700" s="1028" t="s">
        <v>12</v>
      </c>
      <c r="D700" s="1029"/>
      <c r="E700" s="1029"/>
      <c r="F700" s="650" t="s">
        <v>259</v>
      </c>
      <c r="G700" s="650" t="s">
        <v>13</v>
      </c>
      <c r="H700" s="695" t="s">
        <v>723</v>
      </c>
      <c r="I700" s="695"/>
      <c r="J700" s="696"/>
      <c r="K700" s="696"/>
      <c r="L700" s="696"/>
      <c r="M700" s="696"/>
      <c r="N700" s="696"/>
      <c r="O700" s="696"/>
      <c r="P700" s="696"/>
      <c r="Q700" s="696"/>
      <c r="R700" s="696"/>
      <c r="S700" s="696"/>
      <c r="T700" s="696"/>
      <c r="U700" s="696"/>
      <c r="V700" s="696"/>
      <c r="W700" s="696"/>
      <c r="X700" s="739" t="s">
        <v>14</v>
      </c>
      <c r="Y700" s="1141"/>
      <c r="Z700" s="1141"/>
      <c r="AA700" s="1142"/>
      <c r="AB700" s="638" t="s">
        <v>15</v>
      </c>
      <c r="AF700" s="640" t="s">
        <v>3</v>
      </c>
      <c r="AG700" s="641"/>
      <c r="AH700" s="641"/>
    </row>
    <row r="701" spans="1:34" ht="12" customHeight="1" x14ac:dyDescent="0.2">
      <c r="B701" s="1029"/>
      <c r="C701" s="1029"/>
      <c r="D701" s="1029"/>
      <c r="E701" s="1029"/>
      <c r="F701" s="651"/>
      <c r="G701" s="651"/>
      <c r="H701" s="397"/>
      <c r="I701" s="398" t="s">
        <v>510</v>
      </c>
      <c r="J701" s="397"/>
      <c r="K701" s="398" t="s">
        <v>260</v>
      </c>
      <c r="L701" s="398"/>
      <c r="M701" s="398" t="s">
        <v>261</v>
      </c>
      <c r="N701" s="398"/>
      <c r="O701" s="398" t="s">
        <v>512</v>
      </c>
      <c r="P701" s="398"/>
      <c r="Q701" s="398" t="s">
        <v>17</v>
      </c>
      <c r="R701" s="398"/>
      <c r="S701" s="398" t="s">
        <v>18</v>
      </c>
      <c r="T701" s="398"/>
      <c r="U701" s="398" t="s">
        <v>19</v>
      </c>
      <c r="V701" s="398"/>
      <c r="W701" s="398" t="s">
        <v>513</v>
      </c>
      <c r="X701" s="1143"/>
      <c r="Y701" s="1144"/>
      <c r="Z701" s="1144"/>
      <c r="AA701" s="1145"/>
      <c r="AB701" s="639"/>
    </row>
    <row r="702" spans="1:34" ht="12.6" customHeight="1" x14ac:dyDescent="0.2">
      <c r="B702" s="725" t="s">
        <v>677</v>
      </c>
      <c r="C702" s="725"/>
      <c r="D702" s="725"/>
      <c r="E702" s="725"/>
      <c r="F702" s="572">
        <f>21.73*X2</f>
        <v>33464.199999999997</v>
      </c>
      <c r="G702" s="280">
        <f>+F702*$X$1</f>
        <v>33464.199999999997</v>
      </c>
      <c r="H702" s="92">
        <f>F702+4000</f>
        <v>37464.199999999997</v>
      </c>
      <c r="I702" s="280">
        <f t="shared" ref="I702" si="2154">+H702*$X$1</f>
        <v>37464.199999999997</v>
      </c>
      <c r="J702" s="82">
        <f>F702+1000</f>
        <v>34464.199999999997</v>
      </c>
      <c r="K702" s="256">
        <f>+J702*$X$1</f>
        <v>34464.199999999997</v>
      </c>
      <c r="L702" s="536">
        <f>F702+650</f>
        <v>34114.199999999997</v>
      </c>
      <c r="M702" s="256">
        <f>+L702*$X$1</f>
        <v>34114.199999999997</v>
      </c>
      <c r="N702" s="536">
        <f>F702+500</f>
        <v>33964.199999999997</v>
      </c>
      <c r="O702" s="256">
        <f>+N702*$X$1</f>
        <v>33964.199999999997</v>
      </c>
      <c r="P702" s="536">
        <f>F702+400</f>
        <v>33864.199999999997</v>
      </c>
      <c r="Q702" s="256">
        <f>+P702*$X$1</f>
        <v>33864.199999999997</v>
      </c>
      <c r="R702" s="536">
        <f>F702+330</f>
        <v>33794.199999999997</v>
      </c>
      <c r="S702" s="256">
        <f>+R702*$X$1</f>
        <v>33794.199999999997</v>
      </c>
      <c r="T702" s="536">
        <f>F702+280</f>
        <v>33744.199999999997</v>
      </c>
      <c r="U702" s="256">
        <f>+T702*$X$1</f>
        <v>33744.199999999997</v>
      </c>
      <c r="V702" s="536">
        <f>F702+230</f>
        <v>33694.199999999997</v>
      </c>
      <c r="W702" s="256">
        <f>+V702*$X$1</f>
        <v>33694.199999999997</v>
      </c>
      <c r="X702" s="388"/>
      <c r="Y702" s="124"/>
      <c r="Z702" s="122"/>
      <c r="AA702" s="125"/>
      <c r="AB702" s="358" t="s">
        <v>678</v>
      </c>
    </row>
    <row r="703" spans="1:34" ht="12.6" customHeight="1" x14ac:dyDescent="0.2">
      <c r="B703" s="748" t="s">
        <v>268</v>
      </c>
      <c r="C703" s="748"/>
      <c r="D703" s="748"/>
      <c r="E703" s="748"/>
      <c r="F703" s="105"/>
      <c r="G703" s="527"/>
      <c r="H703" s="91"/>
      <c r="I703" s="91"/>
      <c r="J703" s="527"/>
      <c r="K703" s="527"/>
      <c r="L703" s="527"/>
      <c r="M703" s="527"/>
      <c r="N703" s="103"/>
      <c r="O703" s="527"/>
      <c r="P703" s="527"/>
      <c r="Q703" s="527"/>
      <c r="R703" s="527"/>
      <c r="S703" s="527"/>
      <c r="T703" s="527"/>
      <c r="U703" s="527"/>
      <c r="V703" s="251"/>
      <c r="W703" s="486"/>
      <c r="X703" s="122"/>
      <c r="Y703" s="122"/>
      <c r="Z703" s="122"/>
      <c r="AA703" s="125"/>
      <c r="AB703" s="357" t="s">
        <v>269</v>
      </c>
    </row>
    <row r="704" spans="1:34" ht="12.6" customHeight="1" x14ac:dyDescent="0.2">
      <c r="B704" s="632" t="s">
        <v>270</v>
      </c>
      <c r="C704" s="632"/>
      <c r="D704" s="632"/>
      <c r="E704" s="632"/>
      <c r="F704" s="385"/>
      <c r="G704" s="536"/>
      <c r="H704" s="95"/>
      <c r="I704" s="95"/>
      <c r="J704" s="536"/>
      <c r="K704" s="536"/>
      <c r="L704" s="536"/>
      <c r="M704" s="536"/>
      <c r="N704" s="104"/>
      <c r="O704" s="536"/>
      <c r="P704" s="536"/>
      <c r="Q704" s="536"/>
      <c r="R704" s="536"/>
      <c r="S704" s="536"/>
      <c r="T704" s="536"/>
      <c r="U704" s="536"/>
      <c r="V704" s="250"/>
      <c r="W704" s="485"/>
      <c r="X704" s="122"/>
      <c r="Y704" s="122"/>
      <c r="Z704" s="122"/>
      <c r="AA704" s="125"/>
      <c r="AB704" s="357" t="s">
        <v>271</v>
      </c>
    </row>
    <row r="705" spans="1:38" ht="12.6" customHeight="1" x14ac:dyDescent="0.2">
      <c r="B705" s="748" t="s">
        <v>648</v>
      </c>
      <c r="C705" s="748"/>
      <c r="D705" s="748"/>
      <c r="E705" s="748"/>
      <c r="F705" s="386">
        <f>20.59*X2</f>
        <v>31708.6</v>
      </c>
      <c r="G705" s="255">
        <f>+F705*$X$1</f>
        <v>31708.6</v>
      </c>
      <c r="H705" s="527">
        <f>F705+4000</f>
        <v>35708.6</v>
      </c>
      <c r="I705" s="255">
        <f t="shared" ref="I705" si="2155">+H705*$X$1</f>
        <v>35708.6</v>
      </c>
      <c r="J705" s="527">
        <f>F705+1000</f>
        <v>32708.6</v>
      </c>
      <c r="K705" s="255">
        <f t="shared" ref="K705" si="2156">+J705*$X$1</f>
        <v>32708.6</v>
      </c>
      <c r="L705" s="527">
        <f>F705+700</f>
        <v>32408.6</v>
      </c>
      <c r="M705" s="255">
        <f t="shared" ref="M705" si="2157">+L705*$X$1</f>
        <v>32408.6</v>
      </c>
      <c r="N705" s="527">
        <f>F705+600</f>
        <v>32308.6</v>
      </c>
      <c r="O705" s="255">
        <f t="shared" ref="O705" si="2158">+N705*$X$1</f>
        <v>32308.6</v>
      </c>
      <c r="P705" s="527">
        <f>F705+500</f>
        <v>32208.6</v>
      </c>
      <c r="Q705" s="255">
        <f t="shared" ref="Q705" si="2159">+P705*$X$1</f>
        <v>32208.6</v>
      </c>
      <c r="R705" s="527">
        <f>F705+430</f>
        <v>32138.6</v>
      </c>
      <c r="S705" s="255">
        <f t="shared" ref="S705" si="2160">+R705*$X$1</f>
        <v>32138.6</v>
      </c>
      <c r="T705" s="527">
        <f>F705+370</f>
        <v>32078.6</v>
      </c>
      <c r="U705" s="255">
        <f t="shared" ref="U705" si="2161">+T705*$X$1</f>
        <v>32078.6</v>
      </c>
      <c r="V705" s="527">
        <f>F705+310</f>
        <v>32018.6</v>
      </c>
      <c r="W705" s="255">
        <f t="shared" ref="W705" si="2162">+V705*$X$1</f>
        <v>32018.6</v>
      </c>
      <c r="X705" s="382"/>
      <c r="Y705" s="124"/>
      <c r="Z705" s="122"/>
      <c r="AA705" s="125"/>
      <c r="AB705" s="357" t="s">
        <v>649</v>
      </c>
    </row>
    <row r="706" spans="1:38" ht="12.6" customHeight="1" x14ac:dyDescent="0.2">
      <c r="B706" s="632" t="s">
        <v>773</v>
      </c>
      <c r="C706" s="632"/>
      <c r="D706" s="632"/>
      <c r="E706" s="632"/>
      <c r="F706" s="387">
        <f>22.35*X2</f>
        <v>34419</v>
      </c>
      <c r="G706" s="256">
        <f>+F706*$X$1</f>
        <v>34419</v>
      </c>
      <c r="H706" s="92"/>
      <c r="I706" s="280"/>
      <c r="J706" s="92">
        <f>F706+1200</f>
        <v>35619</v>
      </c>
      <c r="K706" s="280">
        <f t="shared" ref="K706:K707" si="2163">+J706*$X$1</f>
        <v>35619</v>
      </c>
      <c r="L706" s="92">
        <f>F706+900</f>
        <v>35319</v>
      </c>
      <c r="M706" s="280">
        <f t="shared" ref="M706:M707" si="2164">+L706*$X$1</f>
        <v>35319</v>
      </c>
      <c r="N706" s="92">
        <f>F706+700</f>
        <v>35119</v>
      </c>
      <c r="O706" s="280">
        <f t="shared" ref="O706:O707" si="2165">+N706*$X$1</f>
        <v>35119</v>
      </c>
      <c r="P706" s="92">
        <f>F706+620</f>
        <v>35039</v>
      </c>
      <c r="Q706" s="280">
        <f t="shared" ref="Q706:Q707" si="2166">+P706*$X$1</f>
        <v>35039</v>
      </c>
      <c r="R706" s="92"/>
      <c r="S706" s="280"/>
      <c r="T706" s="92"/>
      <c r="U706" s="280"/>
      <c r="V706" s="92"/>
      <c r="W706" s="280"/>
      <c r="X706" s="437"/>
      <c r="Y706" s="124"/>
      <c r="Z706" s="122"/>
      <c r="AA706" s="125"/>
      <c r="AB706" s="357" t="s">
        <v>772</v>
      </c>
    </row>
    <row r="707" spans="1:38" ht="12.6" customHeight="1" x14ac:dyDescent="0.2">
      <c r="B707" s="748" t="s">
        <v>650</v>
      </c>
      <c r="C707" s="748"/>
      <c r="D707" s="748"/>
      <c r="E707" s="748"/>
      <c r="F707" s="386">
        <f>38.5*X2</f>
        <v>59290</v>
      </c>
      <c r="G707" s="255">
        <f>+F707*$X$1</f>
        <v>59290</v>
      </c>
      <c r="H707" s="527">
        <f>F707+4000</f>
        <v>63290</v>
      </c>
      <c r="I707" s="255">
        <f t="shared" ref="I707" si="2167">+H707*$X$1</f>
        <v>63290</v>
      </c>
      <c r="J707" s="527">
        <f>F707+1000</f>
        <v>60290</v>
      </c>
      <c r="K707" s="255">
        <f t="shared" si="2163"/>
        <v>60290</v>
      </c>
      <c r="L707" s="527">
        <f>F707+700</f>
        <v>59990</v>
      </c>
      <c r="M707" s="255">
        <f t="shared" si="2164"/>
        <v>59990</v>
      </c>
      <c r="N707" s="527">
        <f>F707+600</f>
        <v>59890</v>
      </c>
      <c r="O707" s="255">
        <f t="shared" si="2165"/>
        <v>59890</v>
      </c>
      <c r="P707" s="527">
        <f>F707+500</f>
        <v>59790</v>
      </c>
      <c r="Q707" s="255">
        <f t="shared" si="2166"/>
        <v>59790</v>
      </c>
      <c r="R707" s="527">
        <f>F707+430</f>
        <v>59720</v>
      </c>
      <c r="S707" s="255">
        <f t="shared" ref="S707" si="2168">+R707*$X$1</f>
        <v>59720</v>
      </c>
      <c r="T707" s="527">
        <f>F707+370</f>
        <v>59660</v>
      </c>
      <c r="U707" s="255">
        <f t="shared" ref="U707" si="2169">+T707*$X$1</f>
        <v>59660</v>
      </c>
      <c r="V707" s="527">
        <f>F707+310</f>
        <v>59600</v>
      </c>
      <c r="W707" s="255">
        <f t="shared" ref="W707" si="2170">+V707*$X$1</f>
        <v>59600</v>
      </c>
      <c r="X707" s="382"/>
      <c r="Y707" s="124"/>
      <c r="Z707" s="122"/>
      <c r="AA707" s="125"/>
      <c r="AB707" s="357" t="s">
        <v>651</v>
      </c>
    </row>
    <row r="708" spans="1:38" ht="12.6" customHeight="1" x14ac:dyDescent="0.2">
      <c r="B708" s="632" t="s">
        <v>272</v>
      </c>
      <c r="C708" s="632"/>
      <c r="D708" s="632"/>
      <c r="E708" s="632"/>
      <c r="F708" s="385"/>
      <c r="G708" s="536"/>
      <c r="H708" s="95"/>
      <c r="I708" s="95"/>
      <c r="J708" s="536"/>
      <c r="K708" s="536"/>
      <c r="L708" s="536"/>
      <c r="M708" s="536"/>
      <c r="N708" s="536"/>
      <c r="O708" s="536"/>
      <c r="P708" s="104"/>
      <c r="Q708" s="536"/>
      <c r="R708" s="104"/>
      <c r="S708" s="536"/>
      <c r="T708" s="104"/>
      <c r="U708" s="536"/>
      <c r="V708" s="250"/>
      <c r="W708" s="487"/>
      <c r="X708" s="150"/>
      <c r="Y708" s="150"/>
      <c r="Z708" s="150"/>
      <c r="AA708" s="151"/>
      <c r="AB708" s="357" t="s">
        <v>273</v>
      </c>
    </row>
    <row r="709" spans="1:38" ht="12.6" customHeight="1" x14ac:dyDescent="0.2">
      <c r="B709" s="748" t="s">
        <v>274</v>
      </c>
      <c r="C709" s="748"/>
      <c r="D709" s="748"/>
      <c r="E709" s="748"/>
      <c r="F709" s="105"/>
      <c r="G709" s="527"/>
      <c r="H709" s="91"/>
      <c r="I709" s="91"/>
      <c r="J709" s="527"/>
      <c r="K709" s="527"/>
      <c r="L709" s="527"/>
      <c r="M709" s="527"/>
      <c r="N709" s="527"/>
      <c r="O709" s="527"/>
      <c r="P709" s="103"/>
      <c r="Q709" s="527"/>
      <c r="R709" s="103"/>
      <c r="S709" s="527"/>
      <c r="T709" s="103"/>
      <c r="U709" s="527"/>
      <c r="V709" s="251"/>
      <c r="W709" s="488"/>
      <c r="X709" s="150"/>
      <c r="Y709" s="150"/>
      <c r="Z709" s="150"/>
      <c r="AA709" s="151"/>
      <c r="AB709" s="357" t="s">
        <v>275</v>
      </c>
    </row>
    <row r="710" spans="1:38" ht="12.6" customHeight="1" x14ac:dyDescent="0.2">
      <c r="B710" s="632" t="s">
        <v>276</v>
      </c>
      <c r="C710" s="632"/>
      <c r="D710" s="632"/>
      <c r="E710" s="632"/>
      <c r="F710" s="385"/>
      <c r="G710" s="536"/>
      <c r="H710" s="95"/>
      <c r="I710" s="95"/>
      <c r="J710" s="536"/>
      <c r="K710" s="536"/>
      <c r="L710" s="536"/>
      <c r="M710" s="536"/>
      <c r="N710" s="536"/>
      <c r="O710" s="536"/>
      <c r="P710" s="104"/>
      <c r="Q710" s="536"/>
      <c r="R710" s="104"/>
      <c r="S710" s="536"/>
      <c r="T710" s="104"/>
      <c r="U710" s="536"/>
      <c r="V710" s="250"/>
      <c r="W710" s="487"/>
      <c r="X710" s="124"/>
      <c r="Y710" s="124"/>
      <c r="Z710" s="124"/>
      <c r="AA710" s="124"/>
      <c r="AB710" s="357" t="s">
        <v>378</v>
      </c>
    </row>
    <row r="711" spans="1:38" s="1" customFormat="1" ht="12.6" customHeight="1" x14ac:dyDescent="0.2">
      <c r="A711" s="18"/>
      <c r="B711" s="678" t="s">
        <v>180</v>
      </c>
      <c r="C711" s="679"/>
      <c r="D711" s="679"/>
      <c r="E711" s="679"/>
      <c r="F711" s="255">
        <v>4780</v>
      </c>
      <c r="G711" s="257">
        <f t="shared" ref="G711:G712" si="2171">+F711*$X$1</f>
        <v>4780</v>
      </c>
      <c r="H711" s="527"/>
      <c r="I711" s="255"/>
      <c r="J711" s="68"/>
      <c r="K711" s="255"/>
      <c r="L711" s="527"/>
      <c r="M711" s="255"/>
      <c r="N711" s="527"/>
      <c r="O711" s="255"/>
      <c r="P711" s="527">
        <f t="shared" ref="P711:P716" si="2172">F711+400</f>
        <v>5180</v>
      </c>
      <c r="Q711" s="255">
        <f t="shared" ref="Q711:Q716" si="2173">+P711*$X$1</f>
        <v>5180</v>
      </c>
      <c r="R711" s="527">
        <f t="shared" ref="R711:R716" si="2174">F711+330</f>
        <v>5110</v>
      </c>
      <c r="S711" s="255">
        <f t="shared" ref="S711:S716" si="2175">+R711*$X$1</f>
        <v>5110</v>
      </c>
      <c r="T711" s="527">
        <f t="shared" ref="T711:T716" si="2176">F711+280</f>
        <v>5060</v>
      </c>
      <c r="U711" s="255">
        <f t="shared" ref="U711:U716" si="2177">+T711*$X$1</f>
        <v>5060</v>
      </c>
      <c r="V711" s="527">
        <f t="shared" ref="V711:V716" si="2178">F711+220</f>
        <v>5000</v>
      </c>
      <c r="W711" s="255">
        <f t="shared" ref="W711:W716" si="2179">+V711*$X$1</f>
        <v>5000</v>
      </c>
      <c r="X711" s="714"/>
      <c r="Y711" s="718"/>
      <c r="Z711" s="718"/>
      <c r="AA711" s="716"/>
      <c r="AB711" s="178">
        <v>965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42" t="s">
        <v>181</v>
      </c>
      <c r="C712" s="680"/>
      <c r="D712" s="680"/>
      <c r="E712" s="681"/>
      <c r="F712" s="256">
        <v>7340</v>
      </c>
      <c r="G712" s="258">
        <f t="shared" si="2171"/>
        <v>7340</v>
      </c>
      <c r="H712" s="530"/>
      <c r="I712" s="256"/>
      <c r="J712" s="82"/>
      <c r="K712" s="256"/>
      <c r="L712" s="530"/>
      <c r="M712" s="256"/>
      <c r="N712" s="530"/>
      <c r="O712" s="256"/>
      <c r="P712" s="530">
        <f t="shared" si="2172"/>
        <v>7740</v>
      </c>
      <c r="Q712" s="256">
        <f t="shared" si="2173"/>
        <v>7740</v>
      </c>
      <c r="R712" s="530">
        <f t="shared" si="2174"/>
        <v>7670</v>
      </c>
      <c r="S712" s="256">
        <f t="shared" si="2175"/>
        <v>7670</v>
      </c>
      <c r="T712" s="530">
        <f t="shared" si="2176"/>
        <v>7620</v>
      </c>
      <c r="U712" s="256">
        <f t="shared" si="2177"/>
        <v>7620</v>
      </c>
      <c r="V712" s="530">
        <f t="shared" si="2178"/>
        <v>7560</v>
      </c>
      <c r="W712" s="256">
        <f t="shared" si="2179"/>
        <v>7560</v>
      </c>
      <c r="X712" s="141"/>
      <c r="Y712" s="142"/>
      <c r="Z712" s="142"/>
      <c r="AA712" s="143"/>
      <c r="AB712" s="350">
        <v>967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83" t="s">
        <v>317</v>
      </c>
      <c r="C713" s="703"/>
      <c r="D713" s="703"/>
      <c r="E713" s="704"/>
      <c r="F713" s="255">
        <v>4485</v>
      </c>
      <c r="G713" s="257">
        <f t="shared" ref="G713" si="2180">+F713*$X$1</f>
        <v>4485</v>
      </c>
      <c r="H713" s="527"/>
      <c r="I713" s="255"/>
      <c r="J713" s="68"/>
      <c r="K713" s="255"/>
      <c r="L713" s="527"/>
      <c r="M713" s="255"/>
      <c r="N713" s="527"/>
      <c r="O713" s="255"/>
      <c r="P713" s="527">
        <f t="shared" si="2172"/>
        <v>4885</v>
      </c>
      <c r="Q713" s="255">
        <f t="shared" si="2173"/>
        <v>4885</v>
      </c>
      <c r="R713" s="527">
        <f t="shared" si="2174"/>
        <v>4815</v>
      </c>
      <c r="S713" s="255">
        <f t="shared" si="2175"/>
        <v>4815</v>
      </c>
      <c r="T713" s="527">
        <f t="shared" si="2176"/>
        <v>4765</v>
      </c>
      <c r="U713" s="255">
        <f t="shared" si="2177"/>
        <v>4765</v>
      </c>
      <c r="V713" s="527">
        <f t="shared" si="2178"/>
        <v>4705</v>
      </c>
      <c r="W713" s="255">
        <f t="shared" si="2179"/>
        <v>4705</v>
      </c>
      <c r="X713" s="714"/>
      <c r="Y713" s="718"/>
      <c r="Z713" s="718"/>
      <c r="AA713" s="716"/>
      <c r="AB713" s="350">
        <v>968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57" t="s">
        <v>182</v>
      </c>
      <c r="C714" s="633"/>
      <c r="D714" s="633"/>
      <c r="E714" s="633"/>
      <c r="F714" s="256">
        <v>12106</v>
      </c>
      <c r="G714" s="258">
        <f t="shared" ref="G714" si="2181">+F714*$X$1</f>
        <v>12106</v>
      </c>
      <c r="H714" s="530"/>
      <c r="I714" s="256"/>
      <c r="J714" s="82"/>
      <c r="K714" s="256"/>
      <c r="L714" s="530"/>
      <c r="M714" s="256"/>
      <c r="N714" s="530"/>
      <c r="O714" s="256"/>
      <c r="P714" s="530">
        <f t="shared" si="2172"/>
        <v>12506</v>
      </c>
      <c r="Q714" s="256">
        <f t="shared" si="2173"/>
        <v>12506</v>
      </c>
      <c r="R714" s="530">
        <f t="shared" si="2174"/>
        <v>12436</v>
      </c>
      <c r="S714" s="256">
        <f t="shared" si="2175"/>
        <v>12436</v>
      </c>
      <c r="T714" s="530">
        <f t="shared" si="2176"/>
        <v>12386</v>
      </c>
      <c r="U714" s="256">
        <f t="shared" si="2177"/>
        <v>12386</v>
      </c>
      <c r="V714" s="530">
        <f t="shared" si="2178"/>
        <v>12326</v>
      </c>
      <c r="W714" s="256">
        <f t="shared" si="2179"/>
        <v>12326</v>
      </c>
      <c r="X714" s="714"/>
      <c r="Y714" s="718"/>
      <c r="Z714" s="718"/>
      <c r="AA714" s="716"/>
      <c r="AB714" s="350">
        <v>969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83" t="s">
        <v>334</v>
      </c>
      <c r="C715" s="703"/>
      <c r="D715" s="703"/>
      <c r="E715" s="704"/>
      <c r="F715" s="255">
        <v>11100</v>
      </c>
      <c r="G715" s="257">
        <f t="shared" ref="G715" si="2182">+F715*$X$1</f>
        <v>11100</v>
      </c>
      <c r="H715" s="527"/>
      <c r="I715" s="255"/>
      <c r="J715" s="68"/>
      <c r="K715" s="255"/>
      <c r="L715" s="527"/>
      <c r="M715" s="255"/>
      <c r="N715" s="527"/>
      <c r="O715" s="255"/>
      <c r="P715" s="527">
        <f t="shared" si="2172"/>
        <v>11500</v>
      </c>
      <c r="Q715" s="255">
        <f t="shared" si="2173"/>
        <v>11500</v>
      </c>
      <c r="R715" s="527">
        <f t="shared" si="2174"/>
        <v>11430</v>
      </c>
      <c r="S715" s="255">
        <f t="shared" si="2175"/>
        <v>11430</v>
      </c>
      <c r="T715" s="527">
        <f t="shared" si="2176"/>
        <v>11380</v>
      </c>
      <c r="U715" s="255">
        <f t="shared" si="2177"/>
        <v>11380</v>
      </c>
      <c r="V715" s="527">
        <f t="shared" si="2178"/>
        <v>11320</v>
      </c>
      <c r="W715" s="255">
        <f t="shared" si="2179"/>
        <v>11320</v>
      </c>
      <c r="X715" s="199"/>
      <c r="Y715" s="201"/>
      <c r="Z715" s="201"/>
      <c r="AA715" s="200"/>
      <c r="AB715" s="350" t="s">
        <v>403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57" t="s">
        <v>183</v>
      </c>
      <c r="C716" s="633"/>
      <c r="D716" s="633"/>
      <c r="E716" s="633"/>
      <c r="F716" s="256">
        <v>3090</v>
      </c>
      <c r="G716" s="256">
        <f t="shared" ref="G716" si="2183">+F716*$X$1</f>
        <v>3090</v>
      </c>
      <c r="H716" s="536"/>
      <c r="I716" s="256"/>
      <c r="J716" s="82"/>
      <c r="K716" s="256"/>
      <c r="L716" s="530"/>
      <c r="M716" s="256"/>
      <c r="N716" s="530"/>
      <c r="O716" s="256"/>
      <c r="P716" s="530">
        <f t="shared" si="2172"/>
        <v>3490</v>
      </c>
      <c r="Q716" s="256">
        <f t="shared" si="2173"/>
        <v>3490</v>
      </c>
      <c r="R716" s="530">
        <f t="shared" si="2174"/>
        <v>3420</v>
      </c>
      <c r="S716" s="256">
        <f t="shared" si="2175"/>
        <v>3420</v>
      </c>
      <c r="T716" s="530">
        <f t="shared" si="2176"/>
        <v>3370</v>
      </c>
      <c r="U716" s="256">
        <f t="shared" si="2177"/>
        <v>3370</v>
      </c>
      <c r="V716" s="530">
        <f t="shared" si="2178"/>
        <v>3310</v>
      </c>
      <c r="W716" s="256">
        <f t="shared" si="2179"/>
        <v>3310</v>
      </c>
      <c r="X716" s="714"/>
      <c r="Y716" s="718"/>
      <c r="Z716" s="718"/>
      <c r="AA716" s="716"/>
      <c r="AB716" s="350">
        <v>970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477"/>
      <c r="C717" s="184"/>
      <c r="D717" s="184"/>
      <c r="E717" s="184"/>
      <c r="F717" s="106"/>
      <c r="G717" s="106"/>
      <c r="H717" s="511"/>
      <c r="I717" s="511"/>
      <c r="J717" s="60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568"/>
      <c r="Y717" s="569"/>
      <c r="Z717" s="569"/>
      <c r="AA717" s="610"/>
      <c r="AB717" s="613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477"/>
      <c r="C718" s="184"/>
      <c r="D718" s="184"/>
      <c r="E718" s="184"/>
      <c r="F718" s="106"/>
      <c r="G718" s="106"/>
      <c r="H718" s="511"/>
      <c r="I718" s="511"/>
      <c r="J718" s="60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568"/>
      <c r="Y718" s="569"/>
      <c r="Z718" s="569"/>
      <c r="AA718" s="610"/>
      <c r="AB718" s="613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77"/>
      <c r="C719" s="184"/>
      <c r="D719" s="184"/>
      <c r="E719" s="184"/>
      <c r="F719" s="106"/>
      <c r="G719" s="106"/>
      <c r="H719" s="511"/>
      <c r="I719" s="511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68"/>
      <c r="Y719" s="569"/>
      <c r="Z719" s="569"/>
      <c r="AA719" s="610"/>
      <c r="AB719" s="613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ht="14.25" customHeight="1" x14ac:dyDescent="0.2">
      <c r="B720" s="1028" t="s">
        <v>11</v>
      </c>
      <c r="C720" s="1028" t="s">
        <v>12</v>
      </c>
      <c r="D720" s="1029"/>
      <c r="E720" s="1029"/>
      <c r="F720" s="650" t="s">
        <v>259</v>
      </c>
      <c r="G720" s="650" t="s">
        <v>13</v>
      </c>
      <c r="H720" s="695" t="s">
        <v>723</v>
      </c>
      <c r="I720" s="695"/>
      <c r="J720" s="696"/>
      <c r="K720" s="696"/>
      <c r="L720" s="696"/>
      <c r="M720" s="696"/>
      <c r="N720" s="696"/>
      <c r="O720" s="696"/>
      <c r="P720" s="696"/>
      <c r="Q720" s="696"/>
      <c r="R720" s="696"/>
      <c r="S720" s="696"/>
      <c r="T720" s="696"/>
      <c r="U720" s="696"/>
      <c r="V720" s="696"/>
      <c r="W720" s="696"/>
      <c r="X720" s="739" t="s">
        <v>14</v>
      </c>
      <c r="Y720" s="1141"/>
      <c r="Z720" s="1141"/>
      <c r="AA720" s="1142"/>
      <c r="AB720" s="1154" t="s">
        <v>15</v>
      </c>
      <c r="AF720" s="640" t="s">
        <v>3</v>
      </c>
      <c r="AG720" s="641"/>
      <c r="AH720" s="641"/>
    </row>
    <row r="721" spans="1:38" ht="12" customHeight="1" x14ac:dyDescent="0.2">
      <c r="B721" s="1029"/>
      <c r="C721" s="1029"/>
      <c r="D721" s="1029"/>
      <c r="E721" s="1029"/>
      <c r="F721" s="651"/>
      <c r="G721" s="651"/>
      <c r="H721" s="397"/>
      <c r="I721" s="398" t="s">
        <v>510</v>
      </c>
      <c r="J721" s="397"/>
      <c r="K721" s="398" t="s">
        <v>260</v>
      </c>
      <c r="L721" s="398"/>
      <c r="M721" s="398" t="s">
        <v>261</v>
      </c>
      <c r="N721" s="398"/>
      <c r="O721" s="398" t="s">
        <v>512</v>
      </c>
      <c r="P721" s="398"/>
      <c r="Q721" s="398" t="s">
        <v>17</v>
      </c>
      <c r="R721" s="398"/>
      <c r="S721" s="398" t="s">
        <v>18</v>
      </c>
      <c r="T721" s="398"/>
      <c r="U721" s="398" t="s">
        <v>19</v>
      </c>
      <c r="V721" s="398"/>
      <c r="W721" s="398" t="s">
        <v>513</v>
      </c>
      <c r="X721" s="1143"/>
      <c r="Y721" s="1144"/>
      <c r="Z721" s="1144"/>
      <c r="AA721" s="1145"/>
      <c r="AB721" s="639"/>
    </row>
    <row r="722" spans="1:38" s="1" customFormat="1" ht="12.6" customHeight="1" x14ac:dyDescent="0.2">
      <c r="A722" s="18"/>
      <c r="B722" s="657" t="s">
        <v>184</v>
      </c>
      <c r="C722" s="633"/>
      <c r="D722" s="633"/>
      <c r="E722" s="633"/>
      <c r="F722" s="256">
        <v>3193</v>
      </c>
      <c r="G722" s="258">
        <f t="shared" ref="G722" si="2184">+F722*$X$1</f>
        <v>3193</v>
      </c>
      <c r="H722" s="536"/>
      <c r="I722" s="256"/>
      <c r="J722" s="82"/>
      <c r="K722" s="256"/>
      <c r="L722" s="536"/>
      <c r="M722" s="256"/>
      <c r="N722" s="536"/>
      <c r="O722" s="256"/>
      <c r="P722" s="536">
        <f>F722+400</f>
        <v>3593</v>
      </c>
      <c r="Q722" s="256">
        <f>+P722*$X$1</f>
        <v>3593</v>
      </c>
      <c r="R722" s="536">
        <f>F722+330</f>
        <v>3523</v>
      </c>
      <c r="S722" s="256">
        <f>+R722*$X$1</f>
        <v>3523</v>
      </c>
      <c r="T722" s="536">
        <f>F722+280</f>
        <v>3473</v>
      </c>
      <c r="U722" s="256">
        <f>+T722*$X$1</f>
        <v>3473</v>
      </c>
      <c r="V722" s="536">
        <f>F722+220</f>
        <v>3413</v>
      </c>
      <c r="W722" s="256">
        <f>+V722*$X$1</f>
        <v>3413</v>
      </c>
      <c r="X722" s="714"/>
      <c r="Y722" s="718"/>
      <c r="Z722" s="718"/>
      <c r="AA722" s="716"/>
      <c r="AB722" s="350">
        <v>971</v>
      </c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:38" s="1" customFormat="1" ht="12.6" customHeight="1" x14ac:dyDescent="0.2">
      <c r="A723" s="18"/>
      <c r="B723" s="683" t="s">
        <v>335</v>
      </c>
      <c r="C723" s="703"/>
      <c r="D723" s="703"/>
      <c r="E723" s="704"/>
      <c r="F723" s="255">
        <v>5394</v>
      </c>
      <c r="G723" s="257">
        <f t="shared" ref="G723" si="2185">+F723*$X$1</f>
        <v>5394</v>
      </c>
      <c r="H723" s="527"/>
      <c r="I723" s="255"/>
      <c r="J723" s="68"/>
      <c r="K723" s="255"/>
      <c r="L723" s="527"/>
      <c r="M723" s="255"/>
      <c r="N723" s="527"/>
      <c r="O723" s="255"/>
      <c r="P723" s="527">
        <f>F723+400</f>
        <v>5794</v>
      </c>
      <c r="Q723" s="255">
        <f>+P723*$X$1</f>
        <v>5794</v>
      </c>
      <c r="R723" s="527">
        <f>F723+330</f>
        <v>5724</v>
      </c>
      <c r="S723" s="255">
        <f>+R723*$X$1</f>
        <v>5724</v>
      </c>
      <c r="T723" s="527">
        <f>F723+280</f>
        <v>5674</v>
      </c>
      <c r="U723" s="255">
        <f>+T723*$X$1</f>
        <v>5674</v>
      </c>
      <c r="V723" s="527">
        <f>F723+220</f>
        <v>5614</v>
      </c>
      <c r="W723" s="255">
        <f>+V723*$X$1</f>
        <v>5614</v>
      </c>
      <c r="X723" s="141"/>
      <c r="Y723" s="142"/>
      <c r="Z723" s="142"/>
      <c r="AA723" s="143"/>
      <c r="AB723" s="350">
        <v>972</v>
      </c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s="1" customFormat="1" ht="12.6" customHeight="1" x14ac:dyDescent="0.2">
      <c r="A724" s="18"/>
      <c r="B724" s="657" t="s">
        <v>185</v>
      </c>
      <c r="C724" s="633"/>
      <c r="D724" s="633"/>
      <c r="E724" s="633"/>
      <c r="F724" s="536"/>
      <c r="G724" s="536"/>
      <c r="H724" s="250"/>
      <c r="I724" s="250"/>
      <c r="J724" s="82"/>
      <c r="K724" s="536"/>
      <c r="L724" s="536"/>
      <c r="M724" s="536"/>
      <c r="N724" s="536"/>
      <c r="O724" s="536"/>
      <c r="P724" s="536"/>
      <c r="Q724" s="536"/>
      <c r="R724" s="536"/>
      <c r="S724" s="536"/>
      <c r="T724" s="536"/>
      <c r="U724" s="536"/>
      <c r="V724" s="536"/>
      <c r="W724" s="536"/>
      <c r="X724" s="750"/>
      <c r="Y724" s="751"/>
      <c r="Z724" s="751"/>
      <c r="AA724" s="752"/>
      <c r="AB724" s="178">
        <v>980</v>
      </c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s="1" customFormat="1" ht="12.6" customHeight="1" x14ac:dyDescent="0.2">
      <c r="A725" s="18"/>
      <c r="B725" s="678" t="s">
        <v>186</v>
      </c>
      <c r="C725" s="682"/>
      <c r="D725" s="682"/>
      <c r="E725" s="682"/>
      <c r="F725" s="93"/>
      <c r="G725" s="527"/>
      <c r="H725" s="251"/>
      <c r="I725" s="251"/>
      <c r="J725" s="68"/>
      <c r="K725" s="527"/>
      <c r="L725" s="527"/>
      <c r="M725" s="527"/>
      <c r="N725" s="527"/>
      <c r="O725" s="527"/>
      <c r="P725" s="527"/>
      <c r="Q725" s="527"/>
      <c r="R725" s="527"/>
      <c r="S725" s="527"/>
      <c r="T725" s="527"/>
      <c r="U725" s="527"/>
      <c r="V725" s="527"/>
      <c r="W725" s="527"/>
      <c r="X725" s="750"/>
      <c r="Y725" s="751"/>
      <c r="Z725" s="751"/>
      <c r="AA725" s="752"/>
      <c r="AB725" s="178">
        <v>981</v>
      </c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s="1" customFormat="1" ht="12.6" customHeight="1" x14ac:dyDescent="0.2">
      <c r="A726" s="18"/>
      <c r="B726" s="642" t="s">
        <v>419</v>
      </c>
      <c r="C726" s="643"/>
      <c r="D726" s="643"/>
      <c r="E726" s="644"/>
      <c r="F726" s="92"/>
      <c r="G726" s="536"/>
      <c r="H726" s="250"/>
      <c r="I726" s="250"/>
      <c r="J726" s="82"/>
      <c r="K726" s="536"/>
      <c r="L726" s="536"/>
      <c r="M726" s="536"/>
      <c r="N726" s="536"/>
      <c r="O726" s="536"/>
      <c r="P726" s="536"/>
      <c r="Q726" s="536"/>
      <c r="R726" s="536"/>
      <c r="S726" s="536"/>
      <c r="T726" s="536"/>
      <c r="U726" s="536"/>
      <c r="V726" s="536"/>
      <c r="W726" s="536"/>
      <c r="X726" s="750"/>
      <c r="Y726" s="751"/>
      <c r="Z726" s="751"/>
      <c r="AA726" s="752"/>
      <c r="AB726" s="178">
        <v>982</v>
      </c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1" customFormat="1" ht="12.6" customHeight="1" x14ac:dyDescent="0.2">
      <c r="A727" s="18"/>
      <c r="B727" s="678" t="s">
        <v>452</v>
      </c>
      <c r="C727" s="682"/>
      <c r="D727" s="682"/>
      <c r="E727" s="682"/>
      <c r="F727" s="527"/>
      <c r="G727" s="527"/>
      <c r="H727" s="251"/>
      <c r="I727" s="251"/>
      <c r="J727" s="68"/>
      <c r="K727" s="527"/>
      <c r="L727" s="527"/>
      <c r="M727" s="527"/>
      <c r="N727" s="527"/>
      <c r="O727" s="527"/>
      <c r="P727" s="527"/>
      <c r="Q727" s="527"/>
      <c r="R727" s="527"/>
      <c r="S727" s="527"/>
      <c r="T727" s="527"/>
      <c r="U727" s="527"/>
      <c r="V727" s="527"/>
      <c r="W727" s="527"/>
      <c r="X727" s="750"/>
      <c r="Y727" s="751"/>
      <c r="Z727" s="751"/>
      <c r="AA727" s="752"/>
      <c r="AB727" s="178">
        <v>983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657" t="s">
        <v>187</v>
      </c>
      <c r="C728" s="658"/>
      <c r="D728" s="658"/>
      <c r="E728" s="658"/>
      <c r="F728" s="536"/>
      <c r="G728" s="536"/>
      <c r="H728" s="250"/>
      <c r="I728" s="250"/>
      <c r="J728" s="82"/>
      <c r="K728" s="536"/>
      <c r="L728" s="536"/>
      <c r="M728" s="536"/>
      <c r="N728" s="536"/>
      <c r="O728" s="536"/>
      <c r="P728" s="536"/>
      <c r="Q728" s="536"/>
      <c r="R728" s="536"/>
      <c r="S728" s="536"/>
      <c r="T728" s="536"/>
      <c r="U728" s="536"/>
      <c r="V728" s="536"/>
      <c r="W728" s="536"/>
      <c r="X728" s="750"/>
      <c r="Y728" s="751"/>
      <c r="Z728" s="751"/>
      <c r="AA728" s="752"/>
      <c r="AB728" s="178">
        <v>984</v>
      </c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756" t="s">
        <v>188</v>
      </c>
      <c r="C729" s="1149"/>
      <c r="D729" s="1149"/>
      <c r="E729" s="1150"/>
      <c r="F729" s="93"/>
      <c r="G729" s="93"/>
      <c r="H729" s="407"/>
      <c r="I729" s="407"/>
      <c r="J729" s="79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750"/>
      <c r="Y729" s="751"/>
      <c r="Z729" s="751"/>
      <c r="AA729" s="752"/>
      <c r="AB729" s="178">
        <v>985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42" t="s">
        <v>838</v>
      </c>
      <c r="C730" s="680"/>
      <c r="D730" s="680"/>
      <c r="E730" s="681"/>
      <c r="F730" s="300">
        <f>21.75*X2</f>
        <v>33495</v>
      </c>
      <c r="G730" s="256">
        <f>+F730*$X$1</f>
        <v>33495</v>
      </c>
      <c r="H730" s="536">
        <f>F730+3000</f>
        <v>36495</v>
      </c>
      <c r="I730" s="256">
        <f t="shared" ref="I730" si="2186">+H730*$X$1</f>
        <v>36495</v>
      </c>
      <c r="J730" s="536">
        <f>F730+900</f>
        <v>34395</v>
      </c>
      <c r="K730" s="256">
        <f t="shared" ref="K730" si="2187">+J730*$X$1</f>
        <v>34395</v>
      </c>
      <c r="L730" s="536">
        <f>F730+700</f>
        <v>34195</v>
      </c>
      <c r="M730" s="256">
        <f t="shared" ref="M730" si="2188">+L730*$X$1</f>
        <v>34195</v>
      </c>
      <c r="N730" s="536">
        <f>F730+500</f>
        <v>33995</v>
      </c>
      <c r="O730" s="256">
        <f t="shared" ref="O730" si="2189">+N730*$X$1</f>
        <v>33995</v>
      </c>
      <c r="P730" s="536">
        <f>F730+400</f>
        <v>33895</v>
      </c>
      <c r="Q730" s="256">
        <f t="shared" ref="Q730" si="2190">+P730*$X$1</f>
        <v>33895</v>
      </c>
      <c r="R730" s="536">
        <f>F730+330</f>
        <v>33825</v>
      </c>
      <c r="S730" s="256">
        <f t="shared" ref="S730" si="2191">+R730*$X$1</f>
        <v>33825</v>
      </c>
      <c r="T730" s="536">
        <f>F730+280</f>
        <v>33775</v>
      </c>
      <c r="U730" s="256">
        <f t="shared" ref="U730" si="2192">+T730*$X$1</f>
        <v>33775</v>
      </c>
      <c r="V730" s="536">
        <f>F730+220</f>
        <v>33715</v>
      </c>
      <c r="W730" s="256">
        <f t="shared" ref="W730" si="2193">+V730*$X$1</f>
        <v>33715</v>
      </c>
      <c r="X730" s="714"/>
      <c r="Y730" s="715"/>
      <c r="Z730" s="715"/>
      <c r="AA730" s="716"/>
      <c r="AB730" s="178">
        <v>990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83" t="s">
        <v>815</v>
      </c>
      <c r="C731" s="703"/>
      <c r="D731" s="703"/>
      <c r="E731" s="704"/>
      <c r="F731" s="271">
        <f>18.44*X2</f>
        <v>28397.600000000002</v>
      </c>
      <c r="G731" s="255">
        <f>+F731*$X$1</f>
        <v>28397.600000000002</v>
      </c>
      <c r="H731" s="527">
        <f>F731+3000</f>
        <v>31397.600000000002</v>
      </c>
      <c r="I731" s="255">
        <f t="shared" ref="I731" si="2194">+H731*$X$1</f>
        <v>31397.600000000002</v>
      </c>
      <c r="J731" s="527">
        <f>F731+900</f>
        <v>29297.600000000002</v>
      </c>
      <c r="K731" s="255">
        <f t="shared" ref="K731" si="2195">+J731*$X$1</f>
        <v>29297.600000000002</v>
      </c>
      <c r="L731" s="527">
        <f>F731+700</f>
        <v>29097.600000000002</v>
      </c>
      <c r="M731" s="255">
        <f t="shared" ref="M731" si="2196">+L731*$X$1</f>
        <v>29097.600000000002</v>
      </c>
      <c r="N731" s="527">
        <f>F731+500</f>
        <v>28897.600000000002</v>
      </c>
      <c r="O731" s="255">
        <f t="shared" ref="O731" si="2197">+N731*$X$1</f>
        <v>28897.600000000002</v>
      </c>
      <c r="P731" s="527">
        <f>F731+400</f>
        <v>28797.600000000002</v>
      </c>
      <c r="Q731" s="255">
        <f t="shared" ref="Q731" si="2198">+P731*$X$1</f>
        <v>28797.600000000002</v>
      </c>
      <c r="R731" s="527">
        <f>F731+330</f>
        <v>28727.600000000002</v>
      </c>
      <c r="S731" s="255">
        <f t="shared" ref="S731" si="2199">+R731*$X$1</f>
        <v>28727.600000000002</v>
      </c>
      <c r="T731" s="527">
        <f>F731+280</f>
        <v>28677.600000000002</v>
      </c>
      <c r="U731" s="255">
        <f t="shared" ref="U731" si="2200">+T731*$X$1</f>
        <v>28677.600000000002</v>
      </c>
      <c r="V731" s="527">
        <f>F731+220</f>
        <v>28617.600000000002</v>
      </c>
      <c r="W731" s="255">
        <f t="shared" ref="W731" si="2201">+V731*$X$1</f>
        <v>28617.600000000002</v>
      </c>
      <c r="X731" s="714"/>
      <c r="Y731" s="715"/>
      <c r="Z731" s="715"/>
      <c r="AA731" s="716"/>
      <c r="AB731" s="178">
        <v>993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ht="12.6" customHeight="1" x14ac:dyDescent="0.2">
      <c r="B732" s="632" t="s">
        <v>652</v>
      </c>
      <c r="C732" s="632"/>
      <c r="D732" s="632"/>
      <c r="E732" s="632"/>
      <c r="F732" s="300">
        <f>27.46*X2</f>
        <v>42288.4</v>
      </c>
      <c r="G732" s="256">
        <f t="shared" ref="G732:G746" si="2202">+F732*$X$1</f>
        <v>42288.4</v>
      </c>
      <c r="H732" s="391">
        <f>F732+4500</f>
        <v>46788.4</v>
      </c>
      <c r="I732" s="256">
        <f t="shared" ref="I732" si="2203">+H732*$X$1</f>
        <v>46788.4</v>
      </c>
      <c r="J732" s="391">
        <f>F732+1500</f>
        <v>43788.4</v>
      </c>
      <c r="K732" s="256">
        <f t="shared" ref="K732" si="2204">+J732*$X$1</f>
        <v>43788.4</v>
      </c>
      <c r="L732" s="391">
        <f>F732+1200</f>
        <v>43488.4</v>
      </c>
      <c r="M732" s="256">
        <f t="shared" ref="M732:M733" si="2205">+L732*$X$1</f>
        <v>43488.4</v>
      </c>
      <c r="N732" s="391">
        <f>F732+900</f>
        <v>43188.4</v>
      </c>
      <c r="O732" s="256">
        <f t="shared" ref="O732:O733" si="2206">+N732*$X$1</f>
        <v>43188.4</v>
      </c>
      <c r="P732" s="391">
        <f>F732+750</f>
        <v>43038.400000000001</v>
      </c>
      <c r="Q732" s="256">
        <f t="shared" ref="Q732:Q733" si="2207">+P732*$X$1</f>
        <v>43038.400000000001</v>
      </c>
      <c r="R732" s="391">
        <f>F732+650</f>
        <v>42938.400000000001</v>
      </c>
      <c r="S732" s="256">
        <f t="shared" ref="S732:S737" si="2208">+R732*$X$1</f>
        <v>42938.400000000001</v>
      </c>
      <c r="T732" s="391">
        <f>F732+500</f>
        <v>42788.4</v>
      </c>
      <c r="U732" s="256">
        <f t="shared" ref="U732:U737" si="2209">+T732*$X$1</f>
        <v>42788.4</v>
      </c>
      <c r="V732" s="391">
        <f>F732+400</f>
        <v>42688.4</v>
      </c>
      <c r="W732" s="256">
        <f t="shared" ref="W732:W737" si="2210">+V732*$X$1</f>
        <v>42688.4</v>
      </c>
      <c r="X732" s="384"/>
      <c r="Y732" s="124"/>
      <c r="Z732" s="122"/>
      <c r="AA732" s="125"/>
      <c r="AB732" s="357" t="s">
        <v>653</v>
      </c>
    </row>
    <row r="733" spans="1:38" s="1" customFormat="1" ht="12.6" customHeight="1" x14ac:dyDescent="0.2">
      <c r="A733" s="18"/>
      <c r="B733" s="683" t="s">
        <v>189</v>
      </c>
      <c r="C733" s="763"/>
      <c r="D733" s="763"/>
      <c r="E733" s="764"/>
      <c r="F733" s="255">
        <v>1400</v>
      </c>
      <c r="G733" s="270">
        <f t="shared" ref="G733" si="2211">+F733*$X$1</f>
        <v>1400</v>
      </c>
      <c r="H733" s="507"/>
      <c r="I733" s="255"/>
      <c r="J733" s="507"/>
      <c r="K733" s="255"/>
      <c r="L733" s="507">
        <f>F733+700</f>
        <v>2100</v>
      </c>
      <c r="M733" s="255">
        <f t="shared" si="2205"/>
        <v>2100</v>
      </c>
      <c r="N733" s="507">
        <f>F733+500</f>
        <v>1900</v>
      </c>
      <c r="O733" s="255">
        <f t="shared" si="2206"/>
        <v>1900</v>
      </c>
      <c r="P733" s="507">
        <f>F733+400</f>
        <v>1800</v>
      </c>
      <c r="Q733" s="255">
        <f t="shared" si="2207"/>
        <v>1800</v>
      </c>
      <c r="R733" s="507">
        <f>F733+330</f>
        <v>1730</v>
      </c>
      <c r="S733" s="255">
        <f t="shared" si="2208"/>
        <v>1730</v>
      </c>
      <c r="T733" s="507">
        <f>F733+280</f>
        <v>1680</v>
      </c>
      <c r="U733" s="255">
        <f t="shared" si="2209"/>
        <v>1680</v>
      </c>
      <c r="V733" s="507">
        <f>F733+220</f>
        <v>1620</v>
      </c>
      <c r="W733" s="255">
        <f t="shared" si="2210"/>
        <v>1620</v>
      </c>
      <c r="X733" s="714"/>
      <c r="Y733" s="715"/>
      <c r="Z733" s="715"/>
      <c r="AA733" s="716"/>
      <c r="AB733" s="178">
        <v>1001</v>
      </c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s="1" customFormat="1" ht="12.6" customHeight="1" x14ac:dyDescent="0.2">
      <c r="A734" s="18"/>
      <c r="B734" s="642" t="s">
        <v>190</v>
      </c>
      <c r="C734" s="766"/>
      <c r="D734" s="766"/>
      <c r="E734" s="767"/>
      <c r="F734" s="280">
        <v>1400</v>
      </c>
      <c r="G734" s="256">
        <f>+F734*$X$1</f>
        <v>1400</v>
      </c>
      <c r="H734" s="523"/>
      <c r="I734" s="509"/>
      <c r="J734" s="509"/>
      <c r="K734" s="509"/>
      <c r="L734" s="391"/>
      <c r="M734" s="256"/>
      <c r="N734" s="391"/>
      <c r="O734" s="256"/>
      <c r="P734" s="391"/>
      <c r="Q734" s="256"/>
      <c r="R734" s="391">
        <f>F734+330</f>
        <v>1730</v>
      </c>
      <c r="S734" s="256">
        <f t="shared" si="2208"/>
        <v>1730</v>
      </c>
      <c r="T734" s="391">
        <f>F734+280</f>
        <v>1680</v>
      </c>
      <c r="U734" s="256">
        <f t="shared" si="2209"/>
        <v>1680</v>
      </c>
      <c r="V734" s="391">
        <f>F734+220</f>
        <v>1620</v>
      </c>
      <c r="W734" s="256">
        <f t="shared" si="2210"/>
        <v>1620</v>
      </c>
      <c r="X734" s="714"/>
      <c r="Y734" s="715"/>
      <c r="Z734" s="715"/>
      <c r="AA734" s="716"/>
      <c r="AB734" s="178">
        <v>1002</v>
      </c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s="1" customFormat="1" ht="12.6" customHeight="1" x14ac:dyDescent="0.2">
      <c r="A735" s="18"/>
      <c r="B735" s="1151" t="s">
        <v>572</v>
      </c>
      <c r="C735" s="1152"/>
      <c r="D735" s="1152"/>
      <c r="E735" s="1153"/>
      <c r="F735" s="257">
        <v>1400</v>
      </c>
      <c r="G735" s="257">
        <f>+F735*$X$1</f>
        <v>1400</v>
      </c>
      <c r="H735" s="524"/>
      <c r="I735" s="557"/>
      <c r="J735" s="557"/>
      <c r="K735" s="557"/>
      <c r="L735" s="102"/>
      <c r="M735" s="257"/>
      <c r="N735" s="102"/>
      <c r="O735" s="257"/>
      <c r="P735" s="102"/>
      <c r="Q735" s="257"/>
      <c r="R735" s="102">
        <f>F735+330</f>
        <v>1730</v>
      </c>
      <c r="S735" s="257">
        <f t="shared" si="2208"/>
        <v>1730</v>
      </c>
      <c r="T735" s="102">
        <f>F735+280</f>
        <v>1680</v>
      </c>
      <c r="U735" s="257">
        <f t="shared" si="2209"/>
        <v>1680</v>
      </c>
      <c r="V735" s="102">
        <f>F735+220</f>
        <v>1620</v>
      </c>
      <c r="W735" s="257">
        <f t="shared" si="2210"/>
        <v>1620</v>
      </c>
      <c r="X735" s="714"/>
      <c r="Y735" s="715"/>
      <c r="Z735" s="715"/>
      <c r="AA735" s="716"/>
      <c r="AB735" s="178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s="1" customFormat="1" ht="12.6" customHeight="1" x14ac:dyDescent="0.2">
      <c r="A736" s="18"/>
      <c r="B736" s="657" t="s">
        <v>618</v>
      </c>
      <c r="C736" s="633"/>
      <c r="D736" s="633"/>
      <c r="E736" s="633"/>
      <c r="F736" s="256">
        <v>1650</v>
      </c>
      <c r="G736" s="256">
        <f>+F736*$X$1</f>
        <v>1650</v>
      </c>
      <c r="H736" s="560"/>
      <c r="I736" s="560"/>
      <c r="J736" s="560"/>
      <c r="K736" s="560"/>
      <c r="L736" s="536"/>
      <c r="M736" s="256"/>
      <c r="N736" s="536"/>
      <c r="O736" s="256"/>
      <c r="P736" s="536"/>
      <c r="Q736" s="256"/>
      <c r="R736" s="536">
        <f>F736+330</f>
        <v>1980</v>
      </c>
      <c r="S736" s="256">
        <f t="shared" si="2208"/>
        <v>1980</v>
      </c>
      <c r="T736" s="536">
        <f>F736+280</f>
        <v>1930</v>
      </c>
      <c r="U736" s="256">
        <f t="shared" si="2209"/>
        <v>1930</v>
      </c>
      <c r="V736" s="536">
        <f>F736+220</f>
        <v>1870</v>
      </c>
      <c r="W736" s="256">
        <f t="shared" si="2210"/>
        <v>1870</v>
      </c>
      <c r="X736" s="714"/>
      <c r="Y736" s="718"/>
      <c r="Z736" s="718"/>
      <c r="AA736" s="716"/>
      <c r="AB736" s="178">
        <v>1004</v>
      </c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s="1" customFormat="1" ht="12.6" customHeight="1" x14ac:dyDescent="0.2">
      <c r="A737" s="18"/>
      <c r="B737" s="678" t="s">
        <v>617</v>
      </c>
      <c r="C737" s="678"/>
      <c r="D737" s="678"/>
      <c r="E737" s="678"/>
      <c r="F737" s="255">
        <v>1650</v>
      </c>
      <c r="G737" s="255">
        <f>+F737*$X$1</f>
        <v>1650</v>
      </c>
      <c r="H737" s="267"/>
      <c r="I737" s="558"/>
      <c r="J737" s="558"/>
      <c r="K737" s="558"/>
      <c r="L737" s="527"/>
      <c r="M737" s="255"/>
      <c r="N737" s="527"/>
      <c r="O737" s="255"/>
      <c r="P737" s="527"/>
      <c r="Q737" s="255"/>
      <c r="R737" s="527">
        <f>F737+330</f>
        <v>1980</v>
      </c>
      <c r="S737" s="255">
        <f t="shared" si="2208"/>
        <v>1980</v>
      </c>
      <c r="T737" s="527">
        <f>F737+280</f>
        <v>1930</v>
      </c>
      <c r="U737" s="255">
        <f t="shared" si="2209"/>
        <v>1930</v>
      </c>
      <c r="V737" s="527">
        <f>F737+220</f>
        <v>1870</v>
      </c>
      <c r="W737" s="255">
        <f t="shared" si="2210"/>
        <v>1870</v>
      </c>
      <c r="X737" s="714"/>
      <c r="Y737" s="715"/>
      <c r="Z737" s="715"/>
      <c r="AA737" s="716"/>
      <c r="AB737" s="178">
        <v>1005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s="1" customFormat="1" ht="12.6" customHeight="1" x14ac:dyDescent="0.2">
      <c r="A738" s="18"/>
      <c r="B738" s="657" t="s">
        <v>191</v>
      </c>
      <c r="C738" s="633"/>
      <c r="D738" s="633"/>
      <c r="E738" s="633"/>
      <c r="F738" s="256"/>
      <c r="G738" s="256"/>
      <c r="H738" s="560"/>
      <c r="I738" s="560"/>
      <c r="J738" s="560"/>
      <c r="K738" s="560"/>
      <c r="L738" s="560"/>
      <c r="M738" s="560"/>
      <c r="N738" s="536"/>
      <c r="O738" s="256"/>
      <c r="P738" s="536"/>
      <c r="Q738" s="256"/>
      <c r="R738" s="536"/>
      <c r="S738" s="256"/>
      <c r="T738" s="536"/>
      <c r="U738" s="256"/>
      <c r="V738" s="536"/>
      <c r="W738" s="256"/>
      <c r="X738" s="714"/>
      <c r="Y738" s="715"/>
      <c r="Z738" s="715"/>
      <c r="AA738" s="716"/>
      <c r="AB738" s="178">
        <v>1006</v>
      </c>
      <c r="AC738" s="4"/>
      <c r="AD738" s="4"/>
      <c r="AE738" s="4"/>
      <c r="AF738" s="4"/>
      <c r="AG738" s="4"/>
      <c r="AH738" s="116"/>
      <c r="AI738" s="4"/>
      <c r="AJ738" s="4"/>
      <c r="AK738" s="4"/>
      <c r="AL738" s="4"/>
    </row>
    <row r="739" spans="1:38" s="1" customFormat="1" ht="12.6" customHeight="1" x14ac:dyDescent="0.2">
      <c r="A739" s="18"/>
      <c r="B739" s="678" t="s">
        <v>503</v>
      </c>
      <c r="C739" s="679"/>
      <c r="D739" s="679"/>
      <c r="E739" s="679"/>
      <c r="F739" s="255">
        <v>9700</v>
      </c>
      <c r="G739" s="255">
        <f>+F739*$X$1</f>
        <v>9700</v>
      </c>
      <c r="H739" s="527">
        <f>F739+3000</f>
        <v>12700</v>
      </c>
      <c r="I739" s="255">
        <f t="shared" ref="I739" si="2212">+H739*$X$1</f>
        <v>12700</v>
      </c>
      <c r="J739" s="527">
        <f>F739+900</f>
        <v>10600</v>
      </c>
      <c r="K739" s="255">
        <f t="shared" ref="K739" si="2213">+J739*$X$1</f>
        <v>10600</v>
      </c>
      <c r="L739" s="527">
        <f>F739+700</f>
        <v>10400</v>
      </c>
      <c r="M739" s="255">
        <f t="shared" ref="M739" si="2214">+L739*$X$1</f>
        <v>10400</v>
      </c>
      <c r="N739" s="527">
        <f>F739+500</f>
        <v>10200</v>
      </c>
      <c r="O739" s="255">
        <f t="shared" ref="O739" si="2215">+N739*$X$1</f>
        <v>10200</v>
      </c>
      <c r="P739" s="527">
        <f>F739+400</f>
        <v>10100</v>
      </c>
      <c r="Q739" s="255">
        <f t="shared" ref="Q739" si="2216">+P739*$X$1</f>
        <v>10100</v>
      </c>
      <c r="R739" s="527">
        <f>F739+330</f>
        <v>10030</v>
      </c>
      <c r="S739" s="255">
        <f t="shared" ref="S739" si="2217">+R739*$X$1</f>
        <v>10030</v>
      </c>
      <c r="T739" s="527">
        <f>F739+280</f>
        <v>9980</v>
      </c>
      <c r="U739" s="255">
        <f t="shared" ref="U739" si="2218">+T739*$X$1</f>
        <v>9980</v>
      </c>
      <c r="V739" s="527">
        <f>F739+220</f>
        <v>9920</v>
      </c>
      <c r="W739" s="255">
        <f t="shared" ref="W739" si="2219">+V739*$X$1</f>
        <v>9920</v>
      </c>
      <c r="X739" s="714"/>
      <c r="Y739" s="715"/>
      <c r="Z739" s="715"/>
      <c r="AA739" s="716"/>
      <c r="AB739" s="178">
        <v>1010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57" t="s">
        <v>504</v>
      </c>
      <c r="C740" s="633"/>
      <c r="D740" s="633"/>
      <c r="E740" s="633"/>
      <c r="F740" s="256">
        <v>23995</v>
      </c>
      <c r="G740" s="256">
        <f>+F740*$X$1</f>
        <v>23995</v>
      </c>
      <c r="H740" s="536">
        <f>F740+3000</f>
        <v>26995</v>
      </c>
      <c r="I740" s="256">
        <f>+H740*$X$1</f>
        <v>26995</v>
      </c>
      <c r="J740" s="536">
        <f>F740+900</f>
        <v>24895</v>
      </c>
      <c r="K740" s="256">
        <f>+J740*$X$1</f>
        <v>24895</v>
      </c>
      <c r="L740" s="536">
        <f>F740+700</f>
        <v>24695</v>
      </c>
      <c r="M740" s="256">
        <f>+L740*$X$1</f>
        <v>24695</v>
      </c>
      <c r="N740" s="536">
        <f>F740+500</f>
        <v>24495</v>
      </c>
      <c r="O740" s="256">
        <f>+N740*$X$1</f>
        <v>24495</v>
      </c>
      <c r="P740" s="536">
        <f>F740+400</f>
        <v>24395</v>
      </c>
      <c r="Q740" s="256">
        <f>+P740*$X$1</f>
        <v>24395</v>
      </c>
      <c r="R740" s="536">
        <f>F740+330</f>
        <v>24325</v>
      </c>
      <c r="S740" s="256">
        <f>+R740*$X$1</f>
        <v>24325</v>
      </c>
      <c r="T740" s="536">
        <f>F740+280</f>
        <v>24275</v>
      </c>
      <c r="U740" s="256">
        <f>+T740*$X$1</f>
        <v>24275</v>
      </c>
      <c r="V740" s="536">
        <f>F740+220</f>
        <v>24215</v>
      </c>
      <c r="W740" s="256">
        <f>+V740*$X$1</f>
        <v>24215</v>
      </c>
      <c r="X740" s="714"/>
      <c r="Y740" s="715"/>
      <c r="Z740" s="715"/>
      <c r="AA740" s="716"/>
      <c r="AB740" s="178">
        <v>1011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s="1" customFormat="1" ht="12.6" customHeight="1" x14ac:dyDescent="0.2">
      <c r="A741" s="18"/>
      <c r="B741" s="627" t="s">
        <v>839</v>
      </c>
      <c r="C741" s="628"/>
      <c r="D741" s="628"/>
      <c r="E741" s="629"/>
      <c r="F741" s="299">
        <f>9.45*X2</f>
        <v>14552.999999999998</v>
      </c>
      <c r="G741" s="270">
        <f>+F741*$X$1</f>
        <v>14552.999999999998</v>
      </c>
      <c r="H741" s="93"/>
      <c r="I741" s="255"/>
      <c r="J741" s="527">
        <f>F741+2000</f>
        <v>16553</v>
      </c>
      <c r="K741" s="255">
        <f t="shared" ref="K741" si="2220">+J741*$X$1</f>
        <v>16553</v>
      </c>
      <c r="L741" s="527">
        <f>F741+1500</f>
        <v>16052.999999999998</v>
      </c>
      <c r="M741" s="255">
        <f t="shared" ref="M741:M742" si="2221">+L741*$X$1</f>
        <v>16052.999999999998</v>
      </c>
      <c r="N741" s="527">
        <f>F741+1200</f>
        <v>15752.999999999998</v>
      </c>
      <c r="O741" s="255">
        <f t="shared" ref="O741:O742" si="2222">+N741*$X$1</f>
        <v>15752.999999999998</v>
      </c>
      <c r="P741" s="527">
        <f>F741+1050</f>
        <v>15602.999999999998</v>
      </c>
      <c r="Q741" s="255">
        <f t="shared" ref="Q741:Q742" si="2223">+P741*$X$1</f>
        <v>15602.999999999998</v>
      </c>
      <c r="R741" s="527">
        <f>F741+950</f>
        <v>15502.999999999998</v>
      </c>
      <c r="S741" s="255">
        <f t="shared" ref="S741:S742" si="2224">+R741*$X$1</f>
        <v>15502.999999999998</v>
      </c>
      <c r="T741" s="527">
        <f>F741+800</f>
        <v>15352.999999999998</v>
      </c>
      <c r="U741" s="255">
        <f t="shared" ref="U741:U742" si="2225">+T741*$X$1</f>
        <v>15352.999999999998</v>
      </c>
      <c r="V741" s="527">
        <f>F741+650</f>
        <v>15202.999999999998</v>
      </c>
      <c r="W741" s="255">
        <f t="shared" ref="W741:W742" si="2226">+V741*$X$1</f>
        <v>15202.999999999998</v>
      </c>
      <c r="X741" s="714"/>
      <c r="Y741" s="715"/>
      <c r="Z741" s="715"/>
      <c r="AA741" s="716"/>
      <c r="AB741" s="178">
        <v>1020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ht="12.6" customHeight="1" x14ac:dyDescent="0.2">
      <c r="B742" s="632" t="s">
        <v>587</v>
      </c>
      <c r="C742" s="632"/>
      <c r="D742" s="632"/>
      <c r="E742" s="632"/>
      <c r="F742" s="256">
        <f>3.04*X2</f>
        <v>4681.6000000000004</v>
      </c>
      <c r="G742" s="256">
        <f t="shared" si="2202"/>
        <v>4681.6000000000004</v>
      </c>
      <c r="H742" s="95"/>
      <c r="I742" s="95"/>
      <c r="J742" s="250"/>
      <c r="K742" s="250"/>
      <c r="L742" s="536">
        <f>F742+700</f>
        <v>5381.6</v>
      </c>
      <c r="M742" s="256">
        <f t="shared" si="2221"/>
        <v>5381.6</v>
      </c>
      <c r="N742" s="536">
        <f>F742+500</f>
        <v>5181.6000000000004</v>
      </c>
      <c r="O742" s="256">
        <f t="shared" si="2222"/>
        <v>5181.6000000000004</v>
      </c>
      <c r="P742" s="536">
        <f>F742+400</f>
        <v>5081.6000000000004</v>
      </c>
      <c r="Q742" s="256">
        <f t="shared" si="2223"/>
        <v>5081.6000000000004</v>
      </c>
      <c r="R742" s="536">
        <f>F742+330</f>
        <v>5011.6000000000004</v>
      </c>
      <c r="S742" s="256">
        <f t="shared" si="2224"/>
        <v>5011.6000000000004</v>
      </c>
      <c r="T742" s="536">
        <f>F742+280</f>
        <v>4961.6000000000004</v>
      </c>
      <c r="U742" s="256">
        <f t="shared" si="2225"/>
        <v>4961.6000000000004</v>
      </c>
      <c r="V742" s="536">
        <f>F742+220</f>
        <v>4901.6000000000004</v>
      </c>
      <c r="W742" s="256">
        <f t="shared" si="2226"/>
        <v>4901.6000000000004</v>
      </c>
      <c r="X742" s="359"/>
      <c r="Y742" s="124"/>
      <c r="Z742" s="122"/>
      <c r="AA742" s="125"/>
      <c r="AB742" s="357" t="s">
        <v>588</v>
      </c>
    </row>
    <row r="743" spans="1:38" ht="12.6" customHeight="1" x14ac:dyDescent="0.2">
      <c r="B743" s="748" t="s">
        <v>440</v>
      </c>
      <c r="C743" s="748"/>
      <c r="D743" s="748"/>
      <c r="E743" s="748"/>
      <c r="F743" s="255">
        <f>3.91*X2</f>
        <v>6021.4000000000005</v>
      </c>
      <c r="G743" s="255">
        <f t="shared" si="2202"/>
        <v>6021.4000000000005</v>
      </c>
      <c r="H743" s="91"/>
      <c r="I743" s="91"/>
      <c r="J743" s="527">
        <f>F743+1000</f>
        <v>7021.4000000000005</v>
      </c>
      <c r="K743" s="255">
        <f t="shared" ref="K743:K746" si="2227">+J743*$X$1</f>
        <v>7021.4000000000005</v>
      </c>
      <c r="L743" s="527">
        <f>F743+600</f>
        <v>6621.4000000000005</v>
      </c>
      <c r="M743" s="255">
        <f t="shared" ref="M743:M746" si="2228">+L743*$X$1</f>
        <v>6621.4000000000005</v>
      </c>
      <c r="N743" s="527">
        <f>F743+380</f>
        <v>6401.4000000000005</v>
      </c>
      <c r="O743" s="255">
        <f t="shared" ref="O743:O746" si="2229">+N743*$X$1</f>
        <v>6401.4000000000005</v>
      </c>
      <c r="P743" s="527">
        <f>F743+270</f>
        <v>6291.4000000000005</v>
      </c>
      <c r="Q743" s="255">
        <f t="shared" ref="Q743:Q746" si="2230">+P743*$X$1</f>
        <v>6291.4000000000005</v>
      </c>
      <c r="R743" s="527">
        <f>F743+180</f>
        <v>6201.4000000000005</v>
      </c>
      <c r="S743" s="255">
        <f t="shared" ref="S743:S746" si="2231">+R743*$X$1</f>
        <v>6201.4000000000005</v>
      </c>
      <c r="T743" s="527">
        <f>F743+140</f>
        <v>6161.4000000000005</v>
      </c>
      <c r="U743" s="255">
        <f t="shared" ref="U743:U746" si="2232">+T743*$X$1</f>
        <v>6161.4000000000005</v>
      </c>
      <c r="V743" s="527">
        <f>F743+110</f>
        <v>6131.4000000000005</v>
      </c>
      <c r="W743" s="255">
        <f t="shared" ref="W743:W746" si="2233">+V743*$X$1</f>
        <v>6131.4000000000005</v>
      </c>
      <c r="X743" s="215"/>
      <c r="Y743" s="124"/>
      <c r="Z743" s="122"/>
      <c r="AA743" s="125"/>
      <c r="AB743" s="357" t="s">
        <v>376</v>
      </c>
    </row>
    <row r="744" spans="1:38" s="1" customFormat="1" ht="12.6" customHeight="1" x14ac:dyDescent="0.2">
      <c r="A744" s="18"/>
      <c r="B744" s="662" t="s">
        <v>947</v>
      </c>
      <c r="C744" s="665"/>
      <c r="D744" s="665"/>
      <c r="E744" s="666"/>
      <c r="F744" s="256">
        <f>12.67*X2</f>
        <v>19511.8</v>
      </c>
      <c r="G744" s="256">
        <f t="shared" ref="G744" si="2234">+F744*$X$1</f>
        <v>19511.8</v>
      </c>
      <c r="H744" s="536">
        <f>F744+3000</f>
        <v>22511.8</v>
      </c>
      <c r="I744" s="256">
        <f t="shared" ref="I744" si="2235">+H744*$X$1</f>
        <v>22511.8</v>
      </c>
      <c r="J744" s="536">
        <f>F744+900</f>
        <v>20411.8</v>
      </c>
      <c r="K744" s="256">
        <f t="shared" ref="K744" si="2236">+J744*$X$1</f>
        <v>20411.8</v>
      </c>
      <c r="L744" s="536">
        <f>F744+700</f>
        <v>20211.8</v>
      </c>
      <c r="M744" s="256">
        <f t="shared" ref="M744" si="2237">+L744*$X$1</f>
        <v>20211.8</v>
      </c>
      <c r="N744" s="536">
        <f>F744+500</f>
        <v>20011.8</v>
      </c>
      <c r="O744" s="256">
        <f t="shared" ref="O744" si="2238">+N744*$X$1</f>
        <v>20011.8</v>
      </c>
      <c r="P744" s="536">
        <f>F744+400</f>
        <v>19911.8</v>
      </c>
      <c r="Q744" s="256">
        <f t="shared" ref="Q744" si="2239">+P744*$X$1</f>
        <v>19911.8</v>
      </c>
      <c r="R744" s="536">
        <f>F744+330</f>
        <v>19841.8</v>
      </c>
      <c r="S744" s="256">
        <f t="shared" ref="S744" si="2240">+R744*$X$1</f>
        <v>19841.8</v>
      </c>
      <c r="T744" s="536">
        <f>F744+280</f>
        <v>19791.8</v>
      </c>
      <c r="U744" s="256">
        <f t="shared" ref="U744" si="2241">+T744*$X$1</f>
        <v>19791.8</v>
      </c>
      <c r="V744" s="536">
        <f>F744+220</f>
        <v>19731.8</v>
      </c>
      <c r="W744" s="256">
        <f t="shared" ref="W744" si="2242">+V744*$X$1</f>
        <v>19731.8</v>
      </c>
      <c r="X744" s="714"/>
      <c r="Y744" s="715"/>
      <c r="Z744" s="715"/>
      <c r="AA744" s="716"/>
      <c r="AB744" s="178">
        <v>10505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s="1" customFormat="1" ht="12.6" customHeight="1" x14ac:dyDescent="0.2">
      <c r="A745" s="18"/>
      <c r="B745" s="683" t="s">
        <v>837</v>
      </c>
      <c r="C745" s="703"/>
      <c r="D745" s="703"/>
      <c r="E745" s="704"/>
      <c r="F745" s="255">
        <f>22.49*X2</f>
        <v>34634.6</v>
      </c>
      <c r="G745" s="255">
        <f t="shared" ref="G745" si="2243">+F745*$X$1</f>
        <v>34634.6</v>
      </c>
      <c r="H745" s="527">
        <f>F745+3000</f>
        <v>37634.6</v>
      </c>
      <c r="I745" s="255">
        <f t="shared" ref="I745:I746" si="2244">+H745*$X$1</f>
        <v>37634.6</v>
      </c>
      <c r="J745" s="527">
        <f>F745+900</f>
        <v>35534.6</v>
      </c>
      <c r="K745" s="255">
        <f t="shared" si="2227"/>
        <v>35534.6</v>
      </c>
      <c r="L745" s="527">
        <f>F745+700</f>
        <v>35334.6</v>
      </c>
      <c r="M745" s="255">
        <f t="shared" si="2228"/>
        <v>35334.6</v>
      </c>
      <c r="N745" s="527">
        <f>F745+500</f>
        <v>35134.6</v>
      </c>
      <c r="O745" s="255">
        <f t="shared" si="2229"/>
        <v>35134.6</v>
      </c>
      <c r="P745" s="527">
        <f>F745+400</f>
        <v>35034.6</v>
      </c>
      <c r="Q745" s="255">
        <f t="shared" si="2230"/>
        <v>35034.6</v>
      </c>
      <c r="R745" s="527">
        <f>F745+330</f>
        <v>34964.6</v>
      </c>
      <c r="S745" s="255">
        <f t="shared" si="2231"/>
        <v>34964.6</v>
      </c>
      <c r="T745" s="527">
        <f>F745+280</f>
        <v>34914.6</v>
      </c>
      <c r="U745" s="255">
        <f t="shared" si="2232"/>
        <v>34914.6</v>
      </c>
      <c r="V745" s="527">
        <f>F745+220</f>
        <v>34854.6</v>
      </c>
      <c r="W745" s="255">
        <f t="shared" si="2233"/>
        <v>34854.6</v>
      </c>
      <c r="X745" s="714"/>
      <c r="Y745" s="715"/>
      <c r="Z745" s="715"/>
      <c r="AA745" s="716"/>
      <c r="AB745" s="178">
        <v>10506</v>
      </c>
      <c r="AC745" s="4"/>
      <c r="AD745" s="4"/>
      <c r="AE745" s="4"/>
      <c r="AF745" s="4"/>
      <c r="AG745" s="4"/>
      <c r="AH745" s="116"/>
      <c r="AI745" s="4"/>
      <c r="AJ745" s="4"/>
      <c r="AK745" s="4"/>
      <c r="AL745" s="4"/>
    </row>
    <row r="746" spans="1:38" s="1" customFormat="1" ht="12.6" customHeight="1" x14ac:dyDescent="0.2">
      <c r="A746" s="18"/>
      <c r="B746" s="642" t="s">
        <v>814</v>
      </c>
      <c r="C746" s="680"/>
      <c r="D746" s="680"/>
      <c r="E746" s="681"/>
      <c r="F746" s="256">
        <f>29.6*X2</f>
        <v>45584</v>
      </c>
      <c r="G746" s="256">
        <f t="shared" si="2202"/>
        <v>45584</v>
      </c>
      <c r="H746" s="536">
        <f>F746+3000</f>
        <v>48584</v>
      </c>
      <c r="I746" s="256">
        <f t="shared" si="2244"/>
        <v>48584</v>
      </c>
      <c r="J746" s="536">
        <f>F746+900</f>
        <v>46484</v>
      </c>
      <c r="K746" s="256">
        <f t="shared" si="2227"/>
        <v>46484</v>
      </c>
      <c r="L746" s="536">
        <f>F746+700</f>
        <v>46284</v>
      </c>
      <c r="M746" s="256">
        <f t="shared" si="2228"/>
        <v>46284</v>
      </c>
      <c r="N746" s="536">
        <f>F746+500</f>
        <v>46084</v>
      </c>
      <c r="O746" s="256">
        <f t="shared" si="2229"/>
        <v>46084</v>
      </c>
      <c r="P746" s="536">
        <f>F746+400</f>
        <v>45984</v>
      </c>
      <c r="Q746" s="256">
        <f t="shared" si="2230"/>
        <v>45984</v>
      </c>
      <c r="R746" s="536">
        <f>F746+330</f>
        <v>45914</v>
      </c>
      <c r="S746" s="256">
        <f t="shared" si="2231"/>
        <v>45914</v>
      </c>
      <c r="T746" s="536">
        <f>F746+280</f>
        <v>45864</v>
      </c>
      <c r="U746" s="256">
        <f t="shared" si="2232"/>
        <v>45864</v>
      </c>
      <c r="V746" s="536">
        <f>F746+220</f>
        <v>45804</v>
      </c>
      <c r="W746" s="256">
        <f t="shared" si="2233"/>
        <v>45804</v>
      </c>
      <c r="X746" s="714"/>
      <c r="Y746" s="715"/>
      <c r="Z746" s="715"/>
      <c r="AA746" s="716"/>
      <c r="AB746" s="178">
        <v>10507</v>
      </c>
      <c r="AC746" s="4"/>
      <c r="AD746" s="4"/>
      <c r="AE746" s="4"/>
      <c r="AF746" s="4"/>
      <c r="AG746" s="4"/>
      <c r="AH746" s="116"/>
      <c r="AI746" s="4"/>
      <c r="AJ746" s="4"/>
      <c r="AK746" s="4"/>
      <c r="AL746" s="4"/>
    </row>
    <row r="747" spans="1:38" s="1" customFormat="1" ht="12.6" customHeight="1" x14ac:dyDescent="0.2">
      <c r="A747" s="18"/>
      <c r="B747" s="662" t="s">
        <v>948</v>
      </c>
      <c r="C747" s="665"/>
      <c r="D747" s="665"/>
      <c r="E747" s="666"/>
      <c r="F747" s="255">
        <f>26.73*X2</f>
        <v>41164.199999999997</v>
      </c>
      <c r="G747" s="255">
        <f t="shared" ref="G747" si="2245">+F747*$X$1</f>
        <v>41164.199999999997</v>
      </c>
      <c r="H747" s="527">
        <f>F747+6000</f>
        <v>47164.2</v>
      </c>
      <c r="I747" s="255">
        <f t="shared" ref="I747" si="2246">+H747*$X$1</f>
        <v>47164.2</v>
      </c>
      <c r="J747" s="527">
        <f>F747+3000</f>
        <v>44164.2</v>
      </c>
      <c r="K747" s="255">
        <f t="shared" ref="K747" si="2247">+J747*$X$1</f>
        <v>44164.2</v>
      </c>
      <c r="L747" s="527">
        <f>F747+2000</f>
        <v>43164.2</v>
      </c>
      <c r="M747" s="255">
        <f t="shared" ref="M747" si="2248">+L747*$X$1</f>
        <v>43164.2</v>
      </c>
      <c r="N747" s="527">
        <f>F747+1800</f>
        <v>42964.2</v>
      </c>
      <c r="O747" s="255">
        <f t="shared" ref="O747" si="2249">+N747*$X$1</f>
        <v>42964.2</v>
      </c>
      <c r="P747" s="527">
        <f>F747+1600</f>
        <v>42764.2</v>
      </c>
      <c r="Q747" s="255">
        <f t="shared" ref="Q747" si="2250">+P747*$X$1</f>
        <v>42764.2</v>
      </c>
      <c r="R747" s="527">
        <f>F747+1400</f>
        <v>42564.2</v>
      </c>
      <c r="S747" s="255">
        <f t="shared" ref="S747" si="2251">+R747*$X$1</f>
        <v>42564.2</v>
      </c>
      <c r="T747" s="527">
        <f>F747+1200</f>
        <v>42364.2</v>
      </c>
      <c r="U747" s="255">
        <f t="shared" ref="U747" si="2252">+T747*$X$1</f>
        <v>42364.2</v>
      </c>
      <c r="V747" s="527">
        <f>F747+900</f>
        <v>42064.2</v>
      </c>
      <c r="W747" s="255">
        <f t="shared" ref="W747" si="2253">+V747*$X$1</f>
        <v>42064.2</v>
      </c>
      <c r="X747" s="714"/>
      <c r="Y747" s="715"/>
      <c r="Z747" s="715"/>
      <c r="AA747" s="716"/>
      <c r="AB747" s="178">
        <v>10508</v>
      </c>
      <c r="AC747" s="4"/>
      <c r="AD747" s="4"/>
      <c r="AE747" s="4"/>
      <c r="AF747" s="4"/>
      <c r="AG747" s="4"/>
      <c r="AH747" s="116"/>
      <c r="AI747" s="4"/>
      <c r="AJ747" s="4"/>
      <c r="AK747" s="4"/>
      <c r="AL747" s="4"/>
    </row>
    <row r="748" spans="1:38" ht="12.6" customHeight="1" x14ac:dyDescent="0.2">
      <c r="A748" s="10"/>
      <c r="B748" s="1112" t="s">
        <v>277</v>
      </c>
      <c r="C748" s="1112"/>
      <c r="D748" s="1112"/>
      <c r="E748" s="1112"/>
      <c r="F748" s="256">
        <f>35.07*X2</f>
        <v>54007.8</v>
      </c>
      <c r="G748" s="256">
        <f t="shared" ref="G748" si="2254">+F748*$X$1</f>
        <v>54007.8</v>
      </c>
      <c r="H748" s="95"/>
      <c r="I748" s="95"/>
      <c r="J748" s="82">
        <f>F748+900</f>
        <v>54907.8</v>
      </c>
      <c r="K748" s="256">
        <f>+J748*$X$1</f>
        <v>54907.8</v>
      </c>
      <c r="L748" s="536">
        <f>F748+500</f>
        <v>54507.8</v>
      </c>
      <c r="M748" s="256">
        <f t="shared" ref="M748" si="2255">+L748*$X$1</f>
        <v>54507.8</v>
      </c>
      <c r="N748" s="536">
        <f>F748+300</f>
        <v>54307.8</v>
      </c>
      <c r="O748" s="256">
        <f t="shared" ref="O748" si="2256">+N748*$X$1</f>
        <v>54307.8</v>
      </c>
      <c r="P748" s="536">
        <f>F748+190</f>
        <v>54197.8</v>
      </c>
      <c r="Q748" s="256">
        <f t="shared" ref="Q748" si="2257">+P748*$X$1</f>
        <v>54197.8</v>
      </c>
      <c r="R748" s="536">
        <f>F748+150</f>
        <v>54157.8</v>
      </c>
      <c r="S748" s="256">
        <f t="shared" ref="S748" si="2258">+R748*$X$1</f>
        <v>54157.8</v>
      </c>
      <c r="T748" s="536">
        <f>F748+120</f>
        <v>54127.8</v>
      </c>
      <c r="U748" s="256">
        <f t="shared" ref="U748" si="2259">+T748*$X$1</f>
        <v>54127.8</v>
      </c>
      <c r="V748" s="536"/>
      <c r="W748" s="256"/>
      <c r="X748" s="122"/>
      <c r="Y748" s="126"/>
      <c r="Z748" s="122"/>
      <c r="AA748" s="125"/>
      <c r="AB748" s="357" t="s">
        <v>388</v>
      </c>
    </row>
    <row r="749" spans="1:38" ht="12.6" customHeight="1" x14ac:dyDescent="0.2">
      <c r="A749" s="10"/>
      <c r="B749" s="1107" t="s">
        <v>387</v>
      </c>
      <c r="C749" s="1107"/>
      <c r="D749" s="1107"/>
      <c r="E749" s="1107"/>
      <c r="F749" s="255"/>
      <c r="G749" s="255"/>
      <c r="H749" s="91"/>
      <c r="I749" s="91"/>
      <c r="J749" s="527"/>
      <c r="K749" s="255"/>
      <c r="L749" s="527"/>
      <c r="M749" s="255"/>
      <c r="N749" s="527"/>
      <c r="O749" s="255"/>
      <c r="P749" s="527"/>
      <c r="Q749" s="255"/>
      <c r="R749" s="527"/>
      <c r="S749" s="255"/>
      <c r="T749" s="527"/>
      <c r="U749" s="255"/>
      <c r="V749" s="542"/>
      <c r="W749" s="488"/>
      <c r="X749" s="122"/>
      <c r="Y749" s="126"/>
      <c r="Z749" s="122"/>
      <c r="AA749" s="125"/>
      <c r="AB749" s="357" t="s">
        <v>278</v>
      </c>
    </row>
    <row r="750" spans="1:38" s="1" customFormat="1" ht="12.6" customHeight="1" x14ac:dyDescent="0.2">
      <c r="A750" s="18"/>
      <c r="B750" s="657" t="s">
        <v>888</v>
      </c>
      <c r="C750" s="633"/>
      <c r="D750" s="633"/>
      <c r="E750" s="633"/>
      <c r="F750" s="256">
        <v>25940</v>
      </c>
      <c r="G750" s="256">
        <f t="shared" ref="G750" si="2260">+F750*$X$1</f>
        <v>25940</v>
      </c>
      <c r="H750" s="536"/>
      <c r="I750" s="256"/>
      <c r="J750" s="82"/>
      <c r="K750" s="256"/>
      <c r="L750" s="536">
        <f>F750+600</f>
        <v>26540</v>
      </c>
      <c r="M750" s="256">
        <f t="shared" ref="M750:M751" si="2261">+L750*$X$1</f>
        <v>26540</v>
      </c>
      <c r="N750" s="536">
        <f>F750+380</f>
        <v>26320</v>
      </c>
      <c r="O750" s="256">
        <f t="shared" ref="O750:O751" si="2262">+N750*$X$1</f>
        <v>26320</v>
      </c>
      <c r="P750" s="536">
        <f>F750+270</f>
        <v>26210</v>
      </c>
      <c r="Q750" s="256">
        <f t="shared" ref="Q750:Q751" si="2263">+P750*$X$1</f>
        <v>26210</v>
      </c>
      <c r="R750" s="536">
        <f>F750+180</f>
        <v>26120</v>
      </c>
      <c r="S750" s="256">
        <f t="shared" ref="S750:S751" si="2264">+R750*$X$1</f>
        <v>26120</v>
      </c>
      <c r="T750" s="536">
        <f>F750+140</f>
        <v>26080</v>
      </c>
      <c r="U750" s="256">
        <f t="shared" ref="U750:U751" si="2265">+T750*$X$1</f>
        <v>26080</v>
      </c>
      <c r="V750" s="536">
        <f>F750+110</f>
        <v>26050</v>
      </c>
      <c r="W750" s="256">
        <f t="shared" ref="W750:W751" si="2266">+V750*$X$1</f>
        <v>26050</v>
      </c>
      <c r="X750" s="714"/>
      <c r="Y750" s="715"/>
      <c r="Z750" s="715"/>
      <c r="AA750" s="716"/>
      <c r="AB750" s="178" t="s">
        <v>759</v>
      </c>
      <c r="AC750" s="4"/>
      <c r="AD750" s="4"/>
      <c r="AE750" s="4"/>
      <c r="AF750" s="4"/>
      <c r="AG750" s="4"/>
      <c r="AH750" s="116"/>
      <c r="AI750" s="4"/>
      <c r="AJ750" s="4"/>
      <c r="AK750" s="4"/>
      <c r="AL750" s="4"/>
    </row>
    <row r="751" spans="1:38" s="1" customFormat="1" ht="12.6" customHeight="1" x14ac:dyDescent="0.2">
      <c r="A751" s="18"/>
      <c r="B751" s="678" t="s">
        <v>887</v>
      </c>
      <c r="C751" s="679"/>
      <c r="D751" s="679"/>
      <c r="E751" s="679"/>
      <c r="F751" s="255">
        <v>14073</v>
      </c>
      <c r="G751" s="255">
        <f t="shared" ref="G751" si="2267">+F751*$X$1</f>
        <v>14073</v>
      </c>
      <c r="H751" s="527"/>
      <c r="I751" s="255"/>
      <c r="J751" s="68"/>
      <c r="K751" s="255"/>
      <c r="L751" s="527">
        <f>F751+600</f>
        <v>14673</v>
      </c>
      <c r="M751" s="255">
        <f t="shared" si="2261"/>
        <v>14673</v>
      </c>
      <c r="N751" s="527">
        <f>F751+380</f>
        <v>14453</v>
      </c>
      <c r="O751" s="255">
        <f t="shared" si="2262"/>
        <v>14453</v>
      </c>
      <c r="P751" s="527">
        <f>F751+270</f>
        <v>14343</v>
      </c>
      <c r="Q751" s="255">
        <f t="shared" si="2263"/>
        <v>14343</v>
      </c>
      <c r="R751" s="527">
        <f>F751+180</f>
        <v>14253</v>
      </c>
      <c r="S751" s="255">
        <f t="shared" si="2264"/>
        <v>14253</v>
      </c>
      <c r="T751" s="527">
        <f>F751+140</f>
        <v>14213</v>
      </c>
      <c r="U751" s="255">
        <f t="shared" si="2265"/>
        <v>14213</v>
      </c>
      <c r="V751" s="527">
        <f>F751+110</f>
        <v>14183</v>
      </c>
      <c r="W751" s="255">
        <f t="shared" si="2266"/>
        <v>14183</v>
      </c>
      <c r="X751" s="714"/>
      <c r="Y751" s="715"/>
      <c r="Z751" s="715"/>
      <c r="AA751" s="716"/>
      <c r="AB751" s="178" t="s">
        <v>760</v>
      </c>
      <c r="AC751" s="4"/>
      <c r="AD751" s="4"/>
      <c r="AE751" s="4"/>
      <c r="AF751" s="4"/>
      <c r="AG751" s="4"/>
      <c r="AH751" s="116"/>
      <c r="AI751" s="4"/>
      <c r="AJ751" s="4"/>
      <c r="AK751" s="4"/>
      <c r="AL751" s="4"/>
    </row>
    <row r="752" spans="1:38" ht="12.6" customHeight="1" x14ac:dyDescent="0.2">
      <c r="A752" s="188"/>
      <c r="B752" s="632" t="s">
        <v>483</v>
      </c>
      <c r="C752" s="633"/>
      <c r="D752" s="633"/>
      <c r="E752" s="633"/>
      <c r="F752" s="256">
        <v>18624</v>
      </c>
      <c r="G752" s="256">
        <f t="shared" ref="G752" si="2268">+F752*$X$1</f>
        <v>18624</v>
      </c>
      <c r="H752" s="250"/>
      <c r="I752" s="250"/>
      <c r="J752" s="536">
        <f>F752+1000</f>
        <v>19624</v>
      </c>
      <c r="K752" s="256">
        <f t="shared" ref="K752" si="2269">+J752*$X$1</f>
        <v>19624</v>
      </c>
      <c r="L752" s="536">
        <f t="shared" ref="L752" si="2270">F752+800</f>
        <v>19424</v>
      </c>
      <c r="M752" s="256">
        <f t="shared" ref="M752:M755" si="2271">+L752*$X$1</f>
        <v>19424</v>
      </c>
      <c r="N752" s="536">
        <f t="shared" ref="N752" si="2272">F752+700</f>
        <v>19324</v>
      </c>
      <c r="O752" s="256">
        <f t="shared" ref="O752:O755" si="2273">+N752*$X$1</f>
        <v>19324</v>
      </c>
      <c r="P752" s="536">
        <f t="shared" ref="P752" si="2274">F752+600</f>
        <v>19224</v>
      </c>
      <c r="Q752" s="256">
        <f t="shared" ref="Q752:Q755" si="2275">+P752*$X$1</f>
        <v>19224</v>
      </c>
      <c r="R752" s="536">
        <f t="shared" ref="R752" si="2276">F752+500</f>
        <v>19124</v>
      </c>
      <c r="S752" s="256">
        <f t="shared" ref="S752:S755" si="2277">+R752*$X$1</f>
        <v>19124</v>
      </c>
      <c r="T752" s="536">
        <f t="shared" ref="T752" si="2278">F752+450</f>
        <v>19074</v>
      </c>
      <c r="U752" s="256">
        <f t="shared" ref="U752:U755" si="2279">+T752*$X$1</f>
        <v>19074</v>
      </c>
      <c r="V752" s="543"/>
      <c r="W752" s="256"/>
      <c r="X752" s="272"/>
      <c r="Y752" s="272"/>
      <c r="Z752" s="272"/>
      <c r="AA752" s="272"/>
      <c r="AB752" s="357" t="s">
        <v>592</v>
      </c>
    </row>
    <row r="753" spans="1:34" ht="12.6" customHeight="1" x14ac:dyDescent="0.2">
      <c r="A753" s="188"/>
      <c r="B753" s="699" t="s">
        <v>372</v>
      </c>
      <c r="C753" s="700"/>
      <c r="D753" s="700"/>
      <c r="E753" s="700"/>
      <c r="F753" s="255">
        <v>20890</v>
      </c>
      <c r="G753" s="255">
        <f t="shared" ref="G753:G758" si="2280">+F753*$X$1</f>
        <v>20890</v>
      </c>
      <c r="H753" s="251"/>
      <c r="I753" s="251"/>
      <c r="J753" s="527"/>
      <c r="K753" s="255"/>
      <c r="L753" s="527">
        <f>F753+600</f>
        <v>21490</v>
      </c>
      <c r="M753" s="255">
        <f t="shared" si="2271"/>
        <v>21490</v>
      </c>
      <c r="N753" s="527">
        <f>F753+380</f>
        <v>21270</v>
      </c>
      <c r="O753" s="255">
        <f t="shared" si="2273"/>
        <v>21270</v>
      </c>
      <c r="P753" s="527">
        <f>F753+270</f>
        <v>21160</v>
      </c>
      <c r="Q753" s="255">
        <f t="shared" si="2275"/>
        <v>21160</v>
      </c>
      <c r="R753" s="527">
        <f>F753+180</f>
        <v>21070</v>
      </c>
      <c r="S753" s="255">
        <f t="shared" si="2277"/>
        <v>21070</v>
      </c>
      <c r="T753" s="527">
        <f>F753+140</f>
        <v>21030</v>
      </c>
      <c r="U753" s="255">
        <f t="shared" si="2279"/>
        <v>21030</v>
      </c>
      <c r="V753" s="527">
        <f>F753+110</f>
        <v>21000</v>
      </c>
      <c r="W753" s="255">
        <f t="shared" ref="W753:W755" si="2281">+V753*$X$1</f>
        <v>21000</v>
      </c>
      <c r="X753" s="139"/>
      <c r="Y753" s="139"/>
      <c r="Z753" s="139"/>
      <c r="AA753" s="139"/>
      <c r="AB753" s="357" t="s">
        <v>375</v>
      </c>
    </row>
    <row r="754" spans="1:34" ht="12.6" customHeight="1" x14ac:dyDescent="0.2">
      <c r="A754" s="188"/>
      <c r="B754" s="725" t="s">
        <v>482</v>
      </c>
      <c r="C754" s="726"/>
      <c r="D754" s="726"/>
      <c r="E754" s="726"/>
      <c r="F754" s="256">
        <v>21780</v>
      </c>
      <c r="G754" s="256">
        <f t="shared" ref="G754:G755" si="2282">+F754*$X$1</f>
        <v>21780</v>
      </c>
      <c r="H754" s="536">
        <f>F754+3000</f>
        <v>24780</v>
      </c>
      <c r="I754" s="256">
        <f t="shared" ref="I754" si="2283">+H754*$X$1</f>
        <v>24780</v>
      </c>
      <c r="J754" s="536">
        <f t="shared" ref="J754:J760" si="2284">F754+1000</f>
        <v>22780</v>
      </c>
      <c r="K754" s="256">
        <f t="shared" ref="K754" si="2285">+J754*$X$1</f>
        <v>22780</v>
      </c>
      <c r="L754" s="536">
        <f>F754+600</f>
        <v>22380</v>
      </c>
      <c r="M754" s="256">
        <f t="shared" si="2271"/>
        <v>22380</v>
      </c>
      <c r="N754" s="536">
        <f>F754+380</f>
        <v>22160</v>
      </c>
      <c r="O754" s="256">
        <f t="shared" si="2273"/>
        <v>22160</v>
      </c>
      <c r="P754" s="536">
        <f>F754+270</f>
        <v>22050</v>
      </c>
      <c r="Q754" s="256">
        <f t="shared" si="2275"/>
        <v>22050</v>
      </c>
      <c r="R754" s="536">
        <f>F754+180</f>
        <v>21960</v>
      </c>
      <c r="S754" s="256">
        <f t="shared" si="2277"/>
        <v>21960</v>
      </c>
      <c r="T754" s="536">
        <f>F754+140</f>
        <v>21920</v>
      </c>
      <c r="U754" s="256">
        <f t="shared" si="2279"/>
        <v>21920</v>
      </c>
      <c r="V754" s="536">
        <f>F754+110</f>
        <v>21890</v>
      </c>
      <c r="W754" s="256">
        <f t="shared" si="2281"/>
        <v>21890</v>
      </c>
      <c r="X754" s="272"/>
      <c r="Y754" s="272"/>
      <c r="Z754" s="272"/>
      <c r="AA754" s="272"/>
      <c r="AB754" s="357" t="s">
        <v>484</v>
      </c>
    </row>
    <row r="755" spans="1:34" ht="12.6" customHeight="1" x14ac:dyDescent="0.2">
      <c r="A755" s="188"/>
      <c r="B755" s="699" t="s">
        <v>680</v>
      </c>
      <c r="C755" s="700"/>
      <c r="D755" s="700"/>
      <c r="E755" s="700"/>
      <c r="F755" s="255">
        <v>21603</v>
      </c>
      <c r="G755" s="255">
        <f t="shared" si="2282"/>
        <v>21603</v>
      </c>
      <c r="H755" s="527">
        <f>F755+3000</f>
        <v>24603</v>
      </c>
      <c r="I755" s="255">
        <f t="shared" ref="I755" si="2286">+H755*$X$1</f>
        <v>24603</v>
      </c>
      <c r="J755" s="527">
        <f t="shared" si="2284"/>
        <v>22603</v>
      </c>
      <c r="K755" s="255">
        <f t="shared" ref="K755:K760" si="2287">+J755*$X$1</f>
        <v>22603</v>
      </c>
      <c r="L755" s="527">
        <f>F755+600</f>
        <v>22203</v>
      </c>
      <c r="M755" s="255">
        <f t="shared" si="2271"/>
        <v>22203</v>
      </c>
      <c r="N755" s="527">
        <f>F755+380</f>
        <v>21983</v>
      </c>
      <c r="O755" s="255">
        <f t="shared" si="2273"/>
        <v>21983</v>
      </c>
      <c r="P755" s="527">
        <f>F755+270</f>
        <v>21873</v>
      </c>
      <c r="Q755" s="255">
        <f t="shared" si="2275"/>
        <v>21873</v>
      </c>
      <c r="R755" s="527">
        <f>F755+180</f>
        <v>21783</v>
      </c>
      <c r="S755" s="255">
        <f t="shared" si="2277"/>
        <v>21783</v>
      </c>
      <c r="T755" s="527">
        <f>F755+140</f>
        <v>21743</v>
      </c>
      <c r="U755" s="255">
        <f t="shared" si="2279"/>
        <v>21743</v>
      </c>
      <c r="V755" s="527">
        <f>F755+110</f>
        <v>21713</v>
      </c>
      <c r="W755" s="255">
        <f t="shared" si="2281"/>
        <v>21713</v>
      </c>
      <c r="X755" s="389"/>
      <c r="Y755" s="389"/>
      <c r="Z755" s="389"/>
      <c r="AA755" s="389"/>
      <c r="AB755" s="357" t="s">
        <v>681</v>
      </c>
    </row>
    <row r="756" spans="1:34" ht="12.6" customHeight="1" x14ac:dyDescent="0.2">
      <c r="A756" s="188"/>
      <c r="B756" s="725" t="s">
        <v>371</v>
      </c>
      <c r="C756" s="726"/>
      <c r="D756" s="726"/>
      <c r="E756" s="726"/>
      <c r="F756" s="256">
        <v>23148</v>
      </c>
      <c r="G756" s="256">
        <f t="shared" si="2280"/>
        <v>23148</v>
      </c>
      <c r="H756" s="250"/>
      <c r="I756" s="250"/>
      <c r="J756" s="92">
        <f t="shared" si="2284"/>
        <v>24148</v>
      </c>
      <c r="K756" s="280">
        <f t="shared" si="2287"/>
        <v>24148</v>
      </c>
      <c r="L756" s="92">
        <f t="shared" ref="L756:L760" si="2288">F756+800</f>
        <v>23948</v>
      </c>
      <c r="M756" s="280">
        <f t="shared" ref="M756:M760" si="2289">+L756*$X$1</f>
        <v>23948</v>
      </c>
      <c r="N756" s="92">
        <f t="shared" ref="N756:N760" si="2290">F756+700</f>
        <v>23848</v>
      </c>
      <c r="O756" s="280">
        <f t="shared" ref="O756:O760" si="2291">+N756*$X$1</f>
        <v>23848</v>
      </c>
      <c r="P756" s="92">
        <f t="shared" ref="P756:P760" si="2292">F756+600</f>
        <v>23748</v>
      </c>
      <c r="Q756" s="280">
        <f t="shared" ref="Q756:Q760" si="2293">+P756*$X$1</f>
        <v>23748</v>
      </c>
      <c r="R756" s="92">
        <f t="shared" ref="R756:R760" si="2294">F756+500</f>
        <v>23648</v>
      </c>
      <c r="S756" s="280">
        <f t="shared" ref="S756:S760" si="2295">+R756*$X$1</f>
        <v>23648</v>
      </c>
      <c r="T756" s="92">
        <f t="shared" ref="T756:T760" si="2296">F756+450</f>
        <v>23598</v>
      </c>
      <c r="U756" s="280">
        <f t="shared" ref="U756:U760" si="2297">+T756*$X$1</f>
        <v>23598</v>
      </c>
      <c r="V756" s="420"/>
      <c r="W756" s="256"/>
      <c r="X756" s="139"/>
      <c r="Y756" s="139"/>
      <c r="Z756" s="139"/>
      <c r="AA756" s="139"/>
      <c r="AB756" s="357" t="s">
        <v>374</v>
      </c>
    </row>
    <row r="757" spans="1:34" ht="12.6" customHeight="1" x14ac:dyDescent="0.2">
      <c r="A757" s="188"/>
      <c r="B757" s="699" t="s">
        <v>485</v>
      </c>
      <c r="C757" s="700"/>
      <c r="D757" s="700"/>
      <c r="E757" s="700"/>
      <c r="F757" s="323">
        <f>7.8*X2</f>
        <v>12012</v>
      </c>
      <c r="G757" s="255">
        <f t="shared" ref="G757" si="2298">+F757*$X$1</f>
        <v>12012</v>
      </c>
      <c r="H757" s="251"/>
      <c r="I757" s="251"/>
      <c r="J757" s="93">
        <f t="shared" si="2284"/>
        <v>13012</v>
      </c>
      <c r="K757" s="270">
        <f t="shared" si="2287"/>
        <v>13012</v>
      </c>
      <c r="L757" s="93">
        <f t="shared" si="2288"/>
        <v>12812</v>
      </c>
      <c r="M757" s="270">
        <f t="shared" si="2289"/>
        <v>12812</v>
      </c>
      <c r="N757" s="93">
        <f t="shared" si="2290"/>
        <v>12712</v>
      </c>
      <c r="O757" s="270">
        <f t="shared" si="2291"/>
        <v>12712</v>
      </c>
      <c r="P757" s="93">
        <f t="shared" si="2292"/>
        <v>12612</v>
      </c>
      <c r="Q757" s="270">
        <f t="shared" si="2293"/>
        <v>12612</v>
      </c>
      <c r="R757" s="93">
        <f t="shared" si="2294"/>
        <v>12512</v>
      </c>
      <c r="S757" s="270">
        <f t="shared" si="2295"/>
        <v>12512</v>
      </c>
      <c r="T757" s="93">
        <f t="shared" si="2296"/>
        <v>12462</v>
      </c>
      <c r="U757" s="270">
        <f t="shared" si="2297"/>
        <v>12462</v>
      </c>
      <c r="V757" s="273"/>
      <c r="W757" s="255"/>
      <c r="X757" s="274"/>
      <c r="Y757" s="274"/>
      <c r="Z757" s="274"/>
      <c r="AA757" s="274"/>
      <c r="AB757" s="357" t="s">
        <v>593</v>
      </c>
    </row>
    <row r="758" spans="1:34" ht="12.6" customHeight="1" x14ac:dyDescent="0.2">
      <c r="A758" s="188"/>
      <c r="B758" s="725" t="s">
        <v>416</v>
      </c>
      <c r="C758" s="726"/>
      <c r="D758" s="726"/>
      <c r="E758" s="726"/>
      <c r="F758" s="324">
        <f>7.8*X2</f>
        <v>12012</v>
      </c>
      <c r="G758" s="256">
        <f t="shared" si="2280"/>
        <v>12012</v>
      </c>
      <c r="H758" s="250"/>
      <c r="I758" s="250"/>
      <c r="J758" s="92">
        <f t="shared" si="2284"/>
        <v>13012</v>
      </c>
      <c r="K758" s="280">
        <f t="shared" si="2287"/>
        <v>13012</v>
      </c>
      <c r="L758" s="92">
        <f t="shared" si="2288"/>
        <v>12812</v>
      </c>
      <c r="M758" s="280">
        <f t="shared" si="2289"/>
        <v>12812</v>
      </c>
      <c r="N758" s="92">
        <f t="shared" si="2290"/>
        <v>12712</v>
      </c>
      <c r="O758" s="280">
        <f t="shared" si="2291"/>
        <v>12712</v>
      </c>
      <c r="P758" s="92">
        <f t="shared" si="2292"/>
        <v>12612</v>
      </c>
      <c r="Q758" s="280">
        <f t="shared" si="2293"/>
        <v>12612</v>
      </c>
      <c r="R758" s="92">
        <f t="shared" si="2294"/>
        <v>12512</v>
      </c>
      <c r="S758" s="280">
        <f t="shared" si="2295"/>
        <v>12512</v>
      </c>
      <c r="T758" s="92">
        <f t="shared" si="2296"/>
        <v>12462</v>
      </c>
      <c r="U758" s="280">
        <f t="shared" si="2297"/>
        <v>12462</v>
      </c>
      <c r="V758" s="536"/>
      <c r="W758" s="256"/>
      <c r="X758" s="139"/>
      <c r="Y758" s="139"/>
      <c r="Z758" s="139"/>
      <c r="AA758" s="139"/>
      <c r="AB758" s="357" t="s">
        <v>583</v>
      </c>
    </row>
    <row r="759" spans="1:34" ht="12.6" customHeight="1" x14ac:dyDescent="0.2">
      <c r="A759" s="188"/>
      <c r="B759" s="699" t="s">
        <v>596</v>
      </c>
      <c r="C759" s="700"/>
      <c r="D759" s="700"/>
      <c r="E759" s="700"/>
      <c r="F759" s="323">
        <f>15*X2</f>
        <v>23100</v>
      </c>
      <c r="G759" s="255">
        <f t="shared" ref="G759" si="2299">+F759*$X$1</f>
        <v>23100</v>
      </c>
      <c r="H759" s="251"/>
      <c r="I759" s="251"/>
      <c r="J759" s="93">
        <f t="shared" si="2284"/>
        <v>24100</v>
      </c>
      <c r="K759" s="270">
        <f t="shared" si="2287"/>
        <v>24100</v>
      </c>
      <c r="L759" s="93">
        <f t="shared" si="2288"/>
        <v>23900</v>
      </c>
      <c r="M759" s="270">
        <f t="shared" si="2289"/>
        <v>23900</v>
      </c>
      <c r="N759" s="93">
        <f t="shared" si="2290"/>
        <v>23800</v>
      </c>
      <c r="O759" s="270">
        <f t="shared" si="2291"/>
        <v>23800</v>
      </c>
      <c r="P759" s="93">
        <f t="shared" si="2292"/>
        <v>23700</v>
      </c>
      <c r="Q759" s="270">
        <f t="shared" si="2293"/>
        <v>23700</v>
      </c>
      <c r="R759" s="93">
        <f t="shared" si="2294"/>
        <v>23600</v>
      </c>
      <c r="S759" s="270">
        <f t="shared" si="2295"/>
        <v>23600</v>
      </c>
      <c r="T759" s="93">
        <f t="shared" si="2296"/>
        <v>23550</v>
      </c>
      <c r="U759" s="270">
        <f t="shared" si="2297"/>
        <v>23550</v>
      </c>
      <c r="V759" s="527"/>
      <c r="W759" s="255"/>
      <c r="X759" s="332"/>
      <c r="Y759" s="332"/>
      <c r="Z759" s="332"/>
      <c r="AA759" s="332"/>
      <c r="AB759" s="357" t="s">
        <v>584</v>
      </c>
    </row>
    <row r="760" spans="1:34" ht="12.6" customHeight="1" x14ac:dyDescent="0.2">
      <c r="A760" s="188"/>
      <c r="B760" s="725" t="s">
        <v>415</v>
      </c>
      <c r="C760" s="726"/>
      <c r="D760" s="726"/>
      <c r="E760" s="726"/>
      <c r="F760" s="324">
        <f>10.41*X2</f>
        <v>16031.4</v>
      </c>
      <c r="G760" s="256">
        <f t="shared" ref="G760" si="2300">+F760*$X$1</f>
        <v>16031.4</v>
      </c>
      <c r="H760" s="250"/>
      <c r="I760" s="250"/>
      <c r="J760" s="92">
        <f t="shared" si="2284"/>
        <v>17031.400000000001</v>
      </c>
      <c r="K760" s="280">
        <f t="shared" si="2287"/>
        <v>17031.400000000001</v>
      </c>
      <c r="L760" s="92">
        <f t="shared" si="2288"/>
        <v>16831.400000000001</v>
      </c>
      <c r="M760" s="280">
        <f t="shared" si="2289"/>
        <v>16831.400000000001</v>
      </c>
      <c r="N760" s="92">
        <f t="shared" si="2290"/>
        <v>16731.400000000001</v>
      </c>
      <c r="O760" s="280">
        <f t="shared" si="2291"/>
        <v>16731.400000000001</v>
      </c>
      <c r="P760" s="92">
        <f t="shared" si="2292"/>
        <v>16631.400000000001</v>
      </c>
      <c r="Q760" s="280">
        <f t="shared" si="2293"/>
        <v>16631.400000000001</v>
      </c>
      <c r="R760" s="92">
        <f t="shared" si="2294"/>
        <v>16531.400000000001</v>
      </c>
      <c r="S760" s="280">
        <f t="shared" si="2295"/>
        <v>16531.400000000001</v>
      </c>
      <c r="T760" s="92">
        <f t="shared" si="2296"/>
        <v>16481.400000000001</v>
      </c>
      <c r="U760" s="280">
        <f t="shared" si="2297"/>
        <v>16481.400000000001</v>
      </c>
      <c r="V760" s="536"/>
      <c r="W760" s="256"/>
      <c r="X760" s="139"/>
      <c r="Y760" s="139"/>
      <c r="Z760" s="139"/>
      <c r="AA760" s="139"/>
      <c r="AB760" s="357" t="s">
        <v>585</v>
      </c>
    </row>
    <row r="761" spans="1:34" ht="9" customHeight="1" x14ac:dyDescent="0.2">
      <c r="A761" s="188"/>
      <c r="B761" s="98"/>
      <c r="C761" s="432"/>
      <c r="D761" s="432"/>
      <c r="E761" s="432"/>
      <c r="F761" s="361"/>
      <c r="G761" s="295"/>
      <c r="H761" s="106"/>
      <c r="I761" s="295"/>
      <c r="J761" s="106"/>
      <c r="K761" s="295"/>
      <c r="L761" s="106"/>
      <c r="M761" s="295"/>
      <c r="N761" s="106"/>
      <c r="O761" s="295"/>
      <c r="P761" s="106"/>
      <c r="Q761" s="295"/>
      <c r="R761" s="106"/>
      <c r="S761" s="295"/>
      <c r="T761" s="106"/>
      <c r="U761" s="295"/>
      <c r="V761" s="71"/>
      <c r="W761" s="394"/>
      <c r="X761" s="431"/>
      <c r="Y761" s="431"/>
      <c r="Z761" s="431"/>
      <c r="AA761" s="431"/>
      <c r="AB761" s="362"/>
    </row>
    <row r="762" spans="1:34" ht="19.5" customHeight="1" x14ac:dyDescent="0.2">
      <c r="A762" s="26"/>
      <c r="B762" s="1092" t="s">
        <v>279</v>
      </c>
      <c r="C762" s="1093"/>
      <c r="D762" s="1093"/>
      <c r="E762" s="1093"/>
      <c r="F762" s="1093"/>
      <c r="G762" s="1093"/>
      <c r="H762" s="1093"/>
      <c r="I762" s="1093"/>
      <c r="J762" s="1093"/>
      <c r="K762" s="1093"/>
      <c r="L762" s="1093"/>
      <c r="M762" s="1093"/>
      <c r="N762" s="1093"/>
      <c r="O762" s="1093"/>
      <c r="P762" s="1093"/>
      <c r="Q762" s="1093"/>
      <c r="R762" s="1093"/>
      <c r="S762" s="1093"/>
      <c r="T762" s="1093"/>
      <c r="U762" s="1093"/>
      <c r="V762" s="1093"/>
      <c r="W762" s="1094"/>
      <c r="AF762" s="640"/>
      <c r="AG762" s="641"/>
      <c r="AH762" s="641"/>
    </row>
    <row r="763" spans="1:34" ht="12.6" customHeight="1" x14ac:dyDescent="0.2">
      <c r="A763" s="17"/>
      <c r="B763" s="1006"/>
      <c r="C763" s="1007"/>
      <c r="D763" s="1007"/>
      <c r="E763" s="1007"/>
      <c r="F763" s="1007"/>
      <c r="G763" s="1008"/>
      <c r="H763" s="411"/>
      <c r="I763" s="412" t="s">
        <v>261</v>
      </c>
      <c r="J763" s="412"/>
      <c r="K763" s="412" t="s">
        <v>17</v>
      </c>
      <c r="L763" s="412"/>
      <c r="M763" s="412" t="s">
        <v>18</v>
      </c>
      <c r="N763" s="412"/>
      <c r="O763" s="412" t="s">
        <v>19</v>
      </c>
      <c r="P763" s="412"/>
      <c r="Q763" s="412" t="s">
        <v>262</v>
      </c>
      <c r="R763" s="412"/>
      <c r="S763" s="412" t="s">
        <v>20</v>
      </c>
      <c r="T763" s="412"/>
      <c r="U763" s="412" t="s">
        <v>21</v>
      </c>
      <c r="V763" s="412"/>
      <c r="W763" s="412" t="s">
        <v>22</v>
      </c>
    </row>
    <row r="764" spans="1:34" ht="12.6" customHeight="1" x14ac:dyDescent="0.2">
      <c r="A764" s="999"/>
      <c r="B764" s="1009" t="s">
        <v>457</v>
      </c>
      <c r="C764" s="1010"/>
      <c r="D764" s="1010"/>
      <c r="E764" s="1010"/>
      <c r="F764" s="1010"/>
      <c r="G764" s="1011"/>
      <c r="H764" s="510"/>
      <c r="I764" s="621"/>
      <c r="J764" s="333"/>
      <c r="K764" s="623"/>
      <c r="L764" s="259">
        <v>150</v>
      </c>
      <c r="M764" s="623">
        <f>+L764*$X$1</f>
        <v>150</v>
      </c>
      <c r="N764" s="391">
        <v>80</v>
      </c>
      <c r="O764" s="623">
        <f>+N764*$X$1</f>
        <v>80</v>
      </c>
      <c r="P764" s="391">
        <v>65</v>
      </c>
      <c r="Q764" s="623">
        <f>+P764*$X$1</f>
        <v>65</v>
      </c>
      <c r="R764" s="391">
        <v>60</v>
      </c>
      <c r="S764" s="623">
        <f>+R764*$X$1</f>
        <v>60</v>
      </c>
      <c r="T764" s="391">
        <v>55</v>
      </c>
      <c r="U764" s="626">
        <f>+T764*$X$1</f>
        <v>55</v>
      </c>
      <c r="V764" s="391">
        <v>45</v>
      </c>
      <c r="W764" s="623">
        <f>+V764*$X$1</f>
        <v>45</v>
      </c>
    </row>
    <row r="765" spans="1:34" ht="12.6" customHeight="1" x14ac:dyDescent="0.2">
      <c r="A765" s="999"/>
      <c r="B765" s="1089" t="s">
        <v>280</v>
      </c>
      <c r="C765" s="1090"/>
      <c r="D765" s="1090"/>
      <c r="E765" s="1090"/>
      <c r="F765" s="1090"/>
      <c r="G765" s="1091"/>
      <c r="H765" s="511"/>
      <c r="I765" s="622"/>
      <c r="J765" s="334">
        <v>300</v>
      </c>
      <c r="K765" s="624">
        <f>+J765*$X$1</f>
        <v>300</v>
      </c>
      <c r="L765" s="335">
        <v>200</v>
      </c>
      <c r="M765" s="625">
        <f>+L765*$X$1</f>
        <v>200</v>
      </c>
      <c r="N765" s="102">
        <v>160</v>
      </c>
      <c r="O765" s="625">
        <f>+N765*$X$1</f>
        <v>160</v>
      </c>
      <c r="P765" s="102">
        <v>130</v>
      </c>
      <c r="Q765" s="625">
        <f>+P765*$X$1</f>
        <v>130</v>
      </c>
      <c r="R765" s="102">
        <v>120</v>
      </c>
      <c r="S765" s="625">
        <f>+R765*$X$1</f>
        <v>120</v>
      </c>
      <c r="T765" s="102">
        <v>110</v>
      </c>
      <c r="U765" s="625">
        <f>+T765*$X$1</f>
        <v>110</v>
      </c>
      <c r="V765" s="102">
        <v>80</v>
      </c>
      <c r="W765" s="625">
        <f>+V765*$X$1</f>
        <v>80</v>
      </c>
    </row>
    <row r="766" spans="1:34" ht="12.6" customHeight="1" x14ac:dyDescent="0.2">
      <c r="A766" s="999"/>
      <c r="B766" s="1009" t="s">
        <v>458</v>
      </c>
      <c r="C766" s="1010"/>
      <c r="D766" s="1010"/>
      <c r="E766" s="1010"/>
      <c r="F766" s="1010"/>
      <c r="G766" s="1011"/>
      <c r="H766" s="259"/>
      <c r="I766" s="623"/>
      <c r="J766" s="259"/>
      <c r="K766" s="623"/>
      <c r="L766" s="259">
        <v>170</v>
      </c>
      <c r="M766" s="623">
        <f>+L766*$X$1</f>
        <v>170</v>
      </c>
      <c r="N766" s="391">
        <v>110</v>
      </c>
      <c r="O766" s="623">
        <f>+N766*$X$1</f>
        <v>110</v>
      </c>
      <c r="P766" s="391">
        <v>90</v>
      </c>
      <c r="Q766" s="623">
        <f>+P766*$X$1</f>
        <v>90</v>
      </c>
      <c r="R766" s="391">
        <v>85</v>
      </c>
      <c r="S766" s="623">
        <f>+R766*$X$1</f>
        <v>85</v>
      </c>
      <c r="T766" s="391">
        <v>80</v>
      </c>
      <c r="U766" s="626">
        <f>+T766*$X$1</f>
        <v>80</v>
      </c>
      <c r="V766" s="391">
        <v>70</v>
      </c>
      <c r="W766" s="623">
        <f>+V766*$X$1</f>
        <v>70</v>
      </c>
    </row>
    <row r="767" spans="1:34" ht="12.6" customHeight="1" x14ac:dyDescent="0.2">
      <c r="A767" s="999"/>
      <c r="B767" s="1146" t="s">
        <v>456</v>
      </c>
      <c r="C767" s="1147"/>
      <c r="D767" s="1147"/>
      <c r="E767" s="1147"/>
      <c r="F767" s="1147"/>
      <c r="G767" s="1148"/>
      <c r="H767" s="336">
        <v>500</v>
      </c>
      <c r="I767" s="624">
        <f>+H767*$X$1</f>
        <v>500</v>
      </c>
      <c r="J767" s="336">
        <v>300</v>
      </c>
      <c r="K767" s="624">
        <f>+J767*$X$1</f>
        <v>300</v>
      </c>
      <c r="L767" s="336">
        <v>250</v>
      </c>
      <c r="M767" s="624">
        <f>+L767*$X$1</f>
        <v>250</v>
      </c>
      <c r="N767" s="504">
        <v>220</v>
      </c>
      <c r="O767" s="624">
        <f>+N767*$X$1</f>
        <v>220</v>
      </c>
      <c r="P767" s="504">
        <v>200</v>
      </c>
      <c r="Q767" s="624">
        <f>+P767*$X$1</f>
        <v>200</v>
      </c>
      <c r="R767" s="504">
        <v>180</v>
      </c>
      <c r="S767" s="624">
        <f>+R767*$X$1</f>
        <v>180</v>
      </c>
      <c r="T767" s="504">
        <v>150</v>
      </c>
      <c r="U767" s="625">
        <f>+T767*$X$1</f>
        <v>150</v>
      </c>
      <c r="V767" s="504">
        <v>130</v>
      </c>
      <c r="W767" s="624">
        <f>+V767*$X$1</f>
        <v>130</v>
      </c>
    </row>
    <row r="768" spans="1:34" ht="12.75" customHeight="1" x14ac:dyDescent="0.2">
      <c r="A768" s="999"/>
      <c r="B768" s="1104" t="s">
        <v>751</v>
      </c>
      <c r="C768" s="1105"/>
      <c r="D768" s="1105"/>
      <c r="E768" s="1105"/>
      <c r="F768" s="1105"/>
      <c r="G768" s="1105"/>
      <c r="H768" s="1105"/>
      <c r="I768" s="1105"/>
      <c r="J768" s="1105"/>
      <c r="K768" s="1105"/>
      <c r="L768" s="1105"/>
      <c r="M768" s="1105"/>
      <c r="N768" s="1105"/>
      <c r="O768" s="1105"/>
      <c r="P768" s="1105"/>
      <c r="Q768" s="1105"/>
      <c r="R768" s="1105"/>
      <c r="S768" s="1105"/>
      <c r="T768" s="1105"/>
      <c r="U768" s="1105"/>
      <c r="V768" s="1105"/>
      <c r="W768" s="1106"/>
    </row>
    <row r="769" spans="1:35" ht="13.5" customHeight="1" x14ac:dyDescent="0.2">
      <c r="A769" s="999"/>
      <c r="B769" s="1139" t="s">
        <v>524</v>
      </c>
      <c r="C769" s="1114"/>
      <c r="D769" s="1114"/>
      <c r="E769" s="1114"/>
      <c r="F769" s="1114"/>
      <c r="G769" s="1140"/>
      <c r="H769" s="1086"/>
      <c r="I769" s="1081" t="s">
        <v>261</v>
      </c>
      <c r="J769" s="1086"/>
      <c r="K769" s="1081" t="s">
        <v>17</v>
      </c>
      <c r="L769" s="1081"/>
      <c r="M769" s="1081" t="s">
        <v>18</v>
      </c>
      <c r="N769" s="1081"/>
      <c r="O769" s="1081" t="s">
        <v>19</v>
      </c>
      <c r="P769" s="1081"/>
      <c r="Q769" s="1081" t="s">
        <v>262</v>
      </c>
      <c r="R769" s="1081"/>
      <c r="S769" s="1081" t="s">
        <v>20</v>
      </c>
      <c r="T769" s="1081"/>
      <c r="U769" s="1081" t="s">
        <v>21</v>
      </c>
      <c r="V769" s="1081"/>
      <c r="W769" s="1081" t="s">
        <v>22</v>
      </c>
    </row>
    <row r="770" spans="1:35" ht="11.25" customHeight="1" x14ac:dyDescent="0.2">
      <c r="A770" s="999"/>
      <c r="B770" s="907"/>
      <c r="C770" s="908"/>
      <c r="D770" s="908"/>
      <c r="E770" s="908"/>
      <c r="F770" s="908"/>
      <c r="G770" s="909"/>
      <c r="H770" s="1087"/>
      <c r="I770" s="1088"/>
      <c r="J770" s="1087"/>
      <c r="K770" s="1088"/>
      <c r="L770" s="1082"/>
      <c r="M770" s="1082"/>
      <c r="N770" s="1082"/>
      <c r="O770" s="1082"/>
      <c r="P770" s="1082"/>
      <c r="Q770" s="1082"/>
      <c r="R770" s="1082"/>
      <c r="S770" s="1082"/>
      <c r="T770" s="1082"/>
      <c r="U770" s="1082"/>
      <c r="V770" s="1082"/>
      <c r="W770" s="1082"/>
      <c r="AB770" s="56"/>
      <c r="AC770" s="56"/>
      <c r="AD770" s="56"/>
      <c r="AE770" s="56"/>
      <c r="AF770" s="56"/>
      <c r="AG770" s="56"/>
      <c r="AH770" s="56"/>
      <c r="AI770" s="56"/>
    </row>
    <row r="771" spans="1:35" ht="12.6" customHeight="1" x14ac:dyDescent="0.2">
      <c r="A771" s="999"/>
      <c r="B771" s="1003" t="s">
        <v>522</v>
      </c>
      <c r="C771" s="1004"/>
      <c r="D771" s="1004"/>
      <c r="E771" s="1004"/>
      <c r="F771" s="1004"/>
      <c r="G771" s="1005"/>
      <c r="H771" s="82">
        <v>840</v>
      </c>
      <c r="I771" s="269">
        <f>+H771*$X$1</f>
        <v>840</v>
      </c>
      <c r="J771" s="82">
        <v>720</v>
      </c>
      <c r="K771" s="269">
        <f>+J771*$X$1</f>
        <v>720</v>
      </c>
      <c r="L771" s="391">
        <v>580</v>
      </c>
      <c r="M771" s="256">
        <f>+L771*$X$1</f>
        <v>580</v>
      </c>
      <c r="N771" s="391">
        <v>530</v>
      </c>
      <c r="O771" s="256">
        <f>+N771*$X$1</f>
        <v>530</v>
      </c>
      <c r="P771" s="391">
        <v>460</v>
      </c>
      <c r="Q771" s="256">
        <f>+P771*$X$1</f>
        <v>460</v>
      </c>
      <c r="R771" s="391">
        <v>430</v>
      </c>
      <c r="S771" s="256">
        <f>+R771*$X$1</f>
        <v>430</v>
      </c>
      <c r="T771" s="391">
        <v>410</v>
      </c>
      <c r="U771" s="256">
        <f>+T771*$X$1</f>
        <v>410</v>
      </c>
      <c r="V771" s="391">
        <v>390</v>
      </c>
      <c r="W771" s="256">
        <f>+V771*$X$1</f>
        <v>390</v>
      </c>
    </row>
    <row r="772" spans="1:35" ht="12.6" customHeight="1" x14ac:dyDescent="0.2">
      <c r="A772" s="999"/>
      <c r="B772" s="1000" t="s">
        <v>519</v>
      </c>
      <c r="C772" s="1001"/>
      <c r="D772" s="1001"/>
      <c r="E772" s="1001"/>
      <c r="F772" s="1001"/>
      <c r="G772" s="1002"/>
      <c r="H772" s="68">
        <v>900</v>
      </c>
      <c r="I772" s="234">
        <f>+H772*$X$1</f>
        <v>900</v>
      </c>
      <c r="J772" s="68">
        <v>780</v>
      </c>
      <c r="K772" s="234">
        <f>+J772*$X$1</f>
        <v>780</v>
      </c>
      <c r="L772" s="504">
        <v>720</v>
      </c>
      <c r="M772" s="255">
        <f>+L772*$X$1</f>
        <v>720</v>
      </c>
      <c r="N772" s="504">
        <v>650</v>
      </c>
      <c r="O772" s="255">
        <f>+N772*$X$1</f>
        <v>650</v>
      </c>
      <c r="P772" s="504">
        <v>620</v>
      </c>
      <c r="Q772" s="255">
        <f>+P772*$X$1</f>
        <v>620</v>
      </c>
      <c r="R772" s="504">
        <v>600</v>
      </c>
      <c r="S772" s="255">
        <f>+R772*$X$1</f>
        <v>600</v>
      </c>
      <c r="T772" s="504">
        <v>580</v>
      </c>
      <c r="U772" s="255">
        <f>+T772*$X$1</f>
        <v>580</v>
      </c>
      <c r="V772" s="504">
        <v>540</v>
      </c>
      <c r="W772" s="255">
        <f>+V772*$X$1</f>
        <v>540</v>
      </c>
    </row>
    <row r="773" spans="1:35" ht="12.6" customHeight="1" x14ac:dyDescent="0.2">
      <c r="A773" s="999"/>
      <c r="B773" s="1003" t="s">
        <v>521</v>
      </c>
      <c r="C773" s="1004"/>
      <c r="D773" s="1004"/>
      <c r="E773" s="1004"/>
      <c r="F773" s="1004"/>
      <c r="G773" s="1005"/>
      <c r="H773" s="82">
        <v>1200</v>
      </c>
      <c r="I773" s="269">
        <f>+H773*$X$1</f>
        <v>1200</v>
      </c>
      <c r="J773" s="82">
        <v>1100</v>
      </c>
      <c r="K773" s="269">
        <f>+J773*$X$1</f>
        <v>1100</v>
      </c>
      <c r="L773" s="391">
        <v>1000</v>
      </c>
      <c r="M773" s="256">
        <f>+L773*$X$1</f>
        <v>1000</v>
      </c>
      <c r="N773" s="391">
        <v>910</v>
      </c>
      <c r="O773" s="256">
        <f>+N773*$X$1</f>
        <v>910</v>
      </c>
      <c r="P773" s="391">
        <v>880</v>
      </c>
      <c r="Q773" s="256">
        <f>+P773*$X$1</f>
        <v>880</v>
      </c>
      <c r="R773" s="391">
        <v>850</v>
      </c>
      <c r="S773" s="256">
        <f>+R773*$X$1</f>
        <v>850</v>
      </c>
      <c r="T773" s="391">
        <v>810</v>
      </c>
      <c r="U773" s="256">
        <f>+T773*$X$1</f>
        <v>810</v>
      </c>
      <c r="V773" s="391">
        <v>780</v>
      </c>
      <c r="W773" s="256">
        <f>+V773*$X$1</f>
        <v>780</v>
      </c>
    </row>
    <row r="774" spans="1:35" ht="12.6" customHeight="1" x14ac:dyDescent="0.2">
      <c r="A774" s="999"/>
      <c r="B774" s="1000" t="s">
        <v>520</v>
      </c>
      <c r="C774" s="1001"/>
      <c r="D774" s="1001"/>
      <c r="E774" s="1001"/>
      <c r="F774" s="1001"/>
      <c r="G774" s="1002"/>
      <c r="H774" s="68">
        <v>1600</v>
      </c>
      <c r="I774" s="619">
        <f>+H774*$X$1</f>
        <v>1600</v>
      </c>
      <c r="J774" s="68">
        <v>1400</v>
      </c>
      <c r="K774" s="620">
        <f>+J774*$X$1</f>
        <v>1400</v>
      </c>
      <c r="L774" s="504">
        <v>1300</v>
      </c>
      <c r="M774" s="255">
        <f>+L774*$X$1</f>
        <v>1300</v>
      </c>
      <c r="N774" s="504">
        <v>1250</v>
      </c>
      <c r="O774" s="255">
        <f>+N774*$X$1</f>
        <v>1250</v>
      </c>
      <c r="P774" s="504">
        <v>1200</v>
      </c>
      <c r="Q774" s="255">
        <f>+P774*$X$1</f>
        <v>1200</v>
      </c>
      <c r="R774" s="504">
        <v>1160</v>
      </c>
      <c r="S774" s="255">
        <f>+R774*$X$1</f>
        <v>1160</v>
      </c>
      <c r="T774" s="504">
        <v>1130</v>
      </c>
      <c r="U774" s="255">
        <f>+T774*$X$1</f>
        <v>1130</v>
      </c>
      <c r="V774" s="504">
        <v>1100</v>
      </c>
      <c r="W774" s="255">
        <f>+V774*$X$1</f>
        <v>1100</v>
      </c>
    </row>
    <row r="775" spans="1:35" ht="9" customHeight="1" x14ac:dyDescent="0.2">
      <c r="A775" s="188"/>
      <c r="B775" s="189"/>
      <c r="C775" s="189"/>
      <c r="D775" s="189"/>
      <c r="E775" s="189"/>
      <c r="F775" s="190"/>
      <c r="G775" s="190"/>
      <c r="H775" s="71"/>
      <c r="I775" s="191"/>
      <c r="J775" s="191"/>
      <c r="K775" s="191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71"/>
      <c r="W775" s="183"/>
      <c r="X775" s="182"/>
      <c r="Y775" s="182"/>
      <c r="Z775" s="182"/>
      <c r="AA775" s="182"/>
      <c r="AB775" s="192"/>
    </row>
    <row r="776" spans="1:35" ht="17.25" customHeight="1" x14ac:dyDescent="0.2">
      <c r="B776" s="1110" t="s">
        <v>463</v>
      </c>
      <c r="C776" s="1111"/>
      <c r="D776" s="1111"/>
      <c r="E776" s="1111"/>
      <c r="F776" s="1111"/>
      <c r="G776" s="1111"/>
      <c r="H776" s="1111"/>
      <c r="I776" s="1111"/>
      <c r="J776" s="1111"/>
      <c r="K776" s="66" t="s">
        <v>459</v>
      </c>
      <c r="L776" s="67">
        <v>42</v>
      </c>
      <c r="M776" s="314">
        <f>+L776*$X$1</f>
        <v>42</v>
      </c>
      <c r="N776" s="65"/>
      <c r="O776" s="66" t="s">
        <v>460</v>
      </c>
      <c r="P776" s="67">
        <v>39</v>
      </c>
      <c r="Q776" s="314">
        <f>+P776*$X$1</f>
        <v>39</v>
      </c>
      <c r="R776" s="43"/>
      <c r="S776" s="43"/>
      <c r="T776" s="43"/>
      <c r="U776" s="43"/>
      <c r="V776" s="43"/>
      <c r="W776" s="43"/>
    </row>
    <row r="777" spans="1:35" ht="10.5" customHeight="1" x14ac:dyDescent="0.2">
      <c r="B777" s="46"/>
      <c r="C777" s="159"/>
      <c r="D777" s="159"/>
      <c r="E777" s="159"/>
      <c r="F777" s="159"/>
      <c r="G777" s="159"/>
      <c r="H777" s="159"/>
      <c r="I777" s="159"/>
      <c r="J777" s="159"/>
      <c r="K777" s="47"/>
      <c r="L777" s="48"/>
      <c r="M777" s="49"/>
      <c r="N777" s="43"/>
      <c r="O777" s="47"/>
      <c r="P777" s="48"/>
      <c r="Q777" s="49"/>
      <c r="R777" s="43"/>
      <c r="S777" s="43"/>
      <c r="T777" s="43"/>
      <c r="U777" s="43"/>
      <c r="V777" s="43"/>
      <c r="W777" s="43"/>
    </row>
    <row r="778" spans="1:35" x14ac:dyDescent="0.2">
      <c r="B778" s="3"/>
      <c r="C778" s="1108" t="s">
        <v>281</v>
      </c>
      <c r="D778" s="1109"/>
      <c r="E778" s="1109"/>
      <c r="F778" s="1109"/>
      <c r="G778" s="1109"/>
      <c r="H778" s="1109"/>
      <c r="I778" s="1109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1:35" ht="12.6" customHeight="1" x14ac:dyDescent="0.2">
      <c r="B779" s="3"/>
      <c r="C779" s="1083" t="s">
        <v>282</v>
      </c>
      <c r="D779" s="1084"/>
      <c r="E779" s="1084"/>
      <c r="F779" s="1084"/>
      <c r="G779" s="1085"/>
      <c r="H779" s="363"/>
      <c r="I779" s="360"/>
      <c r="J779" s="4"/>
      <c r="K779" s="4"/>
      <c r="L779" s="34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1:35" ht="12.6" customHeight="1" x14ac:dyDescent="0.2">
      <c r="B780" s="3"/>
      <c r="C780" s="1095" t="s">
        <v>283</v>
      </c>
      <c r="D780" s="1096"/>
      <c r="E780" s="1096"/>
      <c r="F780" s="1096"/>
      <c r="G780" s="1097"/>
      <c r="H780" s="38"/>
      <c r="I780" s="36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1:35" ht="12.6" customHeight="1" x14ac:dyDescent="0.2">
      <c r="B781" s="3"/>
      <c r="C781" s="1095" t="s">
        <v>284</v>
      </c>
      <c r="D781" s="1096"/>
      <c r="E781" s="1096"/>
      <c r="F781" s="1096"/>
      <c r="G781" s="1097"/>
      <c r="H781" s="40"/>
      <c r="I781" s="313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1:35" ht="15.95" customHeight="1" x14ac:dyDescent="0.2">
      <c r="B782" s="3"/>
      <c r="C782" s="1113" t="s">
        <v>517</v>
      </c>
      <c r="D782" s="1114"/>
      <c r="E782" s="1114"/>
      <c r="F782" s="1114"/>
      <c r="G782" s="1114"/>
      <c r="H782" s="1115"/>
      <c r="I782" s="1116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1:35" ht="15.75" customHeight="1" x14ac:dyDescent="0.2">
      <c r="B783" s="3"/>
      <c r="C783" s="907"/>
      <c r="D783" s="908"/>
      <c r="E783" s="908"/>
      <c r="F783" s="908"/>
      <c r="G783" s="908"/>
      <c r="H783" s="1117"/>
      <c r="I783" s="1118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1:35" ht="10.5" customHeight="1" thickBot="1" x14ac:dyDescent="0.25">
      <c r="B784" s="4"/>
      <c r="C784" s="45"/>
      <c r="D784" s="45"/>
      <c r="E784" s="45"/>
      <c r="F784" s="45"/>
      <c r="G784" s="45"/>
      <c r="H784" s="39"/>
      <c r="I784" s="301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3.5" customHeight="1" x14ac:dyDescent="0.2">
      <c r="B785" s="1130" t="s">
        <v>990</v>
      </c>
      <c r="C785" s="1131"/>
      <c r="D785" s="1131"/>
      <c r="E785" s="1131"/>
      <c r="F785" s="1131"/>
      <c r="G785" s="1131"/>
      <c r="H785" s="1131"/>
      <c r="I785" s="1131"/>
      <c r="J785" s="1131"/>
      <c r="K785" s="1131"/>
      <c r="L785" s="1131"/>
      <c r="M785" s="1131"/>
      <c r="N785" s="1131"/>
      <c r="O785" s="1131"/>
      <c r="P785" s="1131"/>
      <c r="Q785" s="1131"/>
      <c r="R785" s="1131"/>
      <c r="S785" s="1131"/>
      <c r="T785" s="1131"/>
      <c r="U785" s="1131"/>
      <c r="V785" s="1131"/>
      <c r="W785" s="1132"/>
    </row>
    <row r="786" spans="2:34" ht="13.5" customHeight="1" x14ac:dyDescent="0.2">
      <c r="B786" s="1133"/>
      <c r="C786" s="1134"/>
      <c r="D786" s="1134"/>
      <c r="E786" s="1134"/>
      <c r="F786" s="1134"/>
      <c r="G786" s="1134"/>
      <c r="H786" s="1134"/>
      <c r="I786" s="1134"/>
      <c r="J786" s="1134"/>
      <c r="K786" s="1134"/>
      <c r="L786" s="1134"/>
      <c r="M786" s="1134"/>
      <c r="N786" s="1134"/>
      <c r="O786" s="1134"/>
      <c r="P786" s="1134"/>
      <c r="Q786" s="1134"/>
      <c r="R786" s="1134"/>
      <c r="S786" s="1134"/>
      <c r="T786" s="1134"/>
      <c r="U786" s="1134"/>
      <c r="V786" s="1134"/>
      <c r="W786" s="1135"/>
    </row>
    <row r="787" spans="2:34" ht="13.5" customHeight="1" thickBot="1" x14ac:dyDescent="0.25">
      <c r="B787" s="1136"/>
      <c r="C787" s="1137"/>
      <c r="D787" s="1137"/>
      <c r="E787" s="1137"/>
      <c r="F787" s="1137"/>
      <c r="G787" s="1137"/>
      <c r="H787" s="1137"/>
      <c r="I787" s="1137"/>
      <c r="J787" s="1137"/>
      <c r="K787" s="1137"/>
      <c r="L787" s="1137"/>
      <c r="M787" s="1137"/>
      <c r="N787" s="1137"/>
      <c r="O787" s="1137"/>
      <c r="P787" s="1137"/>
      <c r="Q787" s="1137"/>
      <c r="R787" s="1137"/>
      <c r="S787" s="1137"/>
      <c r="T787" s="1137"/>
      <c r="U787" s="1137"/>
      <c r="V787" s="1137"/>
      <c r="W787" s="1138"/>
    </row>
    <row r="788" spans="2:34" ht="9" customHeight="1" x14ac:dyDescent="0.2">
      <c r="B788" s="4"/>
      <c r="C788" s="37"/>
      <c r="D788" s="37"/>
      <c r="E788" s="37"/>
      <c r="F788" s="37"/>
      <c r="G788" s="37"/>
      <c r="H788" s="39"/>
      <c r="I788" s="39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23.25" customHeight="1" x14ac:dyDescent="0.2">
      <c r="B789" s="3"/>
      <c r="C789" s="1098" t="s">
        <v>594</v>
      </c>
      <c r="D789" s="1099"/>
      <c r="E789" s="1099"/>
      <c r="F789" s="1099"/>
      <c r="G789" s="1099"/>
      <c r="H789" s="1099"/>
      <c r="I789" s="1100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AF789" s="640" t="s">
        <v>3</v>
      </c>
      <c r="AG789" s="641"/>
      <c r="AH789" s="641"/>
    </row>
    <row r="790" spans="2:34" ht="12.95" customHeight="1" x14ac:dyDescent="0.2">
      <c r="B790" s="3"/>
      <c r="C790" s="1119"/>
      <c r="D790" s="1120"/>
      <c r="E790" s="1120"/>
      <c r="F790" s="1120"/>
      <c r="G790" s="1120"/>
      <c r="H790" s="1120"/>
      <c r="I790" s="112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95" customHeight="1" x14ac:dyDescent="0.2">
      <c r="B791" s="3"/>
      <c r="C791" s="1122"/>
      <c r="D791" s="1123"/>
      <c r="E791" s="1123"/>
      <c r="F791" s="1123"/>
      <c r="G791" s="1123"/>
      <c r="H791" s="1123"/>
      <c r="I791" s="112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12.95" customHeight="1" x14ac:dyDescent="0.2">
      <c r="B792" s="3"/>
      <c r="C792" s="1122"/>
      <c r="D792" s="1123"/>
      <c r="E792" s="1123"/>
      <c r="F792" s="1123"/>
      <c r="G792" s="1123"/>
      <c r="H792" s="1123"/>
      <c r="I792" s="112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2.95" customHeight="1" x14ac:dyDescent="0.2">
      <c r="B793" s="3"/>
      <c r="C793" s="1122"/>
      <c r="D793" s="1123"/>
      <c r="E793" s="1123"/>
      <c r="F793" s="1123"/>
      <c r="G793" s="1123"/>
      <c r="H793" s="1123"/>
      <c r="I793" s="112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34" ht="12.95" customHeight="1" x14ac:dyDescent="0.2">
      <c r="B794" s="3"/>
      <c r="C794" s="1122"/>
      <c r="D794" s="1123"/>
      <c r="E794" s="1123"/>
      <c r="F794" s="1123"/>
      <c r="G794" s="1123"/>
      <c r="H794" s="1123"/>
      <c r="I794" s="112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34" ht="12.95" customHeight="1" x14ac:dyDescent="0.2">
      <c r="B795" s="3"/>
      <c r="C795" s="1122"/>
      <c r="D795" s="1123"/>
      <c r="E795" s="1123"/>
      <c r="F795" s="1123"/>
      <c r="G795" s="1123"/>
      <c r="H795" s="1123"/>
      <c r="I795" s="112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34" ht="10.5" customHeight="1" x14ac:dyDescent="0.2">
      <c r="B796" s="3"/>
      <c r="C796" s="1125"/>
      <c r="D796" s="1126"/>
      <c r="E796" s="1126"/>
      <c r="F796" s="1126"/>
      <c r="G796" s="1126"/>
      <c r="H796" s="1126"/>
      <c r="I796" s="1127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34" ht="12.6" customHeight="1" x14ac:dyDescent="0.2">
      <c r="B797" s="3"/>
      <c r="C797" s="1101" t="s">
        <v>367</v>
      </c>
      <c r="D797" s="1101"/>
      <c r="E797" s="1102"/>
      <c r="F797" s="1102"/>
      <c r="G797" s="1103"/>
      <c r="H797" s="40">
        <v>1500</v>
      </c>
      <c r="I797" s="315">
        <f>+H797*$X$1</f>
        <v>1500</v>
      </c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34" ht="12.6" customHeight="1" x14ac:dyDescent="0.2">
      <c r="B798" s="3"/>
      <c r="C798" s="1101" t="s">
        <v>595</v>
      </c>
      <c r="D798" s="1101"/>
      <c r="E798" s="1102"/>
      <c r="F798" s="1102"/>
      <c r="G798" s="1103"/>
      <c r="H798" s="40">
        <v>1400</v>
      </c>
      <c r="I798" s="315">
        <f>+H798*$X$1</f>
        <v>1400</v>
      </c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34" ht="9.75" customHeight="1" x14ac:dyDescent="0.2">
      <c r="B799" s="3"/>
      <c r="C799" s="44"/>
      <c r="D799" s="42"/>
      <c r="E799" s="42"/>
      <c r="F799" s="42"/>
      <c r="G799" s="37"/>
      <c r="H799" s="39"/>
      <c r="I799" s="39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34" ht="15" customHeight="1" x14ac:dyDescent="0.2">
      <c r="B800" s="1046" t="s">
        <v>518</v>
      </c>
      <c r="C800" s="1047"/>
      <c r="D800" s="1047"/>
      <c r="E800" s="1047"/>
      <c r="F800" s="1047"/>
      <c r="G800" s="1047"/>
      <c r="H800" s="1047"/>
      <c r="I800" s="1047"/>
      <c r="J800" s="1047"/>
      <c r="K800" s="1047"/>
      <c r="L800" s="1047"/>
      <c r="M800" s="1047"/>
      <c r="N800" s="1047"/>
      <c r="O800" s="1047"/>
      <c r="P800" s="1047"/>
      <c r="Q800" s="1047"/>
      <c r="R800" s="1047"/>
      <c r="S800" s="1047"/>
      <c r="T800" s="1047"/>
      <c r="U800" s="1047"/>
      <c r="V800" s="1047"/>
      <c r="W800" s="1048"/>
    </row>
    <row r="801" spans="2:34" ht="9.75" customHeight="1" x14ac:dyDescent="0.2">
      <c r="B801" s="24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</row>
    <row r="802" spans="2:34" ht="15" customHeight="1" x14ac:dyDescent="0.2">
      <c r="B802" s="1044" t="s">
        <v>285</v>
      </c>
      <c r="C802" s="1045"/>
      <c r="D802" s="1045"/>
      <c r="E802" s="1045"/>
      <c r="F802" s="1045"/>
      <c r="G802" s="1045"/>
      <c r="H802" s="1045"/>
      <c r="I802" s="1045"/>
      <c r="J802" s="1045"/>
      <c r="K802" s="1045"/>
      <c r="L802" s="1045"/>
      <c r="M802" s="1045"/>
      <c r="N802" s="1045"/>
      <c r="O802" s="1045"/>
      <c r="P802" s="1045"/>
      <c r="Q802" s="1045"/>
      <c r="R802" s="1045"/>
      <c r="S802" s="1045"/>
      <c r="T802" s="1045"/>
      <c r="U802" s="1045"/>
      <c r="V802" s="1045"/>
      <c r="W802" s="1045"/>
    </row>
    <row r="803" spans="2:34" ht="15" customHeight="1" x14ac:dyDescent="0.2">
      <c r="B803" s="1044" t="s">
        <v>286</v>
      </c>
      <c r="C803" s="1045"/>
      <c r="D803" s="1045"/>
      <c r="E803" s="1045"/>
      <c r="F803" s="1045"/>
      <c r="G803" s="1045"/>
      <c r="H803" s="1045"/>
      <c r="I803" s="1045"/>
      <c r="J803" s="1045"/>
      <c r="K803" s="1045"/>
      <c r="L803" s="1045"/>
      <c r="M803" s="1045"/>
      <c r="N803" s="1045"/>
      <c r="O803" s="1045"/>
      <c r="P803" s="1045"/>
      <c r="Q803" s="1045"/>
      <c r="R803" s="1045"/>
      <c r="S803" s="1045"/>
      <c r="T803" s="1045"/>
      <c r="U803" s="1045"/>
      <c r="V803" s="1045"/>
      <c r="W803" s="1045"/>
      <c r="AF803" s="640"/>
      <c r="AG803" s="641"/>
      <c r="AH803" s="641"/>
    </row>
    <row r="804" spans="2:34" ht="15" customHeight="1" x14ac:dyDescent="0.2">
      <c r="B804" s="1044" t="s">
        <v>287</v>
      </c>
      <c r="C804" s="1045"/>
      <c r="D804" s="1045"/>
      <c r="E804" s="1045"/>
      <c r="F804" s="1045"/>
      <c r="G804" s="1045"/>
      <c r="H804" s="1045"/>
      <c r="I804" s="1045"/>
      <c r="J804" s="1045"/>
      <c r="K804" s="1045"/>
      <c r="L804" s="1045"/>
      <c r="M804" s="1045"/>
      <c r="N804" s="1045"/>
      <c r="O804" s="1045"/>
      <c r="P804" s="1045"/>
      <c r="Q804" s="1045"/>
      <c r="R804" s="1045"/>
      <c r="S804" s="1045"/>
      <c r="T804" s="1045"/>
      <c r="U804" s="1045"/>
      <c r="V804" s="1045"/>
      <c r="W804" s="1045"/>
    </row>
    <row r="805" spans="2:34" ht="9.75" customHeight="1" x14ac:dyDescent="0.2">
      <c r="B805" s="11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2:34" ht="9.75" customHeight="1" x14ac:dyDescent="0.2">
      <c r="B806" s="11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2:34" ht="18" customHeight="1" thickBot="1" x14ac:dyDescent="0.25">
      <c r="B807" s="1078" t="s">
        <v>288</v>
      </c>
      <c r="C807" s="1079"/>
      <c r="D807" s="1079"/>
      <c r="E807" s="1079"/>
      <c r="F807" s="1079"/>
      <c r="G807" s="1079"/>
      <c r="H807" s="1079"/>
      <c r="I807" s="1079"/>
      <c r="J807" s="1079"/>
      <c r="K807" s="1079"/>
      <c r="L807" s="1079"/>
      <c r="M807" s="1079"/>
      <c r="N807" s="1079"/>
      <c r="O807" s="1079"/>
      <c r="P807" s="1079"/>
      <c r="Q807" s="1079"/>
      <c r="R807" s="1079"/>
      <c r="S807" s="1079"/>
      <c r="T807" s="1079"/>
      <c r="U807" s="1079"/>
      <c r="V807" s="1079"/>
      <c r="W807" s="1080"/>
    </row>
    <row r="808" spans="2:34" x14ac:dyDescent="0.2">
      <c r="B808" s="1067" t="s">
        <v>868</v>
      </c>
      <c r="C808" s="1068"/>
      <c r="D808" s="1068"/>
      <c r="E808" s="1068"/>
      <c r="F808" s="1068"/>
      <c r="G808" s="1068"/>
      <c r="H808" s="1068"/>
      <c r="I808" s="1068"/>
      <c r="J808" s="1068"/>
      <c r="K808" s="1068"/>
      <c r="L808" s="1068"/>
      <c r="M808" s="1068"/>
      <c r="N808" s="1069"/>
      <c r="O808" s="1069"/>
      <c r="P808" s="1069"/>
      <c r="Q808" s="1069"/>
      <c r="R808" s="1069"/>
      <c r="S808" s="1069"/>
      <c r="T808" s="1069"/>
      <c r="U808" s="1069"/>
      <c r="V808" s="1069"/>
      <c r="W808" s="1070"/>
    </row>
    <row r="809" spans="2:34" ht="12.75" customHeight="1" x14ac:dyDescent="0.2">
      <c r="B809" s="1071"/>
      <c r="C809" s="1068"/>
      <c r="D809" s="1068"/>
      <c r="E809" s="1068"/>
      <c r="F809" s="1068"/>
      <c r="G809" s="1068"/>
      <c r="H809" s="1068"/>
      <c r="I809" s="1068"/>
      <c r="J809" s="1068"/>
      <c r="K809" s="1068"/>
      <c r="L809" s="1068"/>
      <c r="M809" s="1068"/>
      <c r="N809" s="1069"/>
      <c r="O809" s="1069"/>
      <c r="P809" s="1069"/>
      <c r="Q809" s="1069"/>
      <c r="R809" s="1069"/>
      <c r="S809" s="1069"/>
      <c r="T809" s="1069"/>
      <c r="U809" s="1069"/>
      <c r="V809" s="1069"/>
      <c r="W809" s="1070"/>
    </row>
    <row r="810" spans="2:34" x14ac:dyDescent="0.2">
      <c r="B810" s="1071"/>
      <c r="C810" s="1068"/>
      <c r="D810" s="1068"/>
      <c r="E810" s="1068"/>
      <c r="F810" s="1068"/>
      <c r="G810" s="1068"/>
      <c r="H810" s="1068"/>
      <c r="I810" s="1068"/>
      <c r="J810" s="1068"/>
      <c r="K810" s="1068"/>
      <c r="L810" s="1068"/>
      <c r="M810" s="1068"/>
      <c r="N810" s="1069"/>
      <c r="O810" s="1069"/>
      <c r="P810" s="1069"/>
      <c r="Q810" s="1069"/>
      <c r="R810" s="1069"/>
      <c r="S810" s="1069"/>
      <c r="T810" s="1069"/>
      <c r="U810" s="1069"/>
      <c r="V810" s="1069"/>
      <c r="W810" s="1070"/>
    </row>
    <row r="811" spans="2:34" x14ac:dyDescent="0.2">
      <c r="B811" s="1072"/>
      <c r="C811" s="1073"/>
      <c r="D811" s="1073"/>
      <c r="E811" s="1073"/>
      <c r="F811" s="1073"/>
      <c r="G811" s="1073"/>
      <c r="H811" s="1073"/>
      <c r="I811" s="1073"/>
      <c r="J811" s="1073"/>
      <c r="K811" s="1073"/>
      <c r="L811" s="1073"/>
      <c r="M811" s="1073"/>
      <c r="N811" s="1074"/>
      <c r="O811" s="1074"/>
      <c r="P811" s="1074"/>
      <c r="Q811" s="1074"/>
      <c r="R811" s="1074"/>
      <c r="S811" s="1074"/>
      <c r="T811" s="1074"/>
      <c r="U811" s="1074"/>
      <c r="V811" s="1074"/>
      <c r="W811" s="1075"/>
    </row>
    <row r="812" spans="2:34" ht="12.6" customHeight="1" x14ac:dyDescent="0.2">
      <c r="B812" s="193"/>
      <c r="C812" s="193"/>
      <c r="D812" s="193"/>
      <c r="E812" s="193"/>
      <c r="F812" s="193"/>
      <c r="G812" s="193"/>
      <c r="H812" s="193"/>
      <c r="I812" s="193"/>
      <c r="J812" s="193"/>
      <c r="K812" s="193"/>
      <c r="L812" s="193"/>
      <c r="M812" s="194"/>
      <c r="N812" s="59"/>
      <c r="O812" s="59"/>
      <c r="P812" s="59"/>
      <c r="Q812" s="59"/>
      <c r="R812" s="59"/>
      <c r="S812" s="59"/>
      <c r="T812" s="59"/>
      <c r="U812" s="59"/>
      <c r="V812" s="59"/>
      <c r="W812" s="59"/>
    </row>
    <row r="813" spans="2:34" x14ac:dyDescent="0.2">
      <c r="B813" s="1076" t="s">
        <v>289</v>
      </c>
      <c r="C813" s="1077"/>
      <c r="D813" s="1077"/>
      <c r="E813" s="1077"/>
      <c r="F813" s="1077"/>
      <c r="G813" s="1077"/>
      <c r="H813" s="1077"/>
      <c r="I813" s="1077"/>
      <c r="J813" s="1077"/>
      <c r="K813" s="1077"/>
      <c r="L813" s="1077"/>
      <c r="M813" s="1077"/>
      <c r="N813" s="1077"/>
      <c r="O813" s="1077"/>
      <c r="P813" s="1077"/>
      <c r="Q813" s="1077"/>
      <c r="R813" s="1077"/>
      <c r="S813" s="1077"/>
      <c r="T813" s="1077"/>
      <c r="U813" s="1077"/>
      <c r="V813" s="1077"/>
      <c r="W813" s="1077"/>
    </row>
    <row r="814" spans="2:34" x14ac:dyDescent="0.2">
      <c r="B814" s="1077"/>
      <c r="C814" s="1077"/>
      <c r="D814" s="1077"/>
      <c r="E814" s="1077"/>
      <c r="F814" s="1077"/>
      <c r="G814" s="1077"/>
      <c r="H814" s="1077"/>
      <c r="I814" s="1077"/>
      <c r="J814" s="1077"/>
      <c r="K814" s="1077"/>
      <c r="L814" s="1077"/>
      <c r="M814" s="1077"/>
      <c r="N814" s="1077"/>
      <c r="O814" s="1077"/>
      <c r="P814" s="1077"/>
      <c r="Q814" s="1077"/>
      <c r="R814" s="1077"/>
      <c r="S814" s="1077"/>
      <c r="T814" s="1077"/>
      <c r="U814" s="1077"/>
      <c r="V814" s="1077"/>
      <c r="W814" s="1077"/>
    </row>
    <row r="815" spans="2:34" x14ac:dyDescent="0.2">
      <c r="B815" s="1066" t="s">
        <v>290</v>
      </c>
      <c r="C815" s="1045"/>
      <c r="D815" s="1045"/>
      <c r="E815" s="1045"/>
      <c r="F815" s="1045"/>
      <c r="G815" s="1045"/>
      <c r="H815" s="1045"/>
      <c r="I815" s="1045"/>
      <c r="J815" s="1045"/>
      <c r="K815" s="1045"/>
      <c r="L815" s="1045"/>
      <c r="M815" s="1045"/>
      <c r="N815" s="1045"/>
      <c r="O815" s="1045"/>
      <c r="P815" s="1045"/>
      <c r="Q815" s="1045"/>
      <c r="R815" s="1045"/>
      <c r="S815" s="1045"/>
      <c r="T815" s="1045"/>
      <c r="U815" s="1045"/>
      <c r="V815" s="1045"/>
      <c r="W815" s="1045"/>
    </row>
    <row r="816" spans="2:34" ht="12.75" customHeight="1" x14ac:dyDescent="0.2">
      <c r="B816" s="460"/>
      <c r="C816" s="459"/>
      <c r="D816" s="459"/>
      <c r="E816" s="459"/>
      <c r="F816" s="459"/>
      <c r="G816" s="459"/>
      <c r="H816" s="459"/>
      <c r="I816" s="459"/>
      <c r="J816" s="459"/>
      <c r="K816" s="459"/>
      <c r="L816" s="459"/>
      <c r="M816" s="459"/>
      <c r="N816" s="459"/>
      <c r="O816" s="459"/>
      <c r="P816" s="459"/>
      <c r="Q816" s="459"/>
      <c r="R816" s="459"/>
      <c r="S816" s="459"/>
      <c r="T816" s="459"/>
      <c r="U816" s="459"/>
      <c r="V816" s="459"/>
      <c r="W816" s="459"/>
    </row>
    <row r="817" spans="2:24" ht="16.5" customHeight="1" x14ac:dyDescent="0.2">
      <c r="B817" s="1065" t="s">
        <v>872</v>
      </c>
      <c r="C817" s="696"/>
      <c r="D817" s="696"/>
      <c r="E817" s="696"/>
      <c r="F817" s="696"/>
      <c r="G817" s="696"/>
      <c r="H817" s="696"/>
      <c r="I817" s="696"/>
      <c r="J817" s="696"/>
      <c r="K817" s="696"/>
      <c r="L817" s="696"/>
      <c r="M817" s="696"/>
      <c r="N817" s="696"/>
      <c r="O817" s="696"/>
      <c r="P817" s="696"/>
      <c r="Q817" s="696"/>
      <c r="R817" s="696"/>
      <c r="S817" s="696"/>
      <c r="T817" s="696"/>
      <c r="U817" s="696"/>
      <c r="V817" s="696"/>
      <c r="W817" s="696"/>
    </row>
    <row r="818" spans="2:24" ht="11.25" customHeight="1" x14ac:dyDescent="0.2"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62"/>
    </row>
    <row r="819" spans="2:24" ht="8.25" customHeight="1" x14ac:dyDescent="0.2">
      <c r="B819" s="1049" t="s">
        <v>867</v>
      </c>
      <c r="C819" s="1050"/>
      <c r="D819" s="1050"/>
      <c r="E819" s="1050"/>
      <c r="F819" s="1050"/>
      <c r="G819" s="1050"/>
      <c r="H819" s="1050"/>
      <c r="I819" s="1050"/>
      <c r="J819" s="1050"/>
      <c r="K819" s="1051"/>
      <c r="L819" s="1051"/>
      <c r="M819" s="1051"/>
      <c r="N819" s="1051"/>
      <c r="O819" s="1051"/>
      <c r="P819" s="1051"/>
      <c r="Q819" s="1051"/>
      <c r="R819" s="1051"/>
      <c r="S819" s="1051"/>
      <c r="T819" s="1051"/>
      <c r="U819" s="1051"/>
      <c r="V819" s="1051"/>
      <c r="W819" s="1052"/>
    </row>
    <row r="820" spans="2:24" ht="12.75" customHeight="1" x14ac:dyDescent="0.2">
      <c r="B820" s="1053"/>
      <c r="C820" s="1054"/>
      <c r="D820" s="1054"/>
      <c r="E820" s="1054"/>
      <c r="F820" s="1054"/>
      <c r="G820" s="1054"/>
      <c r="H820" s="1054"/>
      <c r="I820" s="1054"/>
      <c r="J820" s="1054"/>
      <c r="K820" s="1055"/>
      <c r="L820" s="1055"/>
      <c r="M820" s="1055"/>
      <c r="N820" s="1055"/>
      <c r="O820" s="1055"/>
      <c r="P820" s="1055"/>
      <c r="Q820" s="1055"/>
      <c r="R820" s="1055"/>
      <c r="S820" s="1055"/>
      <c r="T820" s="1055"/>
      <c r="U820" s="1055"/>
      <c r="V820" s="1055"/>
      <c r="W820" s="1056"/>
    </row>
    <row r="821" spans="2:24" x14ac:dyDescent="0.2">
      <c r="B821" s="1057"/>
      <c r="C821" s="1058"/>
      <c r="D821" s="1058"/>
      <c r="E821" s="1058"/>
      <c r="F821" s="1058"/>
      <c r="G821" s="1058"/>
      <c r="H821" s="1058"/>
      <c r="I821" s="1058"/>
      <c r="J821" s="1058"/>
      <c r="K821" s="1055"/>
      <c r="L821" s="1055"/>
      <c r="M821" s="1055"/>
      <c r="N821" s="1055"/>
      <c r="O821" s="1055"/>
      <c r="P821" s="1055"/>
      <c r="Q821" s="1055"/>
      <c r="R821" s="1055"/>
      <c r="S821" s="1055"/>
      <c r="T821" s="1055"/>
      <c r="U821" s="1055"/>
      <c r="V821" s="1055"/>
      <c r="W821" s="1056"/>
    </row>
    <row r="822" spans="2:24" x14ac:dyDescent="0.2">
      <c r="B822" s="1057"/>
      <c r="C822" s="1058"/>
      <c r="D822" s="1058"/>
      <c r="E822" s="1058"/>
      <c r="F822" s="1058"/>
      <c r="G822" s="1058"/>
      <c r="H822" s="1058"/>
      <c r="I822" s="1058"/>
      <c r="J822" s="1058"/>
      <c r="K822" s="1055"/>
      <c r="L822" s="1055"/>
      <c r="M822" s="1055"/>
      <c r="N822" s="1055"/>
      <c r="O822" s="1055"/>
      <c r="P822" s="1055"/>
      <c r="Q822" s="1055"/>
      <c r="R822" s="1055"/>
      <c r="S822" s="1055"/>
      <c r="T822" s="1055"/>
      <c r="U822" s="1055"/>
      <c r="V822" s="1055"/>
      <c r="W822" s="1056"/>
    </row>
    <row r="823" spans="2:24" x14ac:dyDescent="0.2">
      <c r="B823" s="1057"/>
      <c r="C823" s="1058"/>
      <c r="D823" s="1058"/>
      <c r="E823" s="1058"/>
      <c r="F823" s="1058"/>
      <c r="G823" s="1058"/>
      <c r="H823" s="1058"/>
      <c r="I823" s="1058"/>
      <c r="J823" s="1058"/>
      <c r="K823" s="1055"/>
      <c r="L823" s="1055"/>
      <c r="M823" s="1055"/>
      <c r="N823" s="1055"/>
      <c r="O823" s="1055"/>
      <c r="P823" s="1055"/>
      <c r="Q823" s="1055"/>
      <c r="R823" s="1055"/>
      <c r="S823" s="1055"/>
      <c r="T823" s="1055"/>
      <c r="U823" s="1055"/>
      <c r="V823" s="1055"/>
      <c r="W823" s="1056"/>
    </row>
    <row r="824" spans="2:24" x14ac:dyDescent="0.2">
      <c r="B824" s="1057"/>
      <c r="C824" s="1058"/>
      <c r="D824" s="1058"/>
      <c r="E824" s="1058"/>
      <c r="F824" s="1058"/>
      <c r="G824" s="1058"/>
      <c r="H824" s="1058"/>
      <c r="I824" s="1058"/>
      <c r="J824" s="1058"/>
      <c r="K824" s="1055"/>
      <c r="L824" s="1055"/>
      <c r="M824" s="1055"/>
      <c r="N824" s="1055"/>
      <c r="O824" s="1055"/>
      <c r="P824" s="1055"/>
      <c r="Q824" s="1055"/>
      <c r="R824" s="1055"/>
      <c r="S824" s="1055"/>
      <c r="T824" s="1055"/>
      <c r="U824" s="1055"/>
      <c r="V824" s="1055"/>
      <c r="W824" s="1056"/>
    </row>
    <row r="825" spans="2:24" x14ac:dyDescent="0.2">
      <c r="B825" s="1059"/>
      <c r="C825" s="1060"/>
      <c r="D825" s="1060"/>
      <c r="E825" s="1060"/>
      <c r="F825" s="1060"/>
      <c r="G825" s="1060"/>
      <c r="H825" s="1060"/>
      <c r="I825" s="1060"/>
      <c r="J825" s="1060"/>
      <c r="K825" s="1060"/>
      <c r="L825" s="1060"/>
      <c r="M825" s="1060"/>
      <c r="N825" s="1060"/>
      <c r="O825" s="1060"/>
      <c r="P825" s="1060"/>
      <c r="Q825" s="1060"/>
      <c r="R825" s="1060"/>
      <c r="S825" s="1060"/>
      <c r="T825" s="1060"/>
      <c r="U825" s="1060"/>
      <c r="V825" s="1060"/>
      <c r="W825" s="1061"/>
    </row>
    <row r="826" spans="2:24" ht="15" customHeight="1" x14ac:dyDescent="0.2">
      <c r="B826" s="1062"/>
      <c r="C826" s="1063"/>
      <c r="D826" s="1063"/>
      <c r="E826" s="1063"/>
      <c r="F826" s="1063"/>
      <c r="G826" s="1063"/>
      <c r="H826" s="1063"/>
      <c r="I826" s="1063"/>
      <c r="J826" s="1063"/>
      <c r="K826" s="1063"/>
      <c r="L826" s="1063"/>
      <c r="M826" s="1063"/>
      <c r="N826" s="1063"/>
      <c r="O826" s="1063"/>
      <c r="P826" s="1063"/>
      <c r="Q826" s="1063"/>
      <c r="R826" s="1063"/>
      <c r="S826" s="1063"/>
      <c r="T826" s="1063"/>
      <c r="U826" s="1063"/>
      <c r="V826" s="1063"/>
      <c r="W826" s="1064"/>
    </row>
    <row r="827" spans="2:24" ht="12.6" customHeight="1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4" ht="18.75" customHeight="1" x14ac:dyDescent="0.2">
      <c r="B828" s="1041" t="s">
        <v>291</v>
      </c>
      <c r="C828" s="1042"/>
      <c r="D828" s="1042"/>
      <c r="E828" s="1042"/>
      <c r="F828" s="1042"/>
      <c r="G828" s="1042"/>
      <c r="H828" s="1042"/>
      <c r="I828" s="1042"/>
      <c r="J828" s="1042"/>
      <c r="K828" s="1042"/>
      <c r="L828" s="1042"/>
      <c r="M828" s="1042"/>
      <c r="N828" s="1042"/>
      <c r="O828" s="1042"/>
      <c r="P828" s="1042"/>
      <c r="Q828" s="1042"/>
      <c r="R828" s="1042"/>
      <c r="S828" s="1042"/>
      <c r="T828" s="1042"/>
      <c r="U828" s="1042"/>
      <c r="V828" s="1042"/>
      <c r="W828" s="1043"/>
    </row>
    <row r="829" spans="2:24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4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4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4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ht="12.75" customHeight="1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B1235" s="3"/>
      <c r="C1235" s="3"/>
      <c r="D1235" s="3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7"/>
      <c r="W1235" s="7"/>
    </row>
    <row r="1236" spans="2:23" x14ac:dyDescent="0.2">
      <c r="B1236" s="3"/>
      <c r="C1236" s="3"/>
      <c r="D1236" s="3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7"/>
      <c r="W1236" s="7"/>
    </row>
    <row r="1237" spans="2:23" x14ac:dyDescent="0.2">
      <c r="B1237" s="3"/>
      <c r="C1237" s="3"/>
      <c r="D1237" s="3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7"/>
      <c r="W1237" s="7"/>
    </row>
    <row r="1238" spans="2:23" x14ac:dyDescent="0.2">
      <c r="B1238" s="3"/>
      <c r="C1238" s="3"/>
      <c r="D1238" s="3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7"/>
      <c r="W1238" s="7"/>
    </row>
    <row r="1239" spans="2:23" x14ac:dyDescent="0.2">
      <c r="E1239" s="1"/>
      <c r="F1239" s="1"/>
      <c r="H1239" s="1"/>
      <c r="I1239" s="1"/>
      <c r="J1239" s="1"/>
      <c r="K1239" s="1"/>
    </row>
    <row r="1240" spans="2:23" x14ac:dyDescent="0.2">
      <c r="E1240" s="1"/>
      <c r="F1240" s="1"/>
      <c r="H1240" s="1"/>
      <c r="I1240" s="1"/>
      <c r="J1240" s="1"/>
      <c r="K1240" s="1"/>
    </row>
    <row r="1241" spans="2:23" x14ac:dyDescent="0.2">
      <c r="E1241" s="1"/>
      <c r="F1241" s="1"/>
      <c r="H1241" s="1"/>
      <c r="I1241" s="1"/>
      <c r="J1241" s="1"/>
      <c r="K1241" s="1"/>
    </row>
    <row r="1242" spans="2:23" x14ac:dyDescent="0.2">
      <c r="E1242" s="1"/>
      <c r="F1242" s="1"/>
      <c r="H1242" s="1"/>
      <c r="I1242" s="1"/>
      <c r="J1242" s="1"/>
      <c r="K1242" s="1"/>
    </row>
    <row r="1243" spans="2:23" x14ac:dyDescent="0.2">
      <c r="E1243" s="1"/>
      <c r="F1243" s="1"/>
      <c r="H1243" s="1"/>
      <c r="I1243" s="1"/>
      <c r="J1243" s="1"/>
      <c r="K1243" s="1"/>
    </row>
    <row r="1244" spans="2:23" x14ac:dyDescent="0.2">
      <c r="E1244" s="1"/>
      <c r="F1244" s="1"/>
      <c r="H1244" s="1"/>
      <c r="I1244" s="1"/>
      <c r="J1244" s="1"/>
      <c r="K1244" s="1"/>
    </row>
    <row r="1245" spans="2:23" x14ac:dyDescent="0.2">
      <c r="E1245" s="1"/>
      <c r="F1245" s="1"/>
      <c r="H1245" s="1"/>
      <c r="I1245" s="1"/>
      <c r="J1245" s="1"/>
      <c r="K1245" s="1"/>
    </row>
    <row r="1246" spans="2:23" x14ac:dyDescent="0.2">
      <c r="E1246" s="1"/>
      <c r="F1246" s="1"/>
      <c r="H1246" s="1"/>
      <c r="I1246" s="1"/>
      <c r="J1246" s="1"/>
      <c r="K1246" s="1"/>
    </row>
    <row r="1247" spans="2:23" x14ac:dyDescent="0.2">
      <c r="E1247" s="1"/>
      <c r="F1247" s="1"/>
      <c r="H1247" s="1"/>
      <c r="I1247" s="1"/>
      <c r="J1247" s="1"/>
      <c r="K1247" s="1"/>
    </row>
    <row r="1248" spans="2:23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  <row r="1650" spans="5:11" x14ac:dyDescent="0.2">
      <c r="E1650" s="1"/>
      <c r="F1650" s="1"/>
      <c r="H1650" s="1"/>
      <c r="I1650" s="1"/>
      <c r="J1650" s="1"/>
      <c r="K1650" s="1"/>
    </row>
    <row r="1651" spans="5:11" x14ac:dyDescent="0.2">
      <c r="E1651" s="1"/>
      <c r="F1651" s="1"/>
      <c r="H1651" s="1"/>
      <c r="I1651" s="1"/>
      <c r="J1651" s="1"/>
      <c r="K1651" s="1"/>
    </row>
    <row r="1652" spans="5:11" x14ac:dyDescent="0.2">
      <c r="E1652" s="1"/>
      <c r="F1652" s="1"/>
      <c r="H1652" s="1"/>
      <c r="I1652" s="1"/>
      <c r="J1652" s="1"/>
      <c r="K1652" s="1"/>
    </row>
    <row r="1653" spans="5:11" x14ac:dyDescent="0.2">
      <c r="E1653" s="1"/>
      <c r="F1653" s="1"/>
      <c r="H1653" s="1"/>
      <c r="I1653" s="1"/>
      <c r="J1653" s="1"/>
      <c r="K1653" s="1"/>
    </row>
  </sheetData>
  <mergeCells count="1234">
    <mergeCell ref="B358:E358"/>
    <mergeCell ref="B424:E424"/>
    <mergeCell ref="B412:E412"/>
    <mergeCell ref="X405:AA405"/>
    <mergeCell ref="B232:E232"/>
    <mergeCell ref="X232:AA232"/>
    <mergeCell ref="X176:AA176"/>
    <mergeCell ref="X189:AA189"/>
    <mergeCell ref="B187:E187"/>
    <mergeCell ref="B181:E181"/>
    <mergeCell ref="X139:AA139"/>
    <mergeCell ref="X181:AA181"/>
    <mergeCell ref="B148:E148"/>
    <mergeCell ref="B143:E143"/>
    <mergeCell ref="B171:E171"/>
    <mergeCell ref="X171:AA171"/>
    <mergeCell ref="B153:E153"/>
    <mergeCell ref="X151:AA151"/>
    <mergeCell ref="X188:AA188"/>
    <mergeCell ref="B224:E224"/>
    <mergeCell ref="B196:E196"/>
    <mergeCell ref="X153:AA153"/>
    <mergeCell ref="X177:AA177"/>
    <mergeCell ref="X152:AA152"/>
    <mergeCell ref="B214:E214"/>
    <mergeCell ref="B225:E225"/>
    <mergeCell ref="X271:AA271"/>
    <mergeCell ref="B215:E215"/>
    <mergeCell ref="B222:E222"/>
    <mergeCell ref="B254:E254"/>
    <mergeCell ref="AF29:AJ29"/>
    <mergeCell ref="B211:E211"/>
    <mergeCell ref="X326:AA326"/>
    <mergeCell ref="X322:AA322"/>
    <mergeCell ref="X329:AA329"/>
    <mergeCell ref="B255:E255"/>
    <mergeCell ref="H238:W238"/>
    <mergeCell ref="X248:AA248"/>
    <mergeCell ref="X260:AA260"/>
    <mergeCell ref="X273:AA273"/>
    <mergeCell ref="X269:AA269"/>
    <mergeCell ref="X270:AA270"/>
    <mergeCell ref="X283:AA283"/>
    <mergeCell ref="B288:E288"/>
    <mergeCell ref="B262:E262"/>
    <mergeCell ref="G318:G319"/>
    <mergeCell ref="X330:AA330"/>
    <mergeCell ref="X286:AA286"/>
    <mergeCell ref="X140:AA140"/>
    <mergeCell ref="I211:M211"/>
    <mergeCell ref="I212:M212"/>
    <mergeCell ref="B271:E271"/>
    <mergeCell ref="X168:AA168"/>
    <mergeCell ref="X179:AA179"/>
    <mergeCell ref="H219:M219"/>
    <mergeCell ref="B219:E219"/>
    <mergeCell ref="B231:E231"/>
    <mergeCell ref="B226:E226"/>
    <mergeCell ref="B178:E178"/>
    <mergeCell ref="B227:E227"/>
    <mergeCell ref="B244:E244"/>
    <mergeCell ref="B131:E131"/>
    <mergeCell ref="B15:E15"/>
    <mergeCell ref="X15:AA15"/>
    <mergeCell ref="B423:E423"/>
    <mergeCell ref="B221:E221"/>
    <mergeCell ref="B284:E284"/>
    <mergeCell ref="X238:AA239"/>
    <mergeCell ref="B353:E353"/>
    <mergeCell ref="B324:E324"/>
    <mergeCell ref="B400:E400"/>
    <mergeCell ref="B418:E418"/>
    <mergeCell ref="B403:E403"/>
    <mergeCell ref="B411:E411"/>
    <mergeCell ref="B394:E394"/>
    <mergeCell ref="B305:E305"/>
    <mergeCell ref="B410:E410"/>
    <mergeCell ref="X408:AA408"/>
    <mergeCell ref="Q234:W234"/>
    <mergeCell ref="B355:E355"/>
    <mergeCell ref="B375:E375"/>
    <mergeCell ref="B382:E382"/>
    <mergeCell ref="X342:AA342"/>
    <mergeCell ref="X287:AA287"/>
    <mergeCell ref="X268:AA268"/>
    <mergeCell ref="B241:E241"/>
    <mergeCell ref="F318:F319"/>
    <mergeCell ref="B380:E380"/>
    <mergeCell ref="B360:E360"/>
    <mergeCell ref="B345:E345"/>
    <mergeCell ref="H318:W318"/>
    <mergeCell ref="B205:E205"/>
    <mergeCell ref="B114:E114"/>
    <mergeCell ref="B151:E151"/>
    <mergeCell ref="X496:AA496"/>
    <mergeCell ref="I511:M516"/>
    <mergeCell ref="B517:E517"/>
    <mergeCell ref="B457:E457"/>
    <mergeCell ref="B472:E472"/>
    <mergeCell ref="X503:AA503"/>
    <mergeCell ref="B478:B479"/>
    <mergeCell ref="C478:E479"/>
    <mergeCell ref="X485:AA485"/>
    <mergeCell ref="X504:AA504"/>
    <mergeCell ref="B466:E466"/>
    <mergeCell ref="B482:E482"/>
    <mergeCell ref="B512:E512"/>
    <mergeCell ref="B495:E495"/>
    <mergeCell ref="X495:AA495"/>
    <mergeCell ref="X520:AA520"/>
    <mergeCell ref="B520:E520"/>
    <mergeCell ref="B481:E481"/>
    <mergeCell ref="B504:E504"/>
    <mergeCell ref="X491:AA491"/>
    <mergeCell ref="X508:AA508"/>
    <mergeCell ref="X509:AA509"/>
    <mergeCell ref="B461:E461"/>
    <mergeCell ref="B518:E518"/>
    <mergeCell ref="X484:AA484"/>
    <mergeCell ref="B492:E492"/>
    <mergeCell ref="X492:AA492"/>
    <mergeCell ref="B462:E462"/>
    <mergeCell ref="B474:E474"/>
    <mergeCell ref="X478:AA479"/>
    <mergeCell ref="B681:B682"/>
    <mergeCell ref="F681:F682"/>
    <mergeCell ref="B680:W680"/>
    <mergeCell ref="B659:E659"/>
    <mergeCell ref="B579:E579"/>
    <mergeCell ref="AF680:AH680"/>
    <mergeCell ref="B564:E564"/>
    <mergeCell ref="B613:E613"/>
    <mergeCell ref="X559:AA560"/>
    <mergeCell ref="C559:E560"/>
    <mergeCell ref="B619:E619"/>
    <mergeCell ref="B614:E614"/>
    <mergeCell ref="B616:E616"/>
    <mergeCell ref="B611:E611"/>
    <mergeCell ref="B664:E664"/>
    <mergeCell ref="B671:E671"/>
    <mergeCell ref="B673:E673"/>
    <mergeCell ref="B648:E648"/>
    <mergeCell ref="B670:E670"/>
    <mergeCell ref="B596:E596"/>
    <mergeCell ref="B566:E566"/>
    <mergeCell ref="B615:E615"/>
    <mergeCell ref="B668:E668"/>
    <mergeCell ref="B669:E669"/>
    <mergeCell ref="B665:E665"/>
    <mergeCell ref="B666:E666"/>
    <mergeCell ref="AF681:AH681"/>
    <mergeCell ref="B610:E610"/>
    <mergeCell ref="B622:E622"/>
    <mergeCell ref="B561:E561"/>
    <mergeCell ref="B594:E594"/>
    <mergeCell ref="B603:W603"/>
    <mergeCell ref="AF558:AH558"/>
    <mergeCell ref="AB559:AB560"/>
    <mergeCell ref="AF559:AH559"/>
    <mergeCell ref="B587:E587"/>
    <mergeCell ref="B627:E627"/>
    <mergeCell ref="B580:E580"/>
    <mergeCell ref="B624:E624"/>
    <mergeCell ref="B647:E647"/>
    <mergeCell ref="B695:E695"/>
    <mergeCell ref="AB681:AB682"/>
    <mergeCell ref="X750:AA750"/>
    <mergeCell ref="X700:AA701"/>
    <mergeCell ref="B739:E739"/>
    <mergeCell ref="B727:E727"/>
    <mergeCell ref="B729:E729"/>
    <mergeCell ref="B733:E733"/>
    <mergeCell ref="B723:E723"/>
    <mergeCell ref="B684:E684"/>
    <mergeCell ref="B675:E675"/>
    <mergeCell ref="B691:E691"/>
    <mergeCell ref="B656:E656"/>
    <mergeCell ref="B650:E650"/>
    <mergeCell ref="B735:E735"/>
    <mergeCell ref="B657:E657"/>
    <mergeCell ref="X730:AA730"/>
    <mergeCell ref="C681:E682"/>
    <mergeCell ref="B621:E621"/>
    <mergeCell ref="B658:E658"/>
    <mergeCell ref="B568:E568"/>
    <mergeCell ref="X681:AA682"/>
    <mergeCell ref="AB720:AB721"/>
    <mergeCell ref="B706:E706"/>
    <mergeCell ref="B736:E736"/>
    <mergeCell ref="X735:AA735"/>
    <mergeCell ref="B746:E746"/>
    <mergeCell ref="X746:AA746"/>
    <mergeCell ref="C720:E721"/>
    <mergeCell ref="B750:E750"/>
    <mergeCell ref="K769:K770"/>
    <mergeCell ref="B764:G764"/>
    <mergeCell ref="B767:G767"/>
    <mergeCell ref="B756:E756"/>
    <mergeCell ref="B740:E740"/>
    <mergeCell ref="X731:AA731"/>
    <mergeCell ref="X739:AA739"/>
    <mergeCell ref="B741:E741"/>
    <mergeCell ref="B745:E745"/>
    <mergeCell ref="B751:E751"/>
    <mergeCell ref="W769:W770"/>
    <mergeCell ref="X733:AA733"/>
    <mergeCell ref="X738:AA738"/>
    <mergeCell ref="B708:E708"/>
    <mergeCell ref="X740:AA740"/>
    <mergeCell ref="X728:AA728"/>
    <mergeCell ref="X727:AA727"/>
    <mergeCell ref="B738:E738"/>
    <mergeCell ref="B769:G770"/>
    <mergeCell ref="T769:T770"/>
    <mergeCell ref="B732:E732"/>
    <mergeCell ref="H700:W700"/>
    <mergeCell ref="B710:E710"/>
    <mergeCell ref="B697:E697"/>
    <mergeCell ref="B725:E725"/>
    <mergeCell ref="B742:E742"/>
    <mergeCell ref="X713:AA713"/>
    <mergeCell ref="X744:AA744"/>
    <mergeCell ref="B714:E714"/>
    <mergeCell ref="G720:G721"/>
    <mergeCell ref="H720:W720"/>
    <mergeCell ref="X720:AA721"/>
    <mergeCell ref="X751:AA751"/>
    <mergeCell ref="X714:AA714"/>
    <mergeCell ref="B731:E731"/>
    <mergeCell ref="B707:E707"/>
    <mergeCell ref="B711:E711"/>
    <mergeCell ref="B709:E709"/>
    <mergeCell ref="B730:E730"/>
    <mergeCell ref="B743:E743"/>
    <mergeCell ref="B702:E702"/>
    <mergeCell ref="X725:AA725"/>
    <mergeCell ref="X726:AA726"/>
    <mergeCell ref="X724:AA724"/>
    <mergeCell ref="B720:B721"/>
    <mergeCell ref="X711:AA711"/>
    <mergeCell ref="B747:E747"/>
    <mergeCell ref="X747:AA747"/>
    <mergeCell ref="B744:E744"/>
    <mergeCell ref="X716:AA716"/>
    <mergeCell ref="AF720:AH720"/>
    <mergeCell ref="B724:E724"/>
    <mergeCell ref="C782:I783"/>
    <mergeCell ref="C790:I796"/>
    <mergeCell ref="B683:E683"/>
    <mergeCell ref="B651:E651"/>
    <mergeCell ref="B618:E618"/>
    <mergeCell ref="B599:E599"/>
    <mergeCell ref="B607:E607"/>
    <mergeCell ref="B635:E635"/>
    <mergeCell ref="B629:E629"/>
    <mergeCell ref="C639:E640"/>
    <mergeCell ref="B606:E606"/>
    <mergeCell ref="B704:E704"/>
    <mergeCell ref="J769:J770"/>
    <mergeCell ref="B771:G771"/>
    <mergeCell ref="B699:W699"/>
    <mergeCell ref="B700:B701"/>
    <mergeCell ref="AF789:AH789"/>
    <mergeCell ref="B785:W787"/>
    <mergeCell ref="AB700:AB701"/>
    <mergeCell ref="Q769:Q770"/>
    <mergeCell ref="G700:G701"/>
    <mergeCell ref="B734:E734"/>
    <mergeCell ref="X736:AA736"/>
    <mergeCell ref="X722:AA722"/>
    <mergeCell ref="AF700:AH700"/>
    <mergeCell ref="B716:E716"/>
    <mergeCell ref="B713:E713"/>
    <mergeCell ref="AF803:AH803"/>
    <mergeCell ref="O769:O770"/>
    <mergeCell ref="L769:L770"/>
    <mergeCell ref="P769:P770"/>
    <mergeCell ref="C789:I789"/>
    <mergeCell ref="C797:G797"/>
    <mergeCell ref="C798:G798"/>
    <mergeCell ref="M769:M770"/>
    <mergeCell ref="B760:E760"/>
    <mergeCell ref="B758:E758"/>
    <mergeCell ref="B768:W768"/>
    <mergeCell ref="X745:AA745"/>
    <mergeCell ref="B749:E749"/>
    <mergeCell ref="B759:E759"/>
    <mergeCell ref="C781:G781"/>
    <mergeCell ref="U769:U770"/>
    <mergeCell ref="C778:I778"/>
    <mergeCell ref="B776:J776"/>
    <mergeCell ref="AF762:AH762"/>
    <mergeCell ref="B715:E715"/>
    <mergeCell ref="B722:E722"/>
    <mergeCell ref="V769:V770"/>
    <mergeCell ref="B748:E748"/>
    <mergeCell ref="B726:E726"/>
    <mergeCell ref="F720:F721"/>
    <mergeCell ref="X741:AA741"/>
    <mergeCell ref="X729:AA729"/>
    <mergeCell ref="X737:AA737"/>
    <mergeCell ref="R769:R770"/>
    <mergeCell ref="B737:E737"/>
    <mergeCell ref="B828:W828"/>
    <mergeCell ref="B802:W802"/>
    <mergeCell ref="B800:W800"/>
    <mergeCell ref="B819:W826"/>
    <mergeCell ref="B803:W803"/>
    <mergeCell ref="B817:W817"/>
    <mergeCell ref="B815:W815"/>
    <mergeCell ref="B808:W811"/>
    <mergeCell ref="B813:W814"/>
    <mergeCell ref="B807:W807"/>
    <mergeCell ref="B804:W804"/>
    <mergeCell ref="S769:S770"/>
    <mergeCell ref="C779:G779"/>
    <mergeCell ref="B752:E752"/>
    <mergeCell ref="N769:N770"/>
    <mergeCell ref="H769:H770"/>
    <mergeCell ref="I769:I770"/>
    <mergeCell ref="B765:G765"/>
    <mergeCell ref="B762:W762"/>
    <mergeCell ref="C780:G780"/>
    <mergeCell ref="B705:E705"/>
    <mergeCell ref="F639:F640"/>
    <mergeCell ref="C700:E701"/>
    <mergeCell ref="B654:E654"/>
    <mergeCell ref="B653:E653"/>
    <mergeCell ref="B687:E687"/>
    <mergeCell ref="G681:G682"/>
    <mergeCell ref="H681:W681"/>
    <mergeCell ref="B688:E688"/>
    <mergeCell ref="B642:E642"/>
    <mergeCell ref="B649:E649"/>
    <mergeCell ref="B696:E696"/>
    <mergeCell ref="B678:E678"/>
    <mergeCell ref="B672:E672"/>
    <mergeCell ref="B689:E689"/>
    <mergeCell ref="H559:W559"/>
    <mergeCell ref="F604:F605"/>
    <mergeCell ref="G604:G605"/>
    <mergeCell ref="B690:E690"/>
    <mergeCell ref="H604:W604"/>
    <mergeCell ref="B577:E577"/>
    <mergeCell ref="B581:E581"/>
    <mergeCell ref="G559:G560"/>
    <mergeCell ref="B575:E575"/>
    <mergeCell ref="B576:E576"/>
    <mergeCell ref="B604:B605"/>
    <mergeCell ref="C604:E605"/>
    <mergeCell ref="B598:E598"/>
    <mergeCell ref="B589:E589"/>
    <mergeCell ref="B686:E686"/>
    <mergeCell ref="B703:E703"/>
    <mergeCell ref="B692:E692"/>
    <mergeCell ref="B676:E676"/>
    <mergeCell ref="B572:E572"/>
    <mergeCell ref="B571:E571"/>
    <mergeCell ref="B559:B560"/>
    <mergeCell ref="B655:E655"/>
    <mergeCell ref="B626:E626"/>
    <mergeCell ref="B506:E506"/>
    <mergeCell ref="B498:E498"/>
    <mergeCell ref="B597:E597"/>
    <mergeCell ref="B661:E661"/>
    <mergeCell ref="B674:E674"/>
    <mergeCell ref="B631:E631"/>
    <mergeCell ref="B632:E632"/>
    <mergeCell ref="B634:E634"/>
    <mergeCell ref="B628:E628"/>
    <mergeCell ref="B612:E612"/>
    <mergeCell ref="B609:E609"/>
    <mergeCell ref="B617:E617"/>
    <mergeCell ref="B537:E537"/>
    <mergeCell ref="B534:E534"/>
    <mergeCell ref="B511:E511"/>
    <mergeCell ref="B570:E570"/>
    <mergeCell ref="B540:E540"/>
    <mergeCell ref="B516:E516"/>
    <mergeCell ref="B583:E583"/>
    <mergeCell ref="B573:E573"/>
    <mergeCell ref="B563:E563"/>
    <mergeCell ref="B590:E590"/>
    <mergeCell ref="B660:E660"/>
    <mergeCell ref="B625:E625"/>
    <mergeCell ref="B578:E578"/>
    <mergeCell ref="B643:E643"/>
    <mergeCell ref="B646:E646"/>
    <mergeCell ref="B652:E652"/>
    <mergeCell ref="B574:E574"/>
    <mergeCell ref="F398:F399"/>
    <mergeCell ref="B337:E337"/>
    <mergeCell ref="B595:E595"/>
    <mergeCell ref="B323:E323"/>
    <mergeCell ref="X543:AA543"/>
    <mergeCell ref="B542:E542"/>
    <mergeCell ref="B539:E539"/>
    <mergeCell ref="B545:E545"/>
    <mergeCell ref="B535:E535"/>
    <mergeCell ref="B536:E536"/>
    <mergeCell ref="X532:AA532"/>
    <mergeCell ref="B532:E532"/>
    <mergeCell ref="B533:E533"/>
    <mergeCell ref="B531:E531"/>
    <mergeCell ref="B538:E538"/>
    <mergeCell ref="B541:E541"/>
    <mergeCell ref="X533:AA533"/>
    <mergeCell ref="B515:E515"/>
    <mergeCell ref="B507:E507"/>
    <mergeCell ref="B513:E513"/>
    <mergeCell ref="B522:E522"/>
    <mergeCell ref="B523:E523"/>
    <mergeCell ref="B524:E524"/>
    <mergeCell ref="B543:E543"/>
    <mergeCell ref="B544:E544"/>
    <mergeCell ref="B527:E527"/>
    <mergeCell ref="I505:M507"/>
    <mergeCell ref="B510:E510"/>
    <mergeCell ref="X528:AA528"/>
    <mergeCell ref="X544:AA544"/>
    <mergeCell ref="B528:E528"/>
    <mergeCell ref="X545:AA545"/>
    <mergeCell ref="X531:AA531"/>
    <mergeCell ref="B529:E529"/>
    <mergeCell ref="B250:E250"/>
    <mergeCell ref="X250:AA250"/>
    <mergeCell ref="B261:E261"/>
    <mergeCell ref="B238:B239"/>
    <mergeCell ref="B248:E248"/>
    <mergeCell ref="B251:E251"/>
    <mergeCell ref="B249:E249"/>
    <mergeCell ref="B291:E291"/>
    <mergeCell ref="B282:E282"/>
    <mergeCell ref="X267:AA267"/>
    <mergeCell ref="B252:E252"/>
    <mergeCell ref="X261:AA261"/>
    <mergeCell ref="B257:E257"/>
    <mergeCell ref="X255:AA255"/>
    <mergeCell ref="X262:AA262"/>
    <mergeCell ref="X256:AA256"/>
    <mergeCell ref="B243:E243"/>
    <mergeCell ref="B258:E258"/>
    <mergeCell ref="B278:E278"/>
    <mergeCell ref="B285:E285"/>
    <mergeCell ref="B286:E286"/>
    <mergeCell ref="X251:AA251"/>
    <mergeCell ref="B374:E374"/>
    <mergeCell ref="B269:E269"/>
    <mergeCell ref="B470:E470"/>
    <mergeCell ref="G470:M470"/>
    <mergeCell ref="G471:M471"/>
    <mergeCell ref="A764:A774"/>
    <mergeCell ref="B772:G772"/>
    <mergeCell ref="B753:E753"/>
    <mergeCell ref="B773:G773"/>
    <mergeCell ref="B754:E754"/>
    <mergeCell ref="B757:E757"/>
    <mergeCell ref="B774:G774"/>
    <mergeCell ref="B763:G763"/>
    <mergeCell ref="B766:G766"/>
    <mergeCell ref="X443:AA443"/>
    <mergeCell ref="B493:E493"/>
    <mergeCell ref="B487:E487"/>
    <mergeCell ref="F559:F560"/>
    <mergeCell ref="B755:E755"/>
    <mergeCell ref="F700:F701"/>
    <mergeCell ref="B693:E693"/>
    <mergeCell ref="X501:AA501"/>
    <mergeCell ref="B455:E455"/>
    <mergeCell ref="X457:AA457"/>
    <mergeCell ref="G478:G479"/>
    <mergeCell ref="X481:AA481"/>
    <mergeCell ref="X474:AA474"/>
    <mergeCell ref="B458:E458"/>
    <mergeCell ref="B480:E480"/>
    <mergeCell ref="X519:AA519"/>
    <mergeCell ref="B663:E663"/>
    <mergeCell ref="B712:E712"/>
    <mergeCell ref="B728:E728"/>
    <mergeCell ref="B620:E620"/>
    <mergeCell ref="X734:AA734"/>
    <mergeCell ref="X604:AA605"/>
    <mergeCell ref="B509:E509"/>
    <mergeCell ref="X130:AA130"/>
    <mergeCell ref="B150:E150"/>
    <mergeCell ref="B136:E136"/>
    <mergeCell ref="X136:AA136"/>
    <mergeCell ref="X150:AA150"/>
    <mergeCell ref="X133:AA133"/>
    <mergeCell ref="B188:E188"/>
    <mergeCell ref="X178:AA178"/>
    <mergeCell ref="B359:E359"/>
    <mergeCell ref="B346:E346"/>
    <mergeCell ref="B366:E366"/>
    <mergeCell ref="B311:E311"/>
    <mergeCell ref="B274:E274"/>
    <mergeCell ref="X275:AA275"/>
    <mergeCell ref="B302:E302"/>
    <mergeCell ref="B279:E279"/>
    <mergeCell ref="B299:E299"/>
    <mergeCell ref="B334:E334"/>
    <mergeCell ref="X274:AA274"/>
    <mergeCell ref="X299:AA299"/>
    <mergeCell ref="B176:E176"/>
    <mergeCell ref="B197:E197"/>
    <mergeCell ref="X196:AA196"/>
    <mergeCell ref="B192:E192"/>
    <mergeCell ref="B191:E191"/>
    <mergeCell ref="I191:M194"/>
    <mergeCell ref="B189:E189"/>
    <mergeCell ref="B349:E349"/>
    <mergeCell ref="X343:AA343"/>
    <mergeCell ref="G238:G239"/>
    <mergeCell ref="B272:E272"/>
    <mergeCell ref="B325:E325"/>
    <mergeCell ref="B128:E128"/>
    <mergeCell ref="G126:K126"/>
    <mergeCell ref="B183:E183"/>
    <mergeCell ref="B204:E204"/>
    <mergeCell ref="B186:E186"/>
    <mergeCell ref="B138:E138"/>
    <mergeCell ref="G131:K131"/>
    <mergeCell ref="H196:K201"/>
    <mergeCell ref="B207:E207"/>
    <mergeCell ref="B200:E200"/>
    <mergeCell ref="B190:E190"/>
    <mergeCell ref="B195:E195"/>
    <mergeCell ref="B174:E174"/>
    <mergeCell ref="B170:E170"/>
    <mergeCell ref="B179:E179"/>
    <mergeCell ref="B161:E161"/>
    <mergeCell ref="H158:W158"/>
    <mergeCell ref="C158:E159"/>
    <mergeCell ref="B164:E164"/>
    <mergeCell ref="B162:E162"/>
    <mergeCell ref="B167:E167"/>
    <mergeCell ref="B137:E137"/>
    <mergeCell ref="B203:E203"/>
    <mergeCell ref="B184:E184"/>
    <mergeCell ref="B166:E166"/>
    <mergeCell ref="B169:E169"/>
    <mergeCell ref="B177:E177"/>
    <mergeCell ref="B202:E202"/>
    <mergeCell ref="B172:E172"/>
    <mergeCell ref="B201:E201"/>
    <mergeCell ref="X138:AA138"/>
    <mergeCell ref="B459:E459"/>
    <mergeCell ref="X199:AA199"/>
    <mergeCell ref="F158:F159"/>
    <mergeCell ref="B158:B159"/>
    <mergeCell ref="B160:E160"/>
    <mergeCell ref="X169:AA169"/>
    <mergeCell ref="B182:E182"/>
    <mergeCell ref="B348:E348"/>
    <mergeCell ref="X257:AA257"/>
    <mergeCell ref="B270:E270"/>
    <mergeCell ref="B275:E275"/>
    <mergeCell ref="B281:E281"/>
    <mergeCell ref="B306:E306"/>
    <mergeCell ref="B332:E332"/>
    <mergeCell ref="X198:AA198"/>
    <mergeCell ref="X148:AA148"/>
    <mergeCell ref="X167:AA167"/>
    <mergeCell ref="B230:E230"/>
    <mergeCell ref="X197:AA197"/>
    <mergeCell ref="B217:E217"/>
    <mergeCell ref="B295:E295"/>
    <mergeCell ref="B300:E300"/>
    <mergeCell ref="B165:E165"/>
    <mergeCell ref="X281:AA281"/>
    <mergeCell ref="B289:E289"/>
    <mergeCell ref="B209:E209"/>
    <mergeCell ref="B264:E264"/>
    <mergeCell ref="B218:E218"/>
    <mergeCell ref="Q233:W233"/>
    <mergeCell ref="X340:AA340"/>
    <mergeCell ref="B240:E240"/>
    <mergeCell ref="H48:K48"/>
    <mergeCell ref="B67:E67"/>
    <mergeCell ref="B63:E63"/>
    <mergeCell ref="B50:E50"/>
    <mergeCell ref="B56:E56"/>
    <mergeCell ref="B44:E44"/>
    <mergeCell ref="H47:K47"/>
    <mergeCell ref="B59:E59"/>
    <mergeCell ref="H36:K36"/>
    <mergeCell ref="X141:AA141"/>
    <mergeCell ref="B133:E133"/>
    <mergeCell ref="B132:E132"/>
    <mergeCell ref="X185:AA185"/>
    <mergeCell ref="B134:E134"/>
    <mergeCell ref="B149:E149"/>
    <mergeCell ref="B175:E175"/>
    <mergeCell ref="X175:AA175"/>
    <mergeCell ref="B173:E173"/>
    <mergeCell ref="B168:E168"/>
    <mergeCell ref="X147:AA147"/>
    <mergeCell ref="G158:G159"/>
    <mergeCell ref="B180:E180"/>
    <mergeCell ref="X180:AA180"/>
    <mergeCell ref="X173:AA173"/>
    <mergeCell ref="B144:E144"/>
    <mergeCell ref="B147:E147"/>
    <mergeCell ref="B152:E152"/>
    <mergeCell ref="B185:E185"/>
    <mergeCell ref="B163:E163"/>
    <mergeCell ref="X154:AA154"/>
    <mergeCell ref="X184:AA184"/>
    <mergeCell ref="X135:AA135"/>
    <mergeCell ref="B55:E55"/>
    <mergeCell ref="X26:AA26"/>
    <mergeCell ref="H41:K41"/>
    <mergeCell ref="F78:F79"/>
    <mergeCell ref="X44:AA44"/>
    <mergeCell ref="B60:E60"/>
    <mergeCell ref="B35:E35"/>
    <mergeCell ref="B78:B79"/>
    <mergeCell ref="B54:E54"/>
    <mergeCell ref="Q18:W18"/>
    <mergeCell ref="X37:AA37"/>
    <mergeCell ref="H30:K30"/>
    <mergeCell ref="X45:AA45"/>
    <mergeCell ref="X40:AA40"/>
    <mergeCell ref="H45:K45"/>
    <mergeCell ref="B39:E39"/>
    <mergeCell ref="X43:AA43"/>
    <mergeCell ref="X36:AA36"/>
    <mergeCell ref="X38:AA38"/>
    <mergeCell ref="C78:E79"/>
    <mergeCell ref="B73:E73"/>
    <mergeCell ref="B58:E58"/>
    <mergeCell ref="I70:M70"/>
    <mergeCell ref="I71:M71"/>
    <mergeCell ref="B70:E70"/>
    <mergeCell ref="H32:K32"/>
    <mergeCell ref="H34:K34"/>
    <mergeCell ref="H46:K46"/>
    <mergeCell ref="B40:E40"/>
    <mergeCell ref="B45:E45"/>
    <mergeCell ref="X78:AA79"/>
    <mergeCell ref="B27:E27"/>
    <mergeCell ref="AE5:AI7"/>
    <mergeCell ref="AF10:AH10"/>
    <mergeCell ref="E3:W3"/>
    <mergeCell ref="E4:W4"/>
    <mergeCell ref="B2:W2"/>
    <mergeCell ref="B10:E10"/>
    <mergeCell ref="B11:E11"/>
    <mergeCell ref="AB8:AB9"/>
    <mergeCell ref="C8:E9"/>
    <mergeCell ref="X33:AA33"/>
    <mergeCell ref="G78:G79"/>
    <mergeCell ref="B52:E52"/>
    <mergeCell ref="X70:AA70"/>
    <mergeCell ref="B66:E66"/>
    <mergeCell ref="B61:E61"/>
    <mergeCell ref="B34:E34"/>
    <mergeCell ref="B28:E28"/>
    <mergeCell ref="B32:E32"/>
    <mergeCell ref="H33:K33"/>
    <mergeCell ref="H40:K40"/>
    <mergeCell ref="B41:E41"/>
    <mergeCell ref="X25:AA25"/>
    <mergeCell ref="B68:E68"/>
    <mergeCell ref="B62:E62"/>
    <mergeCell ref="X30:AA30"/>
    <mergeCell ref="B38:E38"/>
    <mergeCell ref="B30:E30"/>
    <mergeCell ref="H37:K37"/>
    <mergeCell ref="H35:K35"/>
    <mergeCell ref="B36:E36"/>
    <mergeCell ref="X35:AA35"/>
    <mergeCell ref="X31:AA31"/>
    <mergeCell ref="H29:K29"/>
    <mergeCell ref="AF15:AI15"/>
    <mergeCell ref="X29:AA29"/>
    <mergeCell ref="B29:E29"/>
    <mergeCell ref="B21:E21"/>
    <mergeCell ref="AF28:AJ28"/>
    <mergeCell ref="AF20:AI20"/>
    <mergeCell ref="B16:E16"/>
    <mergeCell ref="B24:E24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14:AA14"/>
    <mergeCell ref="B7:W7"/>
    <mergeCell ref="B12:E12"/>
    <mergeCell ref="X42:AA42"/>
    <mergeCell ref="X41:AA41"/>
    <mergeCell ref="B88:E88"/>
    <mergeCell ref="B47:E47"/>
    <mergeCell ref="X107:AA107"/>
    <mergeCell ref="B105:E105"/>
    <mergeCell ref="X82:Z82"/>
    <mergeCell ref="X48:AA48"/>
    <mergeCell ref="G107:M107"/>
    <mergeCell ref="AF21:AJ21"/>
    <mergeCell ref="B14:E14"/>
    <mergeCell ref="B25:E25"/>
    <mergeCell ref="G8:G9"/>
    <mergeCell ref="X34:AA34"/>
    <mergeCell ref="X19:AA19"/>
    <mergeCell ref="B22:E22"/>
    <mergeCell ref="AF23:AI23"/>
    <mergeCell ref="AF22:AI22"/>
    <mergeCell ref="AF25:AJ25"/>
    <mergeCell ref="B26:E26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AF26:AJ26"/>
    <mergeCell ref="B23:E23"/>
    <mergeCell ref="B65:E65"/>
    <mergeCell ref="B83:E83"/>
    <mergeCell ref="B99:E99"/>
    <mergeCell ref="B92:E92"/>
    <mergeCell ref="B104:E104"/>
    <mergeCell ref="B95:E95"/>
    <mergeCell ref="X104:AA104"/>
    <mergeCell ref="B53:E53"/>
    <mergeCell ref="X71:AA71"/>
    <mergeCell ref="X5:AD7"/>
    <mergeCell ref="B42:E42"/>
    <mergeCell ref="B119:E119"/>
    <mergeCell ref="G121:K121"/>
    <mergeCell ref="X118:AA118"/>
    <mergeCell ref="AF24:AI24"/>
    <mergeCell ref="AF27:AJ27"/>
    <mergeCell ref="AF17:AJ17"/>
    <mergeCell ref="X17:AA17"/>
    <mergeCell ref="Q17:W17"/>
    <mergeCell ref="B31:E31"/>
    <mergeCell ref="H39:K39"/>
    <mergeCell ref="B43:E43"/>
    <mergeCell ref="H43:K43"/>
    <mergeCell ref="X39:AA39"/>
    <mergeCell ref="H31:K31"/>
    <mergeCell ref="H42:K42"/>
    <mergeCell ref="B33:E33"/>
    <mergeCell ref="B37:E37"/>
    <mergeCell ref="X32:AA32"/>
    <mergeCell ref="G104:M104"/>
    <mergeCell ref="G105:M105"/>
    <mergeCell ref="H38:K38"/>
    <mergeCell ref="B89:E89"/>
    <mergeCell ref="X158:AA159"/>
    <mergeCell ref="G125:K125"/>
    <mergeCell ref="B101:E101"/>
    <mergeCell ref="B154:E154"/>
    <mergeCell ref="B135:E135"/>
    <mergeCell ref="B145:E145"/>
    <mergeCell ref="X122:AA122"/>
    <mergeCell ref="B121:E121"/>
    <mergeCell ref="B87:E87"/>
    <mergeCell ref="B96:E96"/>
    <mergeCell ref="B57:E57"/>
    <mergeCell ref="H44:K44"/>
    <mergeCell ref="X46:AA46"/>
    <mergeCell ref="X86:Z86"/>
    <mergeCell ref="F80:I90"/>
    <mergeCell ref="X47:AA47"/>
    <mergeCell ref="B74:E74"/>
    <mergeCell ref="X72:AA72"/>
    <mergeCell ref="B91:E91"/>
    <mergeCell ref="B94:E94"/>
    <mergeCell ref="B107:E107"/>
    <mergeCell ref="O94:W94"/>
    <mergeCell ref="H78:W78"/>
    <mergeCell ref="B102:E102"/>
    <mergeCell ref="B46:E46"/>
    <mergeCell ref="B48:E48"/>
    <mergeCell ref="B49:E49"/>
    <mergeCell ref="B51:E51"/>
    <mergeCell ref="B72:E72"/>
    <mergeCell ref="I72:M72"/>
    <mergeCell ref="G106:M106"/>
    <mergeCell ref="B86:E86"/>
    <mergeCell ref="X83:Z83"/>
    <mergeCell ref="X126:AA126"/>
    <mergeCell ref="X149:AA149"/>
    <mergeCell ref="G112:M112"/>
    <mergeCell ref="B112:E112"/>
    <mergeCell ref="X112:AA112"/>
    <mergeCell ref="B113:E113"/>
    <mergeCell ref="X144:AA144"/>
    <mergeCell ref="X129:AA129"/>
    <mergeCell ref="X106:AA106"/>
    <mergeCell ref="G123:K123"/>
    <mergeCell ref="G116:M116"/>
    <mergeCell ref="X116:AA116"/>
    <mergeCell ref="B117:E117"/>
    <mergeCell ref="G111:M111"/>
    <mergeCell ref="X105:AA105"/>
    <mergeCell ref="X110:AA110"/>
    <mergeCell ref="G114:M114"/>
    <mergeCell ref="X114:AA114"/>
    <mergeCell ref="B115:E115"/>
    <mergeCell ref="X111:AA111"/>
    <mergeCell ref="X125:AA125"/>
    <mergeCell ref="G128:K128"/>
    <mergeCell ref="X127:AA127"/>
    <mergeCell ref="B108:E108"/>
    <mergeCell ref="G108:M108"/>
    <mergeCell ref="B125:E125"/>
    <mergeCell ref="B124:E124"/>
    <mergeCell ref="B123:E123"/>
    <mergeCell ref="B103:E103"/>
    <mergeCell ref="B93:E93"/>
    <mergeCell ref="AF158:AH158"/>
    <mergeCell ref="B129:E129"/>
    <mergeCell ref="X145:AA145"/>
    <mergeCell ref="B98:E98"/>
    <mergeCell ref="X74:AA74"/>
    <mergeCell ref="B71:E71"/>
    <mergeCell ref="B69:E69"/>
    <mergeCell ref="B139:E139"/>
    <mergeCell ref="B116:E116"/>
    <mergeCell ref="X143:AA143"/>
    <mergeCell ref="B142:E142"/>
    <mergeCell ref="X137:AA137"/>
    <mergeCell ref="B141:E141"/>
    <mergeCell ref="G129:K129"/>
    <mergeCell ref="G124:K124"/>
    <mergeCell ref="B90:E90"/>
    <mergeCell ref="B127:E127"/>
    <mergeCell ref="B130:E130"/>
    <mergeCell ref="X123:AA123"/>
    <mergeCell ref="X121:AA121"/>
    <mergeCell ref="B122:E122"/>
    <mergeCell ref="G122:K122"/>
    <mergeCell ref="G113:M113"/>
    <mergeCell ref="X113:AA113"/>
    <mergeCell ref="B120:E120"/>
    <mergeCell ref="X120:AA120"/>
    <mergeCell ref="I118:W120"/>
    <mergeCell ref="X119:AA119"/>
    <mergeCell ref="G115:M115"/>
    <mergeCell ref="X128:AA128"/>
    <mergeCell ref="AB158:AB159"/>
    <mergeCell ref="B80:E80"/>
    <mergeCell ref="AF78:AH78"/>
    <mergeCell ref="AC146:AF146"/>
    <mergeCell ref="X132:AA132"/>
    <mergeCell ref="B126:E126"/>
    <mergeCell ref="G127:K127"/>
    <mergeCell ref="X108:AA108"/>
    <mergeCell ref="B109:E109"/>
    <mergeCell ref="G109:M109"/>
    <mergeCell ref="X109:AA109"/>
    <mergeCell ref="B110:E110"/>
    <mergeCell ref="G110:M110"/>
    <mergeCell ref="B100:E100"/>
    <mergeCell ref="B118:E118"/>
    <mergeCell ref="X87:Z87"/>
    <mergeCell ref="X134:AA134"/>
    <mergeCell ref="AB78:AB79"/>
    <mergeCell ref="G117:M117"/>
    <mergeCell ref="X115:AA115"/>
    <mergeCell ref="X117:AA117"/>
    <mergeCell ref="B106:E106"/>
    <mergeCell ref="B97:E97"/>
    <mergeCell ref="B111:E111"/>
    <mergeCell ref="X131:AA131"/>
    <mergeCell ref="X146:AA146"/>
    <mergeCell ref="X142:AA142"/>
    <mergeCell ref="B140:E140"/>
    <mergeCell ref="B146:E146"/>
    <mergeCell ref="B85:E85"/>
    <mergeCell ref="B82:E82"/>
    <mergeCell ref="B81:E81"/>
    <mergeCell ref="X124:AA124"/>
    <mergeCell ref="B84:E84"/>
    <mergeCell ref="B208:E208"/>
    <mergeCell ref="X338:AA338"/>
    <mergeCell ref="B320:E320"/>
    <mergeCell ref="X311:AA311"/>
    <mergeCell ref="X312:AA312"/>
    <mergeCell ref="X321:AA321"/>
    <mergeCell ref="X324:AA324"/>
    <mergeCell ref="B313:E313"/>
    <mergeCell ref="C318:E319"/>
    <mergeCell ref="X328:AA328"/>
    <mergeCell ref="B340:E340"/>
    <mergeCell ref="B326:E326"/>
    <mergeCell ref="X282:AA282"/>
    <mergeCell ref="B234:E234"/>
    <mergeCell ref="B242:E242"/>
    <mergeCell ref="X259:AA259"/>
    <mergeCell ref="B256:E256"/>
    <mergeCell ref="X253:AA253"/>
    <mergeCell ref="X170:AA170"/>
    <mergeCell ref="B193:E193"/>
    <mergeCell ref="B199:E199"/>
    <mergeCell ref="X182:AA182"/>
    <mergeCell ref="B206:E206"/>
    <mergeCell ref="X174:AA174"/>
    <mergeCell ref="B194:E194"/>
    <mergeCell ref="X201:AA201"/>
    <mergeCell ref="B293:E293"/>
    <mergeCell ref="X272:AA272"/>
    <mergeCell ref="X276:AA276"/>
    <mergeCell ref="X278:AA278"/>
    <mergeCell ref="X263:AA263"/>
    <mergeCell ref="B310:E310"/>
    <mergeCell ref="X265:AA265"/>
    <mergeCell ref="B220:E220"/>
    <mergeCell ref="B229:E229"/>
    <mergeCell ref="B228:E228"/>
    <mergeCell ref="X190:AA190"/>
    <mergeCell ref="X187:AA187"/>
    <mergeCell ref="X309:AA309"/>
    <mergeCell ref="B292:E292"/>
    <mergeCell ref="B283:E283"/>
    <mergeCell ref="X258:AA258"/>
    <mergeCell ref="B223:E223"/>
    <mergeCell ref="C238:E239"/>
    <mergeCell ref="X252:AA252"/>
    <mergeCell ref="X195:AA195"/>
    <mergeCell ref="X200:AA200"/>
    <mergeCell ref="B198:E198"/>
    <mergeCell ref="B245:E245"/>
    <mergeCell ref="B212:E212"/>
    <mergeCell ref="B263:E263"/>
    <mergeCell ref="X318:AA319"/>
    <mergeCell ref="B298:E298"/>
    <mergeCell ref="X279:AA279"/>
    <mergeCell ref="X308:AA308"/>
    <mergeCell ref="X325:AA325"/>
    <mergeCell ref="X320:AA320"/>
    <mergeCell ref="B335:E335"/>
    <mergeCell ref="B342:E342"/>
    <mergeCell ref="B304:E304"/>
    <mergeCell ref="X345:AA345"/>
    <mergeCell ref="X277:AA277"/>
    <mergeCell ref="X341:AA341"/>
    <mergeCell ref="B318:B319"/>
    <mergeCell ref="X346:AA346"/>
    <mergeCell ref="B327:E327"/>
    <mergeCell ref="X333:AA333"/>
    <mergeCell ref="B303:E303"/>
    <mergeCell ref="X264:AA264"/>
    <mergeCell ref="B268:E268"/>
    <mergeCell ref="B301:E301"/>
    <mergeCell ref="B336:E336"/>
    <mergeCell ref="B331:E331"/>
    <mergeCell ref="X331:AA331"/>
    <mergeCell ref="B266:E266"/>
    <mergeCell ref="B308:E308"/>
    <mergeCell ref="B276:E276"/>
    <mergeCell ref="B273:E273"/>
    <mergeCell ref="B344:E344"/>
    <mergeCell ref="B296:E296"/>
    <mergeCell ref="B294:E294"/>
    <mergeCell ref="B367:E367"/>
    <mergeCell ref="B448:E448"/>
    <mergeCell ref="B354:E354"/>
    <mergeCell ref="B363:E363"/>
    <mergeCell ref="B347:E347"/>
    <mergeCell ref="B339:E339"/>
    <mergeCell ref="X327:AA327"/>
    <mergeCell ref="B277:E277"/>
    <mergeCell ref="B341:E341"/>
    <mergeCell ref="B309:E309"/>
    <mergeCell ref="B329:E329"/>
    <mergeCell ref="X406:AA406"/>
    <mergeCell ref="B401:E401"/>
    <mergeCell ref="B287:E287"/>
    <mergeCell ref="B297:E297"/>
    <mergeCell ref="B362:E362"/>
    <mergeCell ref="B405:E405"/>
    <mergeCell ref="X370:AA370"/>
    <mergeCell ref="X369:AA369"/>
    <mergeCell ref="B370:E370"/>
    <mergeCell ref="B312:E312"/>
    <mergeCell ref="X337:AA337"/>
    <mergeCell ref="X344:AA344"/>
    <mergeCell ref="X339:AA339"/>
    <mergeCell ref="X334:AA334"/>
    <mergeCell ref="B350:E350"/>
    <mergeCell ref="X323:AA323"/>
    <mergeCell ref="X313:AA313"/>
    <mergeCell ref="X310:AA310"/>
    <mergeCell ref="B307:E307"/>
    <mergeCell ref="H398:W398"/>
    <mergeCell ref="B372:E372"/>
    <mergeCell ref="B343:E343"/>
    <mergeCell ref="B376:E376"/>
    <mergeCell ref="B379:E379"/>
    <mergeCell ref="C398:E399"/>
    <mergeCell ref="B393:E393"/>
    <mergeCell ref="Q374:W374"/>
    <mergeCell ref="B388:E388"/>
    <mergeCell ref="B371:E371"/>
    <mergeCell ref="B385:E385"/>
    <mergeCell ref="G398:G399"/>
    <mergeCell ref="B436:E436"/>
    <mergeCell ref="B449:E449"/>
    <mergeCell ref="B452:E452"/>
    <mergeCell ref="B357:E357"/>
    <mergeCell ref="B351:E351"/>
    <mergeCell ref="B433:E433"/>
    <mergeCell ref="B373:E373"/>
    <mergeCell ref="B404:E404"/>
    <mergeCell ref="B391:E391"/>
    <mergeCell ref="B384:E384"/>
    <mergeCell ref="B445:E445"/>
    <mergeCell ref="B447:E447"/>
    <mergeCell ref="B450:E450"/>
    <mergeCell ref="B439:E439"/>
    <mergeCell ref="B440:E440"/>
    <mergeCell ref="B356:E356"/>
    <mergeCell ref="B392:E392"/>
    <mergeCell ref="B398:B399"/>
    <mergeCell ref="B402:E402"/>
    <mergeCell ref="B378:E378"/>
    <mergeCell ref="B389:E389"/>
    <mergeCell ref="B361:E361"/>
    <mergeCell ref="B667:E667"/>
    <mergeCell ref="X502:AA502"/>
    <mergeCell ref="B432:E432"/>
    <mergeCell ref="X439:AA439"/>
    <mergeCell ref="X437:AA437"/>
    <mergeCell ref="B442:E442"/>
    <mergeCell ref="B460:E460"/>
    <mergeCell ref="B381:E381"/>
    <mergeCell ref="B496:E496"/>
    <mergeCell ref="B491:E491"/>
    <mergeCell ref="B430:E430"/>
    <mergeCell ref="B502:E502"/>
    <mergeCell ref="B429:E429"/>
    <mergeCell ref="X433:AA433"/>
    <mergeCell ref="X441:AA441"/>
    <mergeCell ref="X435:AA435"/>
    <mergeCell ref="X434:AA434"/>
    <mergeCell ref="B425:E425"/>
    <mergeCell ref="B427:E427"/>
    <mergeCell ref="B416:E416"/>
    <mergeCell ref="X456:AA456"/>
    <mergeCell ref="B485:E485"/>
    <mergeCell ref="X398:AA399"/>
    <mergeCell ref="X442:AA442"/>
    <mergeCell ref="B390:E390"/>
    <mergeCell ref="X546:AA546"/>
    <mergeCell ref="X494:AA494"/>
    <mergeCell ref="B505:E505"/>
    <mergeCell ref="B558:W558"/>
    <mergeCell ref="B565:E565"/>
    <mergeCell ref="B526:E526"/>
    <mergeCell ref="B546:E546"/>
    <mergeCell ref="B645:E645"/>
    <mergeCell ref="B591:E591"/>
    <mergeCell ref="X290:AA290"/>
    <mergeCell ref="B443:E443"/>
    <mergeCell ref="B441:E441"/>
    <mergeCell ref="X493:AA493"/>
    <mergeCell ref="B444:E444"/>
    <mergeCell ref="B333:E333"/>
    <mergeCell ref="X374:AA374"/>
    <mergeCell ref="B694:E694"/>
    <mergeCell ref="X530:AA530"/>
    <mergeCell ref="X438:AA438"/>
    <mergeCell ref="B407:E407"/>
    <mergeCell ref="B428:E428"/>
    <mergeCell ref="X436:AA436"/>
    <mergeCell ref="B501:E501"/>
    <mergeCell ref="X498:AA498"/>
    <mergeCell ref="B488:E488"/>
    <mergeCell ref="B508:E508"/>
    <mergeCell ref="B456:E456"/>
    <mergeCell ref="B514:E514"/>
    <mergeCell ref="B484:E484"/>
    <mergeCell ref="X517:AA517"/>
    <mergeCell ref="X510:AA510"/>
    <mergeCell ref="X482:AA482"/>
    <mergeCell ref="B497:E497"/>
    <mergeCell ref="X497:AA497"/>
    <mergeCell ref="B630:E630"/>
    <mergeCell ref="B662:E662"/>
    <mergeCell ref="B422:E422"/>
    <mergeCell ref="X499:AA499"/>
    <mergeCell ref="B415:E415"/>
    <mergeCell ref="B644:E644"/>
    <mergeCell ref="B608:E608"/>
    <mergeCell ref="B567:E567"/>
    <mergeCell ref="B569:E569"/>
    <mergeCell ref="B364:E364"/>
    <mergeCell ref="B369:E369"/>
    <mergeCell ref="X529:AA529"/>
    <mergeCell ref="B454:E454"/>
    <mergeCell ref="B633:E633"/>
    <mergeCell ref="G639:G640"/>
    <mergeCell ref="H639:W639"/>
    <mergeCell ref="X639:AA640"/>
    <mergeCell ref="B521:E521"/>
    <mergeCell ref="X518:AA518"/>
    <mergeCell ref="X266:AA266"/>
    <mergeCell ref="B408:E408"/>
    <mergeCell ref="B328:E328"/>
    <mergeCell ref="B330:E330"/>
    <mergeCell ref="X440:AA440"/>
    <mergeCell ref="B438:E438"/>
    <mergeCell ref="B421:E421"/>
    <mergeCell ref="X407:AA407"/>
    <mergeCell ref="X490:AA490"/>
    <mergeCell ref="B586:E586"/>
    <mergeCell ref="B582:E582"/>
    <mergeCell ref="B593:E593"/>
    <mergeCell ref="B592:E592"/>
    <mergeCell ref="B639:B640"/>
    <mergeCell ref="B383:E383"/>
    <mergeCell ref="B419:E419"/>
    <mergeCell ref="B413:E413"/>
    <mergeCell ref="B420:E420"/>
    <mergeCell ref="B233:E233"/>
    <mergeCell ref="B216:E216"/>
    <mergeCell ref="X284:AA284"/>
    <mergeCell ref="X254:AA254"/>
    <mergeCell ref="B259:E259"/>
    <mergeCell ref="B247:E247"/>
    <mergeCell ref="B64:E64"/>
    <mergeCell ref="B210:E210"/>
    <mergeCell ref="B213:E213"/>
    <mergeCell ref="G130:K130"/>
    <mergeCell ref="B377:E377"/>
    <mergeCell ref="B406:E406"/>
    <mergeCell ref="X336:AA336"/>
    <mergeCell ref="X458:AA458"/>
    <mergeCell ref="B451:E451"/>
    <mergeCell ref="B437:E437"/>
    <mergeCell ref="B499:E499"/>
    <mergeCell ref="B267:E267"/>
    <mergeCell ref="B260:E260"/>
    <mergeCell ref="B265:E265"/>
    <mergeCell ref="B435:E435"/>
    <mergeCell ref="B453:E453"/>
    <mergeCell ref="B338:E338"/>
    <mergeCell ref="B409:E409"/>
    <mergeCell ref="B314:E314"/>
    <mergeCell ref="X314:AA314"/>
    <mergeCell ref="B280:E280"/>
    <mergeCell ref="X280:AA280"/>
    <mergeCell ref="B290:E290"/>
    <mergeCell ref="B431:E431"/>
    <mergeCell ref="B426:E426"/>
    <mergeCell ref="B434:E434"/>
    <mergeCell ref="AF238:AH238"/>
    <mergeCell ref="AB318:AB319"/>
    <mergeCell ref="AB238:AB239"/>
    <mergeCell ref="B368:E368"/>
    <mergeCell ref="B253:E253"/>
    <mergeCell ref="F238:F239"/>
    <mergeCell ref="B246:E246"/>
    <mergeCell ref="B365:E365"/>
    <mergeCell ref="B321:E321"/>
    <mergeCell ref="B352:E352"/>
    <mergeCell ref="B322:E322"/>
    <mergeCell ref="B463:E463"/>
    <mergeCell ref="B464:E464"/>
    <mergeCell ref="B600:G600"/>
    <mergeCell ref="B601:G601"/>
    <mergeCell ref="AF398:AH398"/>
    <mergeCell ref="AB398:AB399"/>
    <mergeCell ref="AF318:AH318"/>
    <mergeCell ref="B386:E386"/>
    <mergeCell ref="AB478:AB479"/>
    <mergeCell ref="B387:E387"/>
    <mergeCell ref="X249:AA249"/>
    <mergeCell ref="B588:E588"/>
    <mergeCell ref="H478:W478"/>
    <mergeCell ref="B585:E585"/>
    <mergeCell ref="AF478:AH478"/>
    <mergeCell ref="B562:E562"/>
    <mergeCell ref="X542:AA542"/>
    <mergeCell ref="B525:E525"/>
    <mergeCell ref="B519:E519"/>
    <mergeCell ref="B414:E414"/>
    <mergeCell ref="B446:E446"/>
    <mergeCell ref="B685:E685"/>
    <mergeCell ref="B530:E530"/>
    <mergeCell ref="B584:E584"/>
    <mergeCell ref="B417:E417"/>
    <mergeCell ref="B473:E473"/>
    <mergeCell ref="AB639:AB640"/>
    <mergeCell ref="AF639:AH639"/>
    <mergeCell ref="B465:E465"/>
    <mergeCell ref="AF603:AH603"/>
    <mergeCell ref="B503:E503"/>
    <mergeCell ref="X541:AA541"/>
    <mergeCell ref="F478:F479"/>
    <mergeCell ref="B483:E483"/>
    <mergeCell ref="X483:AA483"/>
    <mergeCell ref="B486:E486"/>
    <mergeCell ref="X480:AA480"/>
    <mergeCell ref="X486:AA486"/>
    <mergeCell ref="B467:E467"/>
    <mergeCell ref="B468:E468"/>
    <mergeCell ref="B469:E469"/>
    <mergeCell ref="B471:E471"/>
    <mergeCell ref="B494:E494"/>
    <mergeCell ref="B500:E500"/>
    <mergeCell ref="X500:AA500"/>
    <mergeCell ref="B641:E641"/>
    <mergeCell ref="AB604:AB605"/>
    <mergeCell ref="AF604:AH604"/>
    <mergeCell ref="B623:E623"/>
    <mergeCell ref="B677:E677"/>
    <mergeCell ref="B489:E489"/>
    <mergeCell ref="X489:AA489"/>
    <mergeCell ref="B490:E490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51" r:id="rId8" display="https://www.jivi.com.ar/ficha.php?id=41"/>
    <hyperlink ref="AB52" r:id="rId9" display="https://www.jivi.com.ar/ficha.php?id=42"/>
    <hyperlink ref="AB53" r:id="rId10" display="https://www.jivi.com.ar/ficha.php?id=649"/>
    <hyperlink ref="AB54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C80" r:id="rId16"/>
    <hyperlink ref="AD80" r:id="rId17"/>
    <hyperlink ref="AE80" r:id="rId18"/>
    <hyperlink ref="AF80" r:id="rId19"/>
    <hyperlink ref="AG80" r:id="rId20"/>
    <hyperlink ref="AC81" r:id="rId21"/>
    <hyperlink ref="AD81" r:id="rId22"/>
    <hyperlink ref="AE81" r:id="rId23"/>
    <hyperlink ref="AF81" r:id="rId24"/>
    <hyperlink ref="AG81" r:id="rId25"/>
    <hyperlink ref="AH81" r:id="rId26"/>
    <hyperlink ref="AC82" r:id="rId27"/>
    <hyperlink ref="AD82" r:id="rId28"/>
    <hyperlink ref="AE82" r:id="rId29"/>
    <hyperlink ref="AF82" r:id="rId30"/>
    <hyperlink ref="AH82" r:id="rId31"/>
    <hyperlink ref="AG82" r:id="rId32"/>
    <hyperlink ref="AC83" r:id="rId33"/>
    <hyperlink ref="AD83" r:id="rId34"/>
    <hyperlink ref="AE83" r:id="rId35"/>
    <hyperlink ref="AF83" r:id="rId36"/>
    <hyperlink ref="AC84" r:id="rId37"/>
    <hyperlink ref="AD84" r:id="rId38"/>
    <hyperlink ref="AE84" r:id="rId39"/>
    <hyperlink ref="AF84" r:id="rId40"/>
    <hyperlink ref="AG84" r:id="rId41"/>
    <hyperlink ref="AC85" r:id="rId42"/>
    <hyperlink ref="AD85" r:id="rId43"/>
    <hyperlink ref="AE85" r:id="rId44"/>
    <hyperlink ref="AC86" r:id="rId45"/>
    <hyperlink ref="AD86" r:id="rId46"/>
    <hyperlink ref="AE86" r:id="rId47"/>
    <hyperlink ref="AF86" r:id="rId48"/>
    <hyperlink ref="AG86" r:id="rId49"/>
    <hyperlink ref="AH86" r:id="rId50"/>
    <hyperlink ref="AB87" r:id="rId51"/>
    <hyperlink ref="AB88" r:id="rId52"/>
    <hyperlink ref="AB89" r:id="rId53"/>
    <hyperlink ref="AC90" r:id="rId54"/>
    <hyperlink ref="AD90" r:id="rId55"/>
    <hyperlink ref="AE90" r:id="rId56"/>
    <hyperlink ref="AF90" r:id="rId57"/>
    <hyperlink ref="AG90" r:id="rId58"/>
    <hyperlink ref="AB350" r:id="rId59" display="https://www.jivi.com.ar/ficha.php?id=187"/>
    <hyperlink ref="AB352" r:id="rId60" display="https://www.jivi.com.ar/ficha.php?id=4"/>
    <hyperlink ref="AB362" r:id="rId61" display="https://www.jivi.com.ar/ficha.php?id=55"/>
    <hyperlink ref="AB365" r:id="rId62" display="https://www.jivi.com.ar/ficha.php?id=209"/>
    <hyperlink ref="AB366" r:id="rId63"/>
    <hyperlink ref="AB374" r:id="rId64" display="https://www.jivi.com.ar/ficha.php?id=380"/>
    <hyperlink ref="AB378" r:id="rId65" display="https://www.jivi.com.ar/ficha.php?id=548"/>
    <hyperlink ref="AB379" r:id="rId66"/>
    <hyperlink ref="AB382" r:id="rId67" display="https://www.jivi.com.ar/ficha.php?id=719"/>
    <hyperlink ref="AB99" r:id="rId68" display="https://www.jivi.com.ar/ficha.php?id=326"/>
    <hyperlink ref="AB103" r:id="rId69" display="https://www.jivi.com.ar/ficha.php?id=134"/>
    <hyperlink ref="AB144" r:id="rId70" display="https://www.jivi.com.ar/ficha.php?id=394"/>
    <hyperlink ref="AB145" r:id="rId71" display="https://www.jivi.com.ar/ficha.php?id=145"/>
    <hyperlink ref="AB148" r:id="rId72" display="https://www.jivi.com.ar/ficha.php?id=18"/>
    <hyperlink ref="AB152" r:id="rId73" display="https://www.jivi.com.ar/ficha.php?id=19"/>
    <hyperlink ref="AB160" r:id="rId74" display="https://www.jivi.com.ar/ficha.php?id=142"/>
    <hyperlink ref="AB161" r:id="rId75" display="https://www.jivi.com.ar/ficha.php?id=392"/>
    <hyperlink ref="AB162" r:id="rId76" display="https://www.jivi.com.ar/ficha.php?id=393"/>
    <hyperlink ref="AB191" r:id="rId77" display="https://www.jivi.com.ar/ficha.php?id=135"/>
    <hyperlink ref="AB192" r:id="rId78" display="https://www.jivi.com.ar/ficha.php?id=136"/>
    <hyperlink ref="AB193" r:id="rId79" display="https://www.jivi.com.ar/ficha.php?id=137"/>
    <hyperlink ref="AB194" r:id="rId80" display="https://www.jivi.com.ar/ficha.php?id=138"/>
    <hyperlink ref="AB202" r:id="rId81" display="https://www.jivi.com.ar/ficha.php?id=245"/>
    <hyperlink ref="AB219" r:id="rId82" display="https://www.jivi.com.ar/ficha.php?id=166"/>
    <hyperlink ref="AB220" r:id="rId83" display="https://www.jivi.com.ar/ficha.php?id=171"/>
    <hyperlink ref="AB224" r:id="rId84" display="https://www.jivi.com.ar/ficha.php?id=168"/>
    <hyperlink ref="AB231" r:id="rId85" display="https://www.jivi.com.ar/ficha.php?id=169"/>
    <hyperlink ref="AB233" r:id="rId86" display="https://www.jivi.com.ar/ficha.php?id=148"/>
    <hyperlink ref="AB234" r:id="rId87" display="https://www.jivi.com.ar/ficha.php?id=158"/>
    <hyperlink ref="AB724" r:id="rId88" display="https://www.jivi.com.ar/ficha.php?id=621"/>
    <hyperlink ref="AB725" r:id="rId89" display="https://www.jivi.com.ar/ficha.php?id=622"/>
    <hyperlink ref="AB94" r:id="rId90" display="https://www.jivi.com.ar/ficha.php?id=456"/>
    <hyperlink ref="AB293" r:id="rId91" display="https://www.jivi.com.ar/ficha.php?id=246"/>
    <hyperlink ref="AB484" r:id="rId92" display="https://www.jivi.com.ar/ficha.php?id=431"/>
    <hyperlink ref="AB488" r:id="rId93" display="https://www.jivi.com.ar/ficha.php?id=728"/>
    <hyperlink ref="AB511" r:id="rId94"/>
    <hyperlink ref="AB513" r:id="rId95"/>
    <hyperlink ref="AB521" r:id="rId96"/>
    <hyperlink ref="AB523" r:id="rId97"/>
    <hyperlink ref="AB526" r:id="rId98"/>
    <hyperlink ref="AB527" r:id="rId99"/>
    <hyperlink ref="AB528" r:id="rId100"/>
    <hyperlink ref="AB530" r:id="rId101"/>
    <hyperlink ref="AB531" r:id="rId102"/>
    <hyperlink ref="AB533" r:id="rId103"/>
    <hyperlink ref="AB538" r:id="rId104"/>
    <hyperlink ref="AB539" r:id="rId105"/>
    <hyperlink ref="AB703" r:id="rId106"/>
    <hyperlink ref="AB708" r:id="rId107"/>
    <hyperlink ref="AB709" r:id="rId108"/>
    <hyperlink ref="AB357" r:id="rId109" display="https://www.jivi.com.ar/ficha.php?id=51"/>
    <hyperlink ref="AB367" r:id="rId110"/>
    <hyperlink ref="B7:V7" location="'Artículos Publicitarios'!A686" display="PARA IR A LOS RECARGOS POR IMPRESIONES ADICIONALES CLICK AQUÍ"/>
    <hyperlink ref="AB515" r:id="rId111"/>
    <hyperlink ref="AC49" r:id="rId112"/>
    <hyperlink ref="AD49" r:id="rId113"/>
    <hyperlink ref="AE49" r:id="rId114"/>
    <hyperlink ref="B7:W7" location="'Artículos Publicitarios'!A780" display="PARA IR A LOS RECARGOS POR IMPRESIONES ADICIONALES CLICK AQUÍ"/>
    <hyperlink ref="AB248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90" r:id="rId116" display="https://www.jivi.com.ar/ficha.php?id=846"/>
    <hyperlink ref="AB25" r:id="rId117" display="https://www.jivi.com.ar/ficha.php?id=848"/>
    <hyperlink ref="AB74" r:id="rId118"/>
    <hyperlink ref="AE2:AG2" location="'Artículos Publicitarios'!A837" display="CLICK AQUÍ"/>
    <hyperlink ref="B828:W828" location="'Artículos Publicitarios'!A3" display="PARA SUBIR AL PRINCIPIO DE LA LISTA CLICK AQUÍ"/>
    <hyperlink ref="AB288" r:id="rId119" display="https://www.jivi.com.ar/ficha.php?id=862"/>
    <hyperlink ref="AB42" r:id="rId120"/>
    <hyperlink ref="AB163" r:id="rId121" display="https://www.jivi.com.ar/ficha.php?id=88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728" r:id="rId122" display="https://www.jivi.com.ar/ficha.php?id=903"/>
    <hyperlink ref="AB21" r:id="rId123"/>
    <hyperlink ref="AB716" r:id="rId124" display="https://www.jivi.com.ar/ficha.php?id=918"/>
    <hyperlink ref="AB353" r:id="rId125" display="https://www.jivi.com.ar/ficha.php?id=926"/>
    <hyperlink ref="AB66" r:id="rId126"/>
    <hyperlink ref="AB508" r:id="rId127"/>
    <hyperlink ref="AB195" r:id="rId128" display="https://www.jivi.com.ar/ficha.php?id=948"/>
    <hyperlink ref="AB363" r:id="rId129" display="https://www.jivi.com.ar/ficha.php?id=954"/>
    <hyperlink ref="AB139" r:id="rId130"/>
    <hyperlink ref="AB141" r:id="rId131"/>
    <hyperlink ref="AB140" r:id="rId132"/>
    <hyperlink ref="AB516" r:id="rId133"/>
    <hyperlink ref="AB358" r:id="rId134" display="https://www.jivi.com.ar/ficha.php?id=850"/>
    <hyperlink ref="AB142" r:id="rId135"/>
    <hyperlink ref="AB534" r:id="rId136"/>
    <hyperlink ref="AB535" r:id="rId137"/>
    <hyperlink ref="AB383" r:id="rId138" display="https://www.jivi.com.ar/ficha.php?id=1023"/>
    <hyperlink ref="AB354" r:id="rId139" display="https://www.jivi.com.ar/ficha.php?id=1025"/>
    <hyperlink ref="AB360" r:id="rId140" display="https://www.jivi.com.ar/ficha.php?id=647"/>
    <hyperlink ref="AB349" r:id="rId141" display="https://www.jivi.com.ar/ficha.php?id=1049"/>
    <hyperlink ref="AB23" r:id="rId142" display="https://www.jivi.com.ar/ficha.php?id=364"/>
    <hyperlink ref="AF23:AI23" location="'Artículos Publicitarios'!A698" display="IR A PROD. SUBLIMADOS"/>
    <hyperlink ref="AB372" r:id="rId143" display="https://www.jivi.com.ar/ficha.php?id=1095"/>
    <hyperlink ref="AB355" r:id="rId144" display="https://www.jivi.com.ar/ficha.php?id=1094"/>
    <hyperlink ref="AB351" r:id="rId145" display="https://www.jivi.com.ar/ficha.php?id=297"/>
    <hyperlink ref="AB389" r:id="rId146" display="https://www.jivi.com.ar/ficha.php?id=1097"/>
    <hyperlink ref="AB97" r:id="rId147" display="https://www.jivi.com.ar/ficha.php?id=1098"/>
    <hyperlink ref="AB20" r:id="rId148"/>
    <hyperlink ref="AB242" r:id="rId149"/>
    <hyperlink ref="AB347" r:id="rId150" display="https://www.jivi.com.ar/ficha.php?id=1108"/>
    <hyperlink ref="AF700:AH700" location="'Artículos Publicitarios'!A3" display="IR A PAGINA 1"/>
    <hyperlink ref="AF24:AI24" location="'Artículos Publicitarios'!A171" display="IR A CARPITAS"/>
    <hyperlink ref="AF20:AI20" location="'Artículos Publicitarios'!A129" display="IR A CINTAS COLGANTES"/>
    <hyperlink ref="AF26:AI26" location="'Artículos Publicitarios'!A264" display="IR A PORTADOCUMENTOS"/>
    <hyperlink ref="AB188" r:id="rId151" display="https://www.jivi.com.ar/ficha.php?id=1119"/>
    <hyperlink ref="AB189" r:id="rId152"/>
    <hyperlink ref="AB711" r:id="rId153" display="https://www.jivi.com.ar/ficha.php?id=1154"/>
    <hyperlink ref="AB726" r:id="rId154" display="https://www.jivi.com.ar/ficha.php?id=1157"/>
    <hyperlink ref="AB727" r:id="rId155" display="https://www.jivi.com.ar/ficha.php?id=1158"/>
    <hyperlink ref="AB695" r:id="rId156" display="hhttps://www.jivi.com.ar/ficha.php?id=1155"/>
    <hyperlink ref="AB696" r:id="rId157" display="https://www.jivi.com.ar/ficha.php?id=1156"/>
    <hyperlink ref="AB356" r:id="rId158"/>
    <hyperlink ref="AB50" r:id="rId159" display="https://www.jivi.com.ar/ficha.php?id=1172"/>
    <hyperlink ref="AB359" r:id="rId160"/>
    <hyperlink ref="AB96" r:id="rId161"/>
    <hyperlink ref="AB127" r:id="rId162"/>
    <hyperlink ref="AB361" r:id="rId163" display="https://www.jivi.com.ar/ficha.php?id=915"/>
    <hyperlink ref="AB106" r:id="rId164" display="https://www.jivi.com.ar/ficha.php?id=1182"/>
    <hyperlink ref="AB126" r:id="rId165" display="https://www.jivi.com.ar/ficha.php?id=1183"/>
    <hyperlink ref="AB128" r:id="rId166"/>
    <hyperlink ref="AB364" r:id="rId167" display="https://www.jivi.com.ar/ficha.php?id=349"/>
    <hyperlink ref="AB434" r:id="rId168" display="https://www.jivi.com.ar/ficha.php?id=1190"/>
    <hyperlink ref="AB104" r:id="rId169" display="https://www.jivi.com.ar/ficha.php?id=1181"/>
    <hyperlink ref="AB370" r:id="rId170"/>
    <hyperlink ref="AB517" r:id="rId171"/>
    <hyperlink ref="AB437" r:id="rId172" display="https://www.jivi.com.ar/ficha.php?id=1219"/>
    <hyperlink ref="AB47" r:id="rId173"/>
    <hyperlink ref="AB46" r:id="rId174"/>
    <hyperlink ref="AB48" r:id="rId175"/>
    <hyperlink ref="AB729" r:id="rId176" display="https://www.jivi.com.ar/ficha.php?id=904"/>
    <hyperlink ref="AB58" r:id="rId177" display="00085-1B"/>
    <hyperlink ref="AB474" r:id="rId178" display="https://www.jivi.com.ar/ficha.php?id=1225"/>
    <hyperlink ref="AB41" r:id="rId179"/>
    <hyperlink ref="AB722" r:id="rId180" display="https://www.jivi.com.ar/ficha.php?id=919"/>
    <hyperlink ref="AB40" r:id="rId181"/>
    <hyperlink ref="AB164" r:id="rId182" display="https://www.jivi.com.ar/ficha.php?id=883"/>
    <hyperlink ref="AB543" r:id="rId183"/>
    <hyperlink ref="AB132" r:id="rId184" display="https://jivi.com.ar/ficha.php?id=89"/>
    <hyperlink ref="AB595" r:id="rId185" display="https://www.jivi.com.ar/ficha.php?id=1248"/>
    <hyperlink ref="AB373" r:id="rId186" display="https://www.jivi.com.ar/ficha.php?id=1253"/>
    <hyperlink ref="AB289" r:id="rId187" display="https://www.jivi.com.ar/ficha.php?id=1124"/>
    <hyperlink ref="AB165" r:id="rId188" display="https://www.jivi.com.ar/ficha.php?id=1261"/>
    <hyperlink ref="AB480" r:id="rId189" display="https://www.jivi.com.ar/ficha.php?id=1268"/>
    <hyperlink ref="AB411" r:id="rId190" display="https://www.jivi.com.ar/ficha.php?id=1277"/>
    <hyperlink ref="AB748" r:id="rId191"/>
    <hyperlink ref="AB95" r:id="rId192" display="https://www.jivi.com.ar/ficha.php?id=378"/>
    <hyperlink ref="AB186" r:id="rId193"/>
    <hyperlink ref="AB105" r:id="rId194"/>
    <hyperlink ref="AB107" r:id="rId195"/>
    <hyperlink ref="AB121" r:id="rId196" display="https://www.jivi.com.ar/ficha.php?id=1305"/>
    <hyperlink ref="AB122" r:id="rId197"/>
    <hyperlink ref="AB241" r:id="rId198" display="https://www.jivi.com.ar/ficha.php?id=1287"/>
    <hyperlink ref="AB697" r:id="rId199" display="https://www.jivi.com.ar/ficha.php?id=1290"/>
    <hyperlink ref="AB100" r:id="rId200" display="https://www.jivi.com.ar/ficha.php?id=1314"/>
    <hyperlink ref="AJ1:AJ2" location="'Artículos Publicitarios'!A3" display="IR A PAGINA 1"/>
    <hyperlink ref="AB185" r:id="rId201"/>
    <hyperlink ref="AB393" r:id="rId202" display="https://www.jivi.com.ar/ficha.php?id=1344"/>
    <hyperlink ref="AB123" r:id="rId203"/>
    <hyperlink ref="AF789:AH789" location="'Artículos Publicitarios'!A3" display="IR A PAGINA 1"/>
    <hyperlink ref="AB169" r:id="rId204" display="https://www.jivi.com.ar/ficha.php?id=1346"/>
    <hyperlink ref="AB170" r:id="rId205" display="https://www.jivi.com.ar/ficha.php?id=1347"/>
    <hyperlink ref="AB208" r:id="rId206" display="https://www.jivi.com.ar/ficha.php?id=1348"/>
    <hyperlink ref="AB394" r:id="rId207" display="https://www.jivi.com.ar/ficha.php?id=1359"/>
    <hyperlink ref="AB414" r:id="rId208" display="https://www.jivi.com.ar/ficha.php?id=1360"/>
    <hyperlink ref="AB187" r:id="rId209"/>
    <hyperlink ref="AB102" r:id="rId210" display="https://www.jivi.com.ar/ficha.php?id=1366"/>
    <hyperlink ref="AC8:AI9" r:id="rId211" display="REGISTRATE EN NUESTRA WEB PARA BAJAR LISTA DE PRECIOS DESDE CUALQUIER PC"/>
    <hyperlink ref="AB421" r:id="rId212" display="https://www.jivi.com.ar/ficha.php?id=1372"/>
    <hyperlink ref="AB418" r:id="rId213" display="https://www.jivi.com.ar/ficha.php?id=1378"/>
    <hyperlink ref="AB422" r:id="rId214" display="https://www.jivi.com.ar/ficha.php?id=1382"/>
    <hyperlink ref="AB417" r:id="rId215" display="https://www.jivi.com.ar/ficha.php?id=1383"/>
    <hyperlink ref="AB442" r:id="rId216" display="https://www.jivi.com.ar/ficha.php?id=1384"/>
    <hyperlink ref="AB134" r:id="rId217" display="https://www.jivi.com.ar/ficha.php?id=1428"/>
    <hyperlink ref="AB443" r:id="rId218" display="https://www.jivi.com.ar/ficha.php?id=1385"/>
    <hyperlink ref="AB441" r:id="rId219" display="https://www.jivi.com.ar/ficha.php?id=1387"/>
    <hyperlink ref="AB444" r:id="rId220" display="https://www.jivi.com.ar/ficha.php?id=1389"/>
    <hyperlink ref="AB22" r:id="rId221" display="https://www.jivi.com.ar/ficha.php?id=363"/>
    <hyperlink ref="AF22" location="'Artículos Publicitarios'!A582" display="IR A REMERAS"/>
    <hyperlink ref="AF22:AI22" location="'Artículos Publicitarios'!A547" display="IR A REMERAS"/>
    <hyperlink ref="AF26:AJ26" location="'Artículos Publicitarios'!A236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720" display="IR A ART. DE CUERO - CUCHILLERIA"/>
    <hyperlink ref="AB56" r:id="rId222" display="https://www.jivi.com.ar/ficha.php?id=236"/>
    <hyperlink ref="AB174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3" r:id="rId224" display="https://www.jivi.com.ar/ficha.php?id=1394"/>
    <hyperlink ref="AB243" r:id="rId225" display="https://www.jivi.com.ar/ficha.php?id=872"/>
    <hyperlink ref="AB154" r:id="rId226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65" display="IR A BOLIGRAFOS"/>
    <hyperlink ref="AB440" r:id="rId227" display="https://www.jivi.com.ar/ficha.php?id=1262"/>
    <hyperlink ref="AB415" r:id="rId228" display="https://www.jivi.com.ar/ficha.php?id=1400"/>
    <hyperlink ref="AB424" r:id="rId229" display="https://www.jivi.com.ar/ficha.php?id=1401"/>
    <hyperlink ref="AB167" r:id="rId230" display="https://www.jivi.com.ar/ficha.php?id=1392"/>
    <hyperlink ref="AB283" r:id="rId231" display="https://www.jivi.com.ar/ficha.php?id=1230"/>
    <hyperlink ref="AB400" r:id="rId232" display="https://www.jivi.com.ar/ficha.php?id=1110"/>
    <hyperlink ref="AB403" r:id="rId233" display="https://www.jivi.com.ar/ficha.php?id=1111"/>
    <hyperlink ref="AF21:AI21" location="'Artículos Publicitarios'!A325" display="IR A SET DE NOTAS"/>
    <hyperlink ref="AF21:AJ21" location="'Artículos Publicitarios'!A581" display="IR A PARAGUAS"/>
    <hyperlink ref="AB91" r:id="rId234" display="https://www.jivi.com.ar/ficha.php?id=477"/>
    <hyperlink ref="AB93" r:id="rId235" display="https://www.jivi.com.ar/ficha.php?id=376"/>
    <hyperlink ref="AB13" r:id="rId236" display="https://www.jivi.com.ar/ficha.php?id=1402"/>
    <hyperlink ref="AB583" r:id="rId237" display="https://www.jivi.com.ar/ficha.php?id=1393"/>
    <hyperlink ref="AB17" r:id="rId238" display="https://www.jivi.com.ar/ficha.php?id=1405"/>
    <hyperlink ref="AB131" r:id="rId239" display="https://www.jivi.com.ar/ficha.php?id=1413"/>
    <hyperlink ref="AB182" r:id="rId240" display="https://www.jivi.com.ar/ficha.php?id=1415"/>
    <hyperlink ref="AF12:AH12" location="'Artículos Publicitarios'!A260" display="IR A PAGINA 4"/>
    <hyperlink ref="AB342" r:id="rId241" display="https://www.jivi.com.ar/ficha.php?id=1356"/>
    <hyperlink ref="AB223" r:id="rId242" display="https://www.jivi.com.ar/ficha.php?id=1084"/>
    <hyperlink ref="AB340" r:id="rId243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758" display="IR A DELANTALES"/>
    <hyperlink ref="AB753" r:id="rId244"/>
    <hyperlink ref="AB756" r:id="rId245"/>
    <hyperlink ref="AB723" r:id="rId246" display="https://www.jivi.com.ar/ficha.php?id=1281"/>
    <hyperlink ref="AB743" r:id="rId247"/>
    <hyperlink ref="AB308" r:id="rId248" display="https://www.jivi.com.ar/ficha.php?id=1421"/>
    <hyperlink ref="AB311" r:id="rId249" display="https://www.jivi.com.ar/ficha.php?id=1422"/>
    <hyperlink ref="AB312" r:id="rId250" display="https://www.jivi.com.ar/ficha.php?id=1423"/>
    <hyperlink ref="AB338" r:id="rId251" display="https://www.jivi.com.ar/ficha.php?id=1425"/>
    <hyperlink ref="AB339" r:id="rId252" display="https://www.jivi.com.ar/ficha.php?id=1426"/>
    <hyperlink ref="AB472" r:id="rId253" display="https://www.jivi.com.ar/ficha.php?id=1429"/>
    <hyperlink ref="AB519" r:id="rId254"/>
    <hyperlink ref="AB577" r:id="rId255" display="https://www.jivi.com.ar/ficha.php?id=1436"/>
    <hyperlink ref="AB578" r:id="rId256" display="https://www.jivi.com.ar/ficha.php?id=1437"/>
    <hyperlink ref="AB579" r:id="rId257"/>
    <hyperlink ref="AB581" r:id="rId258" display="https://www.jivi.com.ar/ficha.php?id=1439"/>
    <hyperlink ref="AB310" r:id="rId259" display="https://www.jivi.com.ar/ficha.php?id=1442"/>
    <hyperlink ref="AB335" r:id="rId260" display="https://www.jivi.com.ar/ficha.php?id=1427"/>
    <hyperlink ref="AB710" r:id="rId261"/>
    <hyperlink ref="AB388" r:id="rId262" display="https://www.jivi.com.ar/ficha.php?id=1056"/>
    <hyperlink ref="AB282" r:id="rId263" display="https://www.jivi.com.ar/ficha.php?id=1334"/>
    <hyperlink ref="AB276" r:id="rId264" display="https://www.jivi.com.ar/ficha.php?id=1335"/>
    <hyperlink ref="AB324" r:id="rId265" display="https://www.jivi.com.ar/ficha.php?id=1446"/>
    <hyperlink ref="AB341" r:id="rId266" display="https://www.jivi.com.ar/ficha.php?id=1354"/>
    <hyperlink ref="AB330" r:id="rId267" display="https://www.jivi.com.ar/ficha.php?id=1448"/>
    <hyperlink ref="AB346" r:id="rId268" display="https://www.jivi.com.ar/ficha.php?id=1450"/>
    <hyperlink ref="AB204" r:id="rId269"/>
    <hyperlink ref="AB509" r:id="rId270"/>
    <hyperlink ref="AB749" r:id="rId271"/>
    <hyperlink ref="AB430" r:id="rId272" display="https://www.jivi.com.ar/ficha.php?id=1463"/>
    <hyperlink ref="AB431" r:id="rId273" display="https://www.jivi.com.ar/ficha.php?id=1464"/>
    <hyperlink ref="AB584" r:id="rId274" display="https://www.jivi.com.ar/ficha.php?id=1467"/>
    <hyperlink ref="AB598" r:id="rId275"/>
    <hyperlink ref="AB599" r:id="rId276" display="https://www.jivi.com.ar/ficha.php?id=1472"/>
    <hyperlink ref="AB529" r:id="rId277"/>
    <hyperlink ref="AB692" r:id="rId278"/>
    <hyperlink ref="AB693" r:id="rId279"/>
    <hyperlink ref="AB691" r:id="rId280"/>
    <hyperlink ref="AB228" r:id="rId281" display="https://www.jivi.com.ar/ficha.php?id=1478"/>
    <hyperlink ref="AB229" r:id="rId282"/>
    <hyperlink ref="AB230" r:id="rId283"/>
    <hyperlink ref="AB222" r:id="rId284" display="https://www.jivi.com.ar/ficha.php?id=1481"/>
    <hyperlink ref="AB244" r:id="rId285" display="https://www.jivi.com.ar/ficha.php?id=1483"/>
    <hyperlink ref="AB274" r:id="rId286" display="https://www.jivi.com.ar/ficha.php?id=1486"/>
    <hyperlink ref="AB275" r:id="rId287" display="https://www.jivi.com.ar/ficha.php?id=1488"/>
    <hyperlink ref="AB712" r:id="rId288" display="https://www.jivi.com.ar/ficha.php?id=1492"/>
    <hyperlink ref="AB713" r:id="rId289" display="https://www.jivi.com.ar/ficha.php?id=1493"/>
    <hyperlink ref="AB714" r:id="rId290" display="https://www.jivi.com.ar/ficha.php?id=1494"/>
    <hyperlink ref="AB715" r:id="rId291"/>
    <hyperlink ref="AB733" r:id="rId292" display="https://www.jivi.com.ar/ficha.php?id=1496"/>
    <hyperlink ref="AB734" r:id="rId293" display="https://www.jivi.com.ar/ficha.php?id=1497"/>
    <hyperlink ref="AB736" r:id="rId294" display="httphttps://www.jivi.com.ar/ficha.php?id=1498"/>
    <hyperlink ref="AB737" r:id="rId295" display="https://www.jivi.com.ar/ficha.php?id=1499"/>
    <hyperlink ref="AB738" r:id="rId296" display="https://www.jivi.com.ar/ficha.php?id=1500"/>
    <hyperlink ref="AB35" r:id="rId297"/>
    <hyperlink ref="AB37" r:id="rId298"/>
    <hyperlink ref="AB34" r:id="rId299"/>
    <hyperlink ref="AB36" r:id="rId300"/>
    <hyperlink ref="AB38" r:id="rId301"/>
    <hyperlink ref="AB39" r:id="rId302"/>
    <hyperlink ref="AB575" r:id="rId303" display="https://www.jivi.com.ar/ficha.php?id=1509"/>
    <hyperlink ref="AB545" r:id="rId304"/>
    <hyperlink ref="AB307" r:id="rId305" display="https://www.jivi.com.ar/ficha.php?id=1515"/>
    <hyperlink ref="AB70" r:id="rId306"/>
    <hyperlink ref="AB72" r:id="rId307"/>
    <hyperlink ref="AB426" r:id="rId308" display="https://www.jivi.com.ar/ficha.php?id=1523"/>
    <hyperlink ref="AB306" r:id="rId309" display="https://www.jivi.com.ar/ficha.php?id=1559"/>
    <hyperlink ref="AB309" r:id="rId310" display="https://www.jivi.com.ar/ficha.php?id=1527"/>
    <hyperlink ref="AB262" r:id="rId311" display="https://www.jivi.com.ar/ficha.php?id=1532"/>
    <hyperlink ref="AB272" r:id="rId312" display="https://www.jivi.com.ar/ficha.php?id=1534"/>
    <hyperlink ref="AB739" r:id="rId313" display="https://www.jivi.com.ar/ficha.php?id=1535"/>
    <hyperlink ref="AB740" r:id="rId314" display="https://www.jivi.com.ar/ficha.php?id=1536"/>
    <hyperlink ref="AB247" r:id="rId315" display="https://www.jivi.com.ar/ficha.php?id=1539"/>
    <hyperlink ref="AB138" r:id="rId316" display="https://www.jivi.com.ar/ficha.php?id=1540"/>
    <hyperlink ref="AB596" r:id="rId317" display="https://www.jivi.com.ar/ficha.php?id=1541"/>
    <hyperlink ref="AB597" r:id="rId318" display="https://www.jivi.com.ar/ficha.php?id=1542"/>
    <hyperlink ref="AB256" r:id="rId319" display="https://www.jivi.com.ar/ficha.php?id=1545"/>
    <hyperlink ref="AB401" r:id="rId320"/>
    <hyperlink ref="AB371" r:id="rId321" display="https://www.jivi.com.ar/ficha.php?id=981"/>
    <hyperlink ref="AB427" r:id="rId322" display="https://www.jivi.com.ar/ficha.php?id=1548"/>
    <hyperlink ref="AB428" r:id="rId323" display="https://www.jivi.com.ar/ficha.php?id=1549"/>
    <hyperlink ref="AB493" r:id="rId324"/>
    <hyperlink ref="AB459" r:id="rId325" display="https://www.jivi.com.ar/ficha.php?id=1552"/>
    <hyperlink ref="AB391" r:id="rId326" display="https://www.jivi.com.ar/ficha.php?id=1311"/>
    <hyperlink ref="AB153" r:id="rId327" display="https://www.jivi.com.ar/ficha.php?id=1553"/>
    <hyperlink ref="AB149" r:id="rId328" display="https://www.jivi.com.ar/ficha.php?id=1554"/>
    <hyperlink ref="AB646" r:id="rId329" display="https://www.jivi.com.ar/ficha.php?id=1555"/>
    <hyperlink ref="AB55" r:id="rId330" display="https://www.jivi.com.ar/ficha.php?id=1557"/>
    <hyperlink ref="AB754" r:id="rId331"/>
    <hyperlink ref="AB245" r:id="rId332" display="https://www.jivi.com.ar/ficha.php?id=518"/>
    <hyperlink ref="AB205" r:id="rId333" display="https://www.jivi.com.ar/ficha.php?id=1561"/>
    <hyperlink ref="AB10" r:id="rId334" display="https://www.jivi.com.ar/ficha.php?id=26"/>
    <hyperlink ref="AB249" r:id="rId335" display="https://www.jivi.com.ar/ficha.php?id=1066"/>
    <hyperlink ref="AB253" r:id="rId336" display="https://www.jivi.com.ar/ficha.php?id=1562"/>
    <hyperlink ref="AB485" r:id="rId337" display="https://www.jivi.com.ar/ficha.php?id=1563"/>
    <hyperlink ref="AB168" r:id="rId338" display="https://www.jivi.com.ar/ficha.php?id=1414"/>
    <hyperlink ref="AB18" r:id="rId339" display="https://www.jivi.com.ar/ficha.php?id=790"/>
    <hyperlink ref="AB321" r:id="rId340" display="https://www.jivi.com.ar/ficha.php?id=1407"/>
    <hyperlink ref="AB320" r:id="rId341" display="https://www.jivi.com.ar/ficha.php?id=1409"/>
    <hyperlink ref="AB322" r:id="rId342" display="https://www.jivi.com.ar/ficha.php?id=1408"/>
    <hyperlink ref="AB304" r:id="rId343" display="https://www.jivi.com.ar/ficha.php?id=1564"/>
    <hyperlink ref="AB27" r:id="rId344" display="https://www.jivi.com.ar/ficha.php?id=1434"/>
    <hyperlink ref="AB432" r:id="rId345" display="https://www.jivi.com.ar/ficha.php?id=1567"/>
    <hyperlink ref="AB43" r:id="rId346"/>
    <hyperlink ref="AB44" r:id="rId347"/>
    <hyperlink ref="AB45" r:id="rId348"/>
    <hyperlink ref="AB135" r:id="rId349" display="https://www.jivi.com.ar/ficha.php?id=1571"/>
    <hyperlink ref="AB221" r:id="rId350"/>
    <hyperlink ref="AB429" r:id="rId351" display="https://www.jivi.com.ar/ficha.php?id=1572"/>
    <hyperlink ref="AB305" r:id="rId352" display="https://www.jivi.com.ar/ficha.php?id=1573"/>
    <hyperlink ref="AB611" r:id="rId353" display="https://www.jivi.com.ar/ficha.php?id=1294"/>
    <hyperlink ref="AB620" r:id="rId354" display="https://www.jivi.com.ar/ficha.php?id=1271"/>
    <hyperlink ref="AB619" r:id="rId355" display="https://www.jivi.com.ar/ficha.php?id=1296"/>
    <hyperlink ref="AB624" r:id="rId356" display="https://www.jivi.com.ar/ficha.php?id=1139"/>
    <hyperlink ref="AB616" r:id="rId357" display="https://www.jivi.com.ar/ficha.php?id=1249"/>
    <hyperlink ref="AB662" r:id="rId358" display="https://www.jivi.com.ar/ficha.php?id=1574"/>
    <hyperlink ref="AB618" r:id="rId359" display="https://www.jivi.com.ar/ficha.php?id=1576"/>
    <hyperlink ref="AB628" r:id="rId360" display="https://www.jivi.com.ar/ficha.php?id=1580"/>
    <hyperlink ref="AB629" r:id="rId361" display="https://www.jivi.com.ar/ficha.php?id=1581"/>
    <hyperlink ref="AB633" r:id="rId362" display="https://www.jivi.com.ar/ficha.php?id=1583"/>
    <hyperlink ref="AB634" r:id="rId363" display="https://www.jivi.com.ar/ficha.php?id=1584"/>
    <hyperlink ref="AB635" r:id="rId364" display="https://www.jivi.com.ar/ficha.php?id=1586"/>
    <hyperlink ref="AF18:AJ18" location="'Artículos Publicitarios'!A267" display="IR A CUADERNOS"/>
    <hyperlink ref="AB285" r:id="rId365" display="https://www.jivi.com.ar/ficha.php?id=1221"/>
    <hyperlink ref="AB570" r:id="rId366"/>
    <hyperlink ref="AB571" r:id="rId367" display="https://www.jivi.com.ar/ficha.php?id=1590"/>
    <hyperlink ref="AB572" r:id="rId368"/>
    <hyperlink ref="AB573" r:id="rId369" display="https://www.jivi.com.ar/ficha.php?id=1592"/>
    <hyperlink ref="AB647" r:id="rId370" display="https://www.jivi.com.ar/ficha.php?id=1593"/>
    <hyperlink ref="AB302" r:id="rId371" display="https://www.jivi.com.ar/ficha.php?id=1595"/>
    <hyperlink ref="AB451" r:id="rId372" display="https://www.jivi.com.ar/ficha.php?id=1596"/>
    <hyperlink ref="AB648" r:id="rId373" display="https://www.jivi.com.ar/ficha.php?id=1598"/>
    <hyperlink ref="AB650" r:id="rId374" display="https://www.jivi.com.ar/ficha.php?id=1602"/>
    <hyperlink ref="AB655" r:id="rId375" display="https://www.jivi.com.ar/ficha.php?id=1603"/>
    <hyperlink ref="AB59" r:id="rId376" display="00085-1N"/>
    <hyperlink ref="AB656" r:id="rId377" display="https://www.jivi.com.ar/ficha.php?id=1604"/>
    <hyperlink ref="AB657" r:id="rId378" display="https://www.jivi.com.ar/ficha.php?id=1606"/>
    <hyperlink ref="AB327" r:id="rId379" display="https://www.jivi.com.ar/ficha.php?id=1424"/>
    <hyperlink ref="AB190" r:id="rId380"/>
    <hyperlink ref="AB267" r:id="rId381" display="https://www.jivi.com.ar/ficha.php?id=1459"/>
    <hyperlink ref="AB266" r:id="rId382" display="https://www.jivi.com.ar/ficha.php?id=1608"/>
    <hyperlink ref="AB265" r:id="rId383" display="https://www.jivi.com.ar/ficha.php?id=1609"/>
    <hyperlink ref="AB286" r:id="rId384" display="https://www.jivi.com.ar/ficha.php?id=1274"/>
    <hyperlink ref="AB632" r:id="rId385" display="https://www.jivi.com.ar/ficha.php?id=1611"/>
    <hyperlink ref="AB631" r:id="rId386" display="https://www.jivi.com.ar/ficha.php?id=1612"/>
    <hyperlink ref="AB214" r:id="rId387" display="https://www.jivi.com.ar/ficha.php?id=1614"/>
    <hyperlink ref="AB209" r:id="rId388" display="https://www.jivi.com.ar/ficha.php?id=1452"/>
    <hyperlink ref="AB671" r:id="rId389" display="https://www.jivi.com.ar/ficha.php?id=1617"/>
    <hyperlink ref="AB672" r:id="rId390" display="https://www.jivi.com.ar/ficha.php?id=1618"/>
    <hyperlink ref="AB568" r:id="rId391"/>
    <hyperlink ref="AB569" r:id="rId392" display="https://www.jivi.com.ar/ficha.php?id=1620"/>
    <hyperlink ref="AB588" r:id="rId393" display="https://www.jivi.com.ar/ficha.php?id=1204"/>
    <hyperlink ref="AB589" r:id="rId394"/>
    <hyperlink ref="AB369" r:id="rId395"/>
    <hyperlink ref="AB544" r:id="rId396"/>
    <hyperlink ref="AB704" r:id="rId397"/>
    <hyperlink ref="AB758" r:id="rId398"/>
    <hyperlink ref="AB759" r:id="rId399"/>
    <hyperlink ref="AB760" r:id="rId400"/>
    <hyperlink ref="AB406" r:id="rId401" display="https://www.jivi.com.ar/ficha.php?id=1641"/>
    <hyperlink ref="AB742" r:id="rId402"/>
    <hyperlink ref="AB498" r:id="rId403"/>
    <hyperlink ref="AB179" r:id="rId404" display="https://www.jivi.com.ar/ficha.php?id=1660"/>
    <hyperlink ref="AB98" r:id="rId405" display="https://www.jivi.com.ar/ficha.php?id=440"/>
    <hyperlink ref="AB752" r:id="rId406"/>
    <hyperlink ref="AB757" r:id="rId407"/>
    <hyperlink ref="AB574" r:id="rId408" display="https://www.jivi.com.ar/ficha.php?id=1684"/>
    <hyperlink ref="AB408" r:id="rId409" display="https://www.jivi.com.ar/ficha.php?id=1272"/>
    <hyperlink ref="AB407" r:id="rId410" display="https://www.jivi.com.ar/ficha.php?id=1687"/>
    <hyperlink ref="AB405" r:id="rId411" display="https://www.jivi.com.ar/ficha.php?id=1672"/>
    <hyperlink ref="AB642" r:id="rId412" display="https://www.jivi.com.ar/ficha.php?id=1690"/>
    <hyperlink ref="AB567" r:id="rId413" display="https://www.jivi.com.ar/ficha.php?id=1691"/>
    <hyperlink ref="AB580" r:id="rId414" display="https://www.jivi.com.ar/ficha.php?id=1438"/>
    <hyperlink ref="AF559:AH559" location="'Artículos Publicitarios'!A3" display="IR A PAGINA 1"/>
    <hyperlink ref="AB28" r:id="rId415" display="https://www.jivi.com.ar/ficha.php?id=36"/>
    <hyperlink ref="AB565" r:id="rId416"/>
    <hyperlink ref="AB566" r:id="rId417" display="https://www.jivi.com.ar/ficha.php?id=1698"/>
    <hyperlink ref="AB452" r:id="rId418" display="https://www.jivi.com.ar/ficha.php?id=1699"/>
    <hyperlink ref="AB546" r:id="rId419"/>
    <hyperlink ref="AB425" r:id="rId420" display="https://www.jivi.com.ar/ficha.php?id=1462"/>
    <hyperlink ref="AB261" r:id="rId421" display="https://www.jivi.com.ar/ficha.php?id=1531"/>
    <hyperlink ref="AB259" r:id="rId422" display="https://www.jivi.com.ar/ficha.php?id=1528"/>
    <hyperlink ref="AB473" r:id="rId423"/>
    <hyperlink ref="AB375" r:id="rId424" display="https://www.jivi.com.ar/ficha.php?id=977"/>
    <hyperlink ref="AB447" r:id="rId425" display="https://www.jivi.com.ar/ficha.php?id=1457"/>
    <hyperlink ref="AB446" r:id="rId426" display="https://www.jivi.com.ar/ficha.php?id=1456"/>
    <hyperlink ref="AB376" r:id="rId427" display="https://www.jivi.com.ar/ficha.php?id=1707"/>
    <hyperlink ref="AB377" r:id="rId428" display="https://www.jivi.com.ar/ficha.php?id=1708"/>
    <hyperlink ref="AB564" r:id="rId429" display="https://www.jivi.com.ar/ficha.php?id=1722"/>
    <hyperlink ref="AB14" r:id="rId430" display="https://www.jivi.com.ar/ficha.php?id=1723"/>
    <hyperlink ref="AB201" r:id="rId431"/>
    <hyperlink ref="AB197" r:id="rId432"/>
    <hyperlink ref="AB199" r:id="rId433"/>
    <hyperlink ref="AB198" r:id="rId434"/>
    <hyperlink ref="AB200" r:id="rId435"/>
    <hyperlink ref="AB196" r:id="rId436"/>
    <hyperlink ref="AB705" r:id="rId437"/>
    <hyperlink ref="AB707" r:id="rId438"/>
    <hyperlink ref="AB732" r:id="rId439"/>
    <hyperlink ref="AB663" r:id="rId440" display="https://www.jivi.com.ar/ficha.php?id=1575"/>
    <hyperlink ref="AB658" r:id="rId441" display="https://www.jivi.com.ar/ficha.php?id=1743"/>
    <hyperlink ref="AB659" r:id="rId442" display="https://www.jivi.com.ar/ficha.php?id=1744"/>
    <hyperlink ref="AB660" r:id="rId443" display="https://www.jivi.com.ar/ficha.php?id=1745"/>
    <hyperlink ref="AB625" r:id="rId444" display="https://www.jivi.com.ar/ficha.php?id=1746"/>
    <hyperlink ref="AB702" r:id="rId445"/>
    <hyperlink ref="AB562" r:id="rId446"/>
    <hyperlink ref="AB563" r:id="rId447" display="https://www.jivi.com.ar/ficha.php?id=1749"/>
    <hyperlink ref="AB614" r:id="rId448"/>
    <hyperlink ref="AB755" r:id="rId449"/>
    <hyperlink ref="AB450" r:id="rId450"/>
    <hyperlink ref="AB313" r:id="rId451" display="https://www.jivi.com.ar/ficha.php?id=1461"/>
    <hyperlink ref="AB643" r:id="rId452" display="https://www.jivi.com.ar/ficha.php?id=1776"/>
    <hyperlink ref="AB133" r:id="rId453" display="https://www.jivi.com.ar/ficha.php?id=1310"/>
    <hyperlink ref="AB518" r:id="rId454"/>
    <hyperlink ref="AB63" r:id="rId455" display="https://www.jivi.com.ar/ficha.php?id=76"/>
    <hyperlink ref="AB62" r:id="rId456"/>
    <hyperlink ref="AB60" r:id="rId457"/>
    <hyperlink ref="AB254" r:id="rId458" display="https://www.jivi.com.ar/ficha.php?id=1709"/>
    <hyperlink ref="AB673" r:id="rId459" display="https://www.jivi.com.ar/ficha.php?id=1710"/>
    <hyperlink ref="AB683" r:id="rId460"/>
    <hyperlink ref="AB687" r:id="rId461"/>
    <hyperlink ref="AB689" r:id="rId462"/>
    <hyperlink ref="AB621" r:id="rId463" display="https://www.jivi.com.ar/ficha.php?id=1293"/>
    <hyperlink ref="AB284" r:id="rId464" display="https://www.jivi.com.ar/ficha.php?id=1265"/>
    <hyperlink ref="AB273" r:id="rId465" display="https://www.jivi.com.ar/ficha.php?id=1487"/>
    <hyperlink ref="AB124" r:id="rId466"/>
    <hyperlink ref="AB129" r:id="rId467"/>
    <hyperlink ref="AB125" r:id="rId468"/>
    <hyperlink ref="AB130" r:id="rId469"/>
    <hyperlink ref="AB323" r:id="rId470" display="https://www.jivi.com.ar/ficha.php?id=1447"/>
    <hyperlink ref="AB386" r:id="rId471" display="https://www.jivi.com.ar/ficha.php?id=1087"/>
    <hyperlink ref="AB520" r:id="rId472"/>
    <hyperlink ref="AB137" r:id="rId473" display="https://www.jivi.com.ar/ficha.php?id=1451"/>
    <hyperlink ref="AB277" r:id="rId474"/>
    <hyperlink ref="AB380" r:id="rId475" display="https://www.jivi.com.ar/ficha.php?id=1805"/>
    <hyperlink ref="AB345" r:id="rId476" display="https://www.jivi.com.ar/ficha.php?id=1342"/>
    <hyperlink ref="AB387" r:id="rId477" display="https://www.jivi.com.ar/ficha.php?id=1070"/>
    <hyperlink ref="AB390" r:id="rId478"/>
    <hyperlink ref="AB457" r:id="rId479" display="https://www.jivi.com.ar/ficha.php?id=1597"/>
    <hyperlink ref="AB392" r:id="rId480" display="https://www.jivi.com.ar/ficha.php?id=1131"/>
    <hyperlink ref="AB301" r:id="rId481" display="https://www.jivi.com.ar/ficha.php?id=1774"/>
    <hyperlink ref="AB436" r:id="rId482" display="https://www.jivi.com.ar/ficha.php?id=1820"/>
    <hyperlink ref="AB258" r:id="rId483" display="https://www.jivi.com.ar/ficha.php?id=1544"/>
    <hyperlink ref="AB263" r:id="rId484" display="https://www.jivi.com.ar/ficha.php?id=1533"/>
    <hyperlink ref="AF10:AH10" location="'Artículos Publicitarios'!A101" display="IR A PAGINA 2"/>
    <hyperlink ref="AB644" r:id="rId485" display="https://www.jivi.com.ar/ficha.php?id=1556"/>
    <hyperlink ref="AB661" r:id="rId486" display="https://www.jivi.com.ar/ficha.php?id=1825"/>
    <hyperlink ref="AB291" r:id="rId487" display="https://www.jivi.com.ar/ficha.php?id=1491"/>
    <hyperlink ref="AB203" r:id="rId488" display="https://www.jivi.com.ar/ficha.php?id=149"/>
    <hyperlink ref="AB303" r:id="rId489" display="https://www.jivi.com.ar/ficha.php?id=1594"/>
    <hyperlink ref="AB448" r:id="rId490"/>
    <hyperlink ref="AB210" r:id="rId491" display="https://www.jivi.com.ar/ficha.php?id=1799"/>
    <hyperlink ref="AB750" r:id="rId492"/>
    <hyperlink ref="AB751" r:id="rId493"/>
    <hyperlink ref="AB287" r:id="rId494" display="https://www.jivi.com.ar/ficha.php?id=1077"/>
    <hyperlink ref="AB368" r:id="rId495"/>
    <hyperlink ref="AB670" r:id="rId496" display="https://www.jivi.com.ar/ficha.php?id=1616"/>
    <hyperlink ref="AB268" r:id="rId497" display="https://www.jivi.com.ar/ficha.php?id=1520"/>
    <hyperlink ref="AB278" r:id="rId498"/>
    <hyperlink ref="AB325" r:id="rId499" display="https://www.jivi.com.ar/ficha.php?id=1443"/>
    <hyperlink ref="AB136" r:id="rId500" display="https://www.jivi.com.ar/ficha.php?id=1055"/>
    <hyperlink ref="AB706" r:id="rId501"/>
    <hyperlink ref="AB260" r:id="rId502" display="https://www.jivi.com.ar/ficha.php?id=1530"/>
    <hyperlink ref="AB420" r:id="rId503" display="https://www.jivi.com.ar/ficha.php?id=1379"/>
    <hyperlink ref="AB419" r:id="rId504" display="https://www.jivi.com.ar/ficha.php?id=1380"/>
    <hyperlink ref="AB381" r:id="rId505" display="https://www.jivi.com.ar/ficha.php?id=1840"/>
    <hyperlink ref="AB606" r:id="rId506" display="https://www.jivi.com.ar/ficha.php?id=1371"/>
    <hyperlink ref="AB688" r:id="rId507"/>
    <hyperlink ref="AB627" r:id="rId508" display="https://www.jivi.com.ar/ficha.php?id=1579"/>
    <hyperlink ref="AB608" r:id="rId509" display="https://www.jivi.com.ar/ficha.php?id=1911"/>
    <hyperlink ref="AB610" r:id="rId510" display="https://www.jivi.com.ar/ficha.php?id=1916"/>
    <hyperlink ref="AB609" r:id="rId511" display="https://www.jivi.com.ar/ficha.php?id=1912"/>
    <hyperlink ref="AF604:AH604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3" r:id="rId512" display="https://www.jivi.com.ar/ficha.php?id=1386"/>
    <hyperlink ref="AB404" r:id="rId513" display="https://www.jivi.com.ar/ficha.php?id=1566"/>
    <hyperlink ref="AB255" r:id="rId514" display="https://www.jivi.com.ar/ficha.php?id=1998"/>
    <hyperlink ref="AB292" r:id="rId515" display="https://www.jivi.com.ar/ficha.php?id=1411"/>
    <hyperlink ref="AB649" r:id="rId516" display="https://www.jivi.com.ar/ficha.php?id=1601"/>
    <hyperlink ref="AB626" r:id="rId517" display="https://www.jivi.com.ar/ficha.php?id=1577"/>
    <hyperlink ref="AB622" r:id="rId518" display="https://www.jivi.com.ar/ficha.php?id=1245"/>
    <hyperlink ref="AB654" r:id="rId519" display="https://www.jivi.com.ar/ficha.php?id=2003"/>
    <hyperlink ref="AB264" r:id="rId520" display="https://www.jivi.com.ar/ficha.php?id=2007"/>
    <hyperlink ref="AB502" r:id="rId521"/>
    <hyperlink ref="AB439" r:id="rId522" display="https://www.jivi.com.ar/ficha.php?id=1720"/>
    <hyperlink ref="AB525" r:id="rId523"/>
    <hyperlink ref="AB257" r:id="rId524" display="https://www.jivi.com.ar/ficha.php?id=2011"/>
    <hyperlink ref="AB385" r:id="rId525"/>
    <hyperlink ref="AB615" r:id="rId526" display="https://www.jivi.com.ar/ficha.php?id=2014"/>
    <hyperlink ref="AB438" r:id="rId527" display="https://www.jivi.com.ar/ficha.php?id=2017"/>
    <hyperlink ref="AB453" r:id="rId528" display="https://www.jivi.com.ar/ficha.php?id=2018"/>
    <hyperlink ref="AB279" r:id="rId529" display="https://www.jivi.com.ar/ficha.php?id=1339"/>
    <hyperlink ref="AB300" r:id="rId530" display="https://www.jivi.com.ar/ficha.php?id=2026"/>
    <hyperlink ref="AB246" r:id="rId531" display="https://www.jivi.com.ar/ficha.php?id=335"/>
    <hyperlink ref="AB503" r:id="rId532"/>
    <hyperlink ref="AB504" r:id="rId533"/>
    <hyperlink ref="AB674" r:id="rId534" display="https://www.jivi.com.ar/ficha.php?id=2040"/>
    <hyperlink ref="AB746" r:id="rId535" display="https://www.jivi.com.ar/ficha.php?id=1662"/>
    <hyperlink ref="AB731" r:id="rId536" display="https://www.jivi.com.ar/ficha.php?id=2042"/>
    <hyperlink ref="AB536" r:id="rId537"/>
    <hyperlink ref="AB537" r:id="rId538"/>
    <hyperlink ref="AB540" r:id="rId539"/>
    <hyperlink ref="AF478:AH478" location="'Artículos Publicitarios'!A3" display="IR A PAGINA 1"/>
    <hyperlink ref="AB445" r:id="rId540" display="https://www.jivi.com.ar/ficha.php?id=1390"/>
    <hyperlink ref="AB413" r:id="rId541" display="https://www.jivi.com.ar/ficha.php?id=1280"/>
    <hyperlink ref="AB412" r:id="rId542" display="https://www.jivi.com.ar/ficha.php?id=1278"/>
    <hyperlink ref="AB281" r:id="rId543" display="https://www.jivi.com.ar/ficha.php?id=1256"/>
    <hyperlink ref="AB326" r:id="rId544" display="https://www.jivi.com.ar/ficha.php?id=1410"/>
    <hyperlink ref="AB332" r:id="rId545" display="https://www.jivi.com.ar/articulos.php?search=1066"/>
    <hyperlink ref="AB181" r:id="rId546" display="https://www.jivi.com.ar/ficha.php?id=1416"/>
    <hyperlink ref="AB653" r:id="rId547" display="https://www.jivi.com.ar/ficha.php?id=2051"/>
    <hyperlink ref="AB173" r:id="rId548" display="https://www.jivi.com.ar/ficha.php?id=2052"/>
    <hyperlink ref="AB435" r:id="rId549"/>
    <hyperlink ref="AB269" r:id="rId550" display="https://www.jivi.com.ar/ficha.php?id=2058"/>
    <hyperlink ref="AB252" r:id="rId551" display="https://www.jivi.com.ar/ficha.php?id=971"/>
    <hyperlink ref="AB251" r:id="rId552" display="https://www.jivi.com.ar/ficha.php?id=2059"/>
    <hyperlink ref="AB745" r:id="rId553" display="https://www.jivi.com.ar/ficha.php?id=2060"/>
    <hyperlink ref="AB730" r:id="rId554" display="https://www.jivi.com.ar/ficha.php?id=2061"/>
    <hyperlink ref="AB741" r:id="rId555" display="https://www.jivi.com.ar/ficha.php?id=2062"/>
    <hyperlink ref="AB175" r:id="rId556" display="https://www.jivi.com.ar/ficha.php?id=2337"/>
    <hyperlink ref="AB206" r:id="rId557" display="https://www.jivi.com.ar/ficha.php?id=1391"/>
    <hyperlink ref="AB207" r:id="rId558" display="https://www.jivi.com.ar/ficha.php?id=2066"/>
    <hyperlink ref="AB454" r:id="rId559" display="https://www.jivi.com.ar/ficha.php?id=2067"/>
    <hyperlink ref="AB455" r:id="rId560" display="https://www.jivi.com.ar/ficha.php?id=2068"/>
    <hyperlink ref="AB613" r:id="rId561" display="https://www.jivi.com.ar/ficha.php?id=1295"/>
    <hyperlink ref="AB677" r:id="rId562" display="https://www.jivi.com.ar/ficha.php?id=2069"/>
    <hyperlink ref="AB652" r:id="rId563" display="https://www.jivi.com.ar/ficha.php?id=2070"/>
    <hyperlink ref="AB607" r:id="rId564" display="https://www.jivi.com.ar/ficha.php?id=2083"/>
    <hyperlink ref="AB178" r:id="rId565" display="https://www.jivi.com.ar/ficha.php?id=1266"/>
    <hyperlink ref="AB183" r:id="rId566" display="https://www.jivi.com.ar/ficha.php?id=2084"/>
    <hyperlink ref="AB184" r:id="rId567" display="https://www.jivi.com.ar/ficha.php?id=1001"/>
    <hyperlink ref="AB101" r:id="rId568" display="https://www.jivi.com.ar/ficha.php?id=333"/>
    <hyperlink ref="AB456" r:id="rId569" display="https://www.jivi.com.ar/ficha.php?id=1512"/>
    <hyperlink ref="AB384" r:id="rId570" display="https://www.jivi.com.ar/ficha.php?id=1299"/>
    <hyperlink ref="AB675" r:id="rId571" display="https://www.jivi.com.ar/ficha.php?id=2097"/>
    <hyperlink ref="AB458" r:id="rId572" display="https://www.jivi.com.ar/ficha.php?id=2101"/>
    <hyperlink ref="AB541" r:id="rId573"/>
    <hyperlink ref="AB542" r:id="rId574"/>
    <hyperlink ref="AB180" r:id="rId575" display="https://www.jivi.com.ar/ficha.php?id=2142"/>
    <hyperlink ref="AB270" r:id="rId576" display="https://www.jivi.com.ar/ficha.php?id=2147"/>
    <hyperlink ref="AB271" r:id="rId577" display="https://www.jivi.com.ar/ficha.php?id=2146"/>
    <hyperlink ref="AB348" r:id="rId578" display="https://www.jivi.com.ar/ficha.php?id=1403"/>
    <hyperlink ref="AF17:AJ17" location="'Artículos Publicitarios'!A318" display="IR A BOTELLAS Y JARROS"/>
    <hyperlink ref="AB328" r:id="rId579" display="https://www.jivi.com.ar/ficha.php?id=2178"/>
    <hyperlink ref="AB11" r:id="rId580" display="https://www.jivi.com.ar/ficha.php?id=2105"/>
    <hyperlink ref="AB299" r:id="rId581" display="https://www.jivi.com.ar/ficha.php?id=2224"/>
    <hyperlink ref="AB410" r:id="rId582" display="https://www.jivi.com.ar/ficha.php?id=1279"/>
    <hyperlink ref="AB510" r:id="rId583"/>
    <hyperlink ref="AB651" r:id="rId584" display="https://www.jivi.com.ar/ficha.php?id=2231"/>
    <hyperlink ref="AB623" r:id="rId585" display="https://www.jivi.com.ar/ficha.php?id=2230"/>
    <hyperlink ref="AB576" r:id="rId586" display="https://www.jivi.com.ar/ficha.php?id=1435"/>
    <hyperlink ref="AB298" r:id="rId587" display="https://www.jivi.com.ar/ficha.php?id=2225"/>
    <hyperlink ref="AB61" r:id="rId588"/>
    <hyperlink ref="AB416" r:id="rId589"/>
    <hyperlink ref="AB15" r:id="rId590" display="https://www.jivi.com.ar/ficha.php?id=2222"/>
    <hyperlink ref="AB227" r:id="rId591" display="https://www.jivi.com.ar/ficha.php?id=2226"/>
    <hyperlink ref="AB684" r:id="rId592"/>
    <hyperlink ref="AB118" r:id="rId593"/>
    <hyperlink ref="AB119" r:id="rId594"/>
    <hyperlink ref="AB120" r:id="rId595"/>
    <hyperlink ref="AB108" r:id="rId596" display="https://www.jivi.com.ar/ficha.php?id=2208"/>
    <hyperlink ref="AB109" r:id="rId597"/>
    <hyperlink ref="AB110" r:id="rId598" display="https://www.jivi.com.ar/ficha.php?id=2210"/>
    <hyperlink ref="AB111" r:id="rId599"/>
    <hyperlink ref="AB112" r:id="rId600" display="https://www.jivi.com.ar/ficha.php?id=2212"/>
    <hyperlink ref="AB113" r:id="rId601"/>
    <hyperlink ref="AB114" r:id="rId602" display="https://www.jivi.com.ar/ficha.php?id=2214"/>
    <hyperlink ref="AB116" r:id="rId603" display="https://www.jivi.com.ar/ficha.php?id=2215"/>
    <hyperlink ref="AB117" r:id="rId604"/>
    <hyperlink ref="AB250" r:id="rId605" display="https://www.jivi.com.ar/ficha.php?id=2233"/>
    <hyperlink ref="AB667" r:id="rId606" display="https://www.jivi.com.ar/ficha.php?id=2234"/>
    <hyperlink ref="AB16" r:id="rId607" display="https://www.jivi.com.ar/ficha.php?id=1251"/>
    <hyperlink ref="AB217" r:id="rId608" display="https://www.jivi.com.ar/ficha.php?id=2266"/>
    <hyperlink ref="AB494" r:id="rId609"/>
    <hyperlink ref="AB496" r:id="rId610"/>
    <hyperlink ref="AB499" r:id="rId611"/>
    <hyperlink ref="AB337" r:id="rId612" display="https://www.jivi.com.ar/ficha.php?id=2272"/>
    <hyperlink ref="AB297" r:id="rId613" display="https://www.jivi.com.ar/ficha.php?id=2273"/>
    <hyperlink ref="AB331" r:id="rId614" display="https://www.jivi.com.ar/ficha.php?id=2274"/>
    <hyperlink ref="AB617" r:id="rId615" display="https://www.jivi.com.ar/ficha.php?id=1140"/>
    <hyperlink ref="AB497" r:id="rId616"/>
    <hyperlink ref="AB501" r:id="rId617"/>
    <hyperlink ref="AB495" r:id="rId618"/>
    <hyperlink ref="AB491" r:id="rId619"/>
    <hyperlink ref="AB500" r:id="rId620"/>
    <hyperlink ref="AB747" r:id="rId621" display="https://www.jivi.com.ar/ficha.php?id=2278"/>
    <hyperlink ref="AB744" r:id="rId622" display="https://www.jivi.com.ar/ficha.php?id=2279"/>
    <hyperlink ref="AB336" r:id="rId623" display="https://www.jivi.com.ar/ficha.php?id=2281"/>
    <hyperlink ref="AB343" r:id="rId624" display="https://www.jivi.com.ar/ficha.php?id=1445"/>
    <hyperlink ref="AB295" r:id="rId625" display="https://www.jivi.com.ar/ficha.php?id=2286"/>
    <hyperlink ref="AB333" r:id="rId626" display="https://www.jivi.com.ar/ficha.php?id=2287"/>
    <hyperlink ref="AB334" r:id="rId627" display="https://www.jivi.com.ar/ficha.php?id=2288"/>
    <hyperlink ref="AB676" r:id="rId628" display="https://www.jivi.com.ar/ficha.php?id=2289"/>
    <hyperlink ref="AB329" r:id="rId629" display="https://www.jivi.com.ar/ficha.php?id=2290"/>
    <hyperlink ref="AB402" r:id="rId630"/>
    <hyperlink ref="AB172" r:id="rId631" display="https://www.jivi.com.ar/ficha.php?id=2055"/>
    <hyperlink ref="AB225" r:id="rId632"/>
    <hyperlink ref="AB296" r:id="rId633" display="https://www.jivi.com.ar/ficha.php?id=2294"/>
    <hyperlink ref="AB294" r:id="rId634" display="https://www.jivi.com.ar/ficha.php?id=2295"/>
    <hyperlink ref="AB664" r:id="rId635" display="https://www.jivi.com.ar/ficha.php?id=2296"/>
    <hyperlink ref="AB665" r:id="rId636" display="https://www.jivi.com.ar/ficha.php?id=2297"/>
    <hyperlink ref="AB666" r:id="rId637" display="https://www.jivi.com.ar/ficha.php?id=2298"/>
    <hyperlink ref="AB668" r:id="rId638" display="https://www.jivi.com.ar/ficha.php?id=2299"/>
    <hyperlink ref="AB669" r:id="rId639" display="https://www.jivi.com.ar/ficha.php?id=2300"/>
    <hyperlink ref="AB612" r:id="rId640"/>
    <hyperlink ref="AF639:AH639" location="'Artículos Publicitarios'!A3" display="IR A PAGINA 1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482" display="IR A PELOTITAS ANTIESTRES"/>
    <hyperlink ref="AB685" r:id="rId641"/>
    <hyperlink ref="AB216" r:id="rId642" display="https://www.jivi.com.ar/ficha.php?id=1319"/>
    <hyperlink ref="AB460" r:id="rId643" display="https://www.jivi.com.ar/ficha.php?id=2306"/>
    <hyperlink ref="AB461" r:id="rId644" display="https://www.jivi.com.ar/ficha.php?id=2307"/>
    <hyperlink ref="AB462" r:id="rId645" display="https://www.jivi.com.ar/ficha.php?id=2308"/>
    <hyperlink ref="AB463" r:id="rId646" display="https://www.jivi.com.ar/ficha.php?id=2309"/>
    <hyperlink ref="AB464" r:id="rId647" display="https://www.jivi.com.ar/ficha.php?id=2312"/>
    <hyperlink ref="AB465" r:id="rId648" display="https://www.jivi.com.ar/ficha.php?id=2310"/>
    <hyperlink ref="AB466" r:id="rId649" display="https://www.jivi.com.ar/ficha.php?id=2313"/>
    <hyperlink ref="AB64" r:id="rId650"/>
    <hyperlink ref="AB344" r:id="rId651" display="https://jivi.com.ar/ficha.php?id=648"/>
    <hyperlink ref="AB24" r:id="rId652" display="https://www.jivi.com.ar/ficha.php?id=2327"/>
    <hyperlink ref="AB115" r:id="rId653"/>
    <hyperlink ref="AB176" r:id="rId654" display="https://www.jivi.com.ar/ficha.php?id=1369"/>
    <hyperlink ref="AB561" r:id="rId655" display="https://www.jivi.com.ar/ficha.php?id=2338"/>
    <hyperlink ref="AB213" r:id="rId656" display="https://www.jivi.com.ar/ficha.php?id=2341"/>
    <hyperlink ref="AB467" r:id="rId657" display="https://www.jivi.com.ar/ficha.php?id=2343"/>
    <hyperlink ref="AB469" r:id="rId658" display="https://www.jivi.com.ar/ficha.php?id=2344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491" display="IR A PULSERAS"/>
    <hyperlink ref="AB211" r:id="rId659" display="https://www.jivi.com.ar/ficha.php?id=2342"/>
    <hyperlink ref="AB212" r:id="rId660" display="https://www.jivi.com.ar/ficha.php?id=2346"/>
    <hyperlink ref="AB483" r:id="rId661" display="https://www.jivi.com.ar/ficha.php?id=2350"/>
    <hyperlink ref="AB471" r:id="rId662" display="https://www.jivi.com.ar/ficha.php?id=2345"/>
    <hyperlink ref="AB240" r:id="rId663" display="https://www.jivi.com.ar/ficha.php?id=150"/>
    <hyperlink ref="AF720:AH720" location="'Artículos Publicitarios'!A3" display="IR A PAGINA 1"/>
    <hyperlink ref="AB449" r:id="rId664" display="https://www.jivi.com.ar/ficha.php?id=1466"/>
    <hyperlink ref="AB166" r:id="rId665" display="https://www.jivi.com.ar/ficha.php?id=1261"/>
    <hyperlink ref="AB57" r:id="rId666" display="https://www.jivi.com.ar/ficha.php?id=236"/>
    <hyperlink ref="AB630" r:id="rId667" display="https://www.jivi.com.ar/ficha.php?id=1613"/>
    <hyperlink ref="AB171" r:id="rId668" display="https://www.jivi.com.ar/ficha.php?id=1343"/>
    <hyperlink ref="AB177" r:id="rId669" display="https://www.jivi.com.ar/ficha.php?id=2085"/>
    <hyperlink ref="AB492" r:id="rId670"/>
    <hyperlink ref="AB489" r:id="rId671"/>
    <hyperlink ref="AB232" r:id="rId672" display="https://www.jivi.com.ar/ficha.php?id=2293"/>
    <hyperlink ref="AB591" r:id="rId673"/>
    <hyperlink ref="AB645" r:id="rId674" display="https://www.jivi.com.ar/ficha.php?id=2000"/>
    <hyperlink ref="AB593" r:id="rId675" display="https://www.jivi.com.ar/ficha.php?id=910"/>
    <hyperlink ref="AB592" r:id="rId676"/>
    <hyperlink ref="AB409" r:id="rId677" display="https://www.jivi.com.ar/ficha.php?id=3003"/>
    <hyperlink ref="AB587" r:id="rId678" display="https://www.jivi.com.ar/ficha.php?id=1325"/>
    <hyperlink ref="AB594" r:id="rId679"/>
    <hyperlink ref="AB585" r:id="rId680" display="https://www.jivi.com.ar/ficha.php?id=3009"/>
    <hyperlink ref="AB586" r:id="rId681"/>
    <hyperlink ref="AB582" r:id="rId682" display="https://www.jivi.com.ar/ficha.php?id=1468"/>
    <hyperlink ref="AB314" r:id="rId683" display="https://www.jivi.com.ar/ficha.php?id=1775"/>
    <hyperlink ref="AB280" r:id="rId684" display="https://www.jivi.com.ar/ficha.php?id=1340"/>
    <hyperlink ref="AB290" r:id="rId685" display="https://www.jivi.com.ar/ficha.php?id=1588"/>
    <hyperlink ref="AB641" r:id="rId686" display="https://www.jivi.com.ar/ficha.php?id=1587"/>
  </hyperlinks>
  <pageMargins left="0.27559055118110237" right="0.11811023622047245" top="0.19685039370078741" bottom="0.15748031496062992" header="0.11811023622047245" footer="0.15748031496062992"/>
  <pageSetup paperSize="5" orientation="portrait" copies="5" r:id="rId687"/>
  <headerFooter alignWithMargins="0"/>
  <cellWatches>
    <cellWatch r="X8"/>
  </cellWatches>
  <ignoredErrors>
    <ignoredError sqref="AB702 AB748:AB749 AB742 AB731 AB732 AB743" numberStoredAsText="1"/>
    <ignoredError sqref="X697 C25:E25 A208:E208 A102:E103 H395:Q395 C26:E26 H708:L710 G288 G315:W315 U29 S37:S38 S34 U34 U37:U38 S40 U40 S46 U46 F547:T547 W543 G371:G373 V91:W92 F81:I88 F90:I90 F89:I89 Q104 I58 U104 S104 J80:J90 B283:E283 H370:J373 G80:I80 H388:J388 H93:W93 J10:K10 X222:X224 J12:K12 X11 F545 H138 O106:O107 S106:S107 Q106:Q107 U106:U107 X472 G282:G283 V26:V27 S29 H29:M29 H27:I27 G378:J379 G393:J393 H391:J391 O29 Q29 H28 I193:M193 I192:M192 I191:M191 I194:M194 H191:H194 P234:W234 P233 I13 G274:G277 G307:G312 H381:K381 K363:K365 G366:K367 K369:K373 Q374 R374:W374 W196 G304:G305 N94:W94 G265:G266 G382:K383 G439:G442 G445 G293 H19:T19 G174 F457:G457 G356:H356 I350:V350 B624:E624 B633:E633 C631:E631 C632:E632 G458 W63 W55 H22:V23 G517 H94:I94 I133:V133 W188 H197:K201 H196:K196 G196:G201 N191:V194 G195:V195 I349 K349 K384:K385 G374:P374 G543:G546 G535:G540 G610 G607:H609 B625:E625 B626:E626 B627:E627 B628:E628 I607:V607 I616 G606:I606 L624:V624 L616:V616 W702 W705 H702:V705 G707:V707 F731:G731 O711:V716 H756:T760 F755:G756 H748:V755 H17:H18 H20:W21 G50:V50 G622:I622 B629:E629 G732 H14:V14 G686:V686 H623:I624 G683:V683 I684:V684 H60:I60 I61:K61 I136:V138 O134 M134 Q134 S134 U134 I134:K135 G347 I132:Q132 G338 H248:V248 H15:T15 H160:S160 F335:G335 K411:K417 H613:H616 N617:Y617 G472:G473 G745:V746 H744:V744 G747:W747 G741:V743 G336 K606:V606 I613:V615 I611 K611:V611 H618:V621 K622:V623 G344 W298 G297 I351:K362 G94:G97 F154:G154 G253:G259 F410:K410 G428:G434 H450:W450 J451:W451 J501:V501 H517:V529 H534:V545 J533:V533 J546:V546 H599:S599 I608:K610 N610:V610 H706:Q706 G757:G760 H610:H611 G460:M460 N460:V464 H475:V475 N612:V612 H666:V676 H491:V491 K665:V665 J685:V685 G688:V689 G687 I687:V687 G691:V693 G690 I690:V690 H740:V740 P466:W466 H62:I62 G324 H24:I24 L24:W24 F508:G508 G503:V504 G739:V739 G206:W210 H531:V532 H530:M530 H595:V598 O234 I449:V449 H63:V68 H677:W677 M465:V465 J58:K60 L58:W61 K62:W62 G69:W69 K28:V28 L10:V13 G99:G103 H97:V103 H96:I96 H95:V95 K96:W96 K94:M94 H189:U190 G202:K205 H167:I168 H178:V188 G214:W215 H211:W213 W222:W223 H220:V221 H219:M219 H217:W218 F217:G221 F216:W216 N219:W219 G233:N234 J243:V247 U250:V263 I249 K249 M249:V249 U265:V270 H293:V300 W294 H303:V309 H310:S310 U310 W335 H731:V737 L196:V205 G301:V302 G405:K408 H433:W448 U472:V473 H472:T474 L348:W349 L351:V373 K387:K394 K375:V379 L380:V394 H418:K432 W347 H324:V347 H452:W458 H459:V459 K380 I484:V487 H494:V500 H493:U493 H502:U502 V502:AA502 G505:M505 G506:M506 G507:M507 O505 Q505 S505 U505 G509:I510 J508:V510 N608:U608 N609:Q609 G631:G633 G662:V663 L57:V57 H25:J26 H625:V629 G624:G629 M630:V630 H650:V661 K25:T27 V291:V292 H291:T292 F242:V242 H170:V176 H177:W177 M489:V490 F222:V231 H232:W232 H631:V635 H590:W594 L404:V432 G51:W54 I55:V56 H148:O151 Q148:W151 H152:J153 L152:L153 N152:N153 P148:P153 R152:R153 T152:T153 V152:V153 U152:U154 I154 K152:K154 M152:M154 O152:O154 Q152:Q154 S152:S154 H583:V589 H561:V581 I582:V582 H311:V313 G314:V314 H250:T279 V273:V279 H280:V280 H281:T289 V281:V289 Q290:V290 M290:P290 K290 I290 H290 J290 L290 H320:V323 I240:V241 K400:V402 I480:T482 H642:V649 N641:W641 K664 N664:V664 H722:V730 L694:V694" formula="1"/>
    <ignoredError sqref="G389" evalError="1"/>
    <ignoredError sqref="H389:J389" evalError="1" formula="1"/>
  </ignoredErrors>
  <drawing r:id="rId688"/>
  <legacyDrawing r:id="rId6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2025-10-27T19:23:54Z</cp:lastPrinted>
  <dcterms:created xsi:type="dcterms:W3CDTF">2003-01-03T20:20:32Z</dcterms:created>
  <dcterms:modified xsi:type="dcterms:W3CDTF">2025-10-28T14:54:13Z</dcterms:modified>
</cp:coreProperties>
</file>